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12" yWindow="-12" windowWidth="11532" windowHeight="9660" tabRatio="941" activeTab="4"/>
  </bookViews>
  <sheets>
    <sheet name="CovPg" sheetId="32" r:id="rId1"/>
    <sheet name="OF" sheetId="2" r:id="rId2"/>
    <sheet name="F" sheetId="3" r:id="rId3"/>
    <sheet name="S" sheetId="4" r:id="rId4"/>
    <sheet name="Scores" sheetId="5" r:id="rId5"/>
    <sheet name="WS" sheetId="8" r:id="rId6"/>
    <sheet name="SFS" sheetId="31" r:id="rId7"/>
    <sheet name="WC" sheetId="12" r:id="rId8"/>
    <sheet name="SR" sheetId="9" r:id="rId9"/>
    <sheet name="PR" sheetId="10" r:id="rId10"/>
    <sheet name="NR" sheetId="11" r:id="rId11"/>
    <sheet name="CS" sheetId="13" r:id="rId12"/>
    <sheet name="OE" sheetId="14" r:id="rId13"/>
    <sheet name="FA" sheetId="16" r:id="rId14"/>
    <sheet name="FR" sheetId="17" r:id="rId15"/>
    <sheet name="INV" sheetId="15" r:id="rId16"/>
    <sheet name="AM" sheetId="18" r:id="rId17"/>
    <sheet name="WBF" sheetId="19" r:id="rId18"/>
    <sheet name="WBN" sheetId="20" r:id="rId19"/>
    <sheet name="SBM" sheetId="21" r:id="rId20"/>
    <sheet name="POL" sheetId="22" r:id="rId21"/>
    <sheet name="PH" sheetId="23" r:id="rId22"/>
    <sheet name="PU" sheetId="27" r:id="rId23"/>
    <sheet name="EC" sheetId="26" r:id="rId24"/>
    <sheet name="Sen" sheetId="25" r:id="rId25"/>
    <sheet name="STR" sheetId="24" r:id="rId26"/>
  </sheets>
  <externalReferences>
    <externalReference r:id="rId27"/>
    <externalReference r:id="rId28"/>
    <externalReference r:id="rId29"/>
    <externalReference r:id="rId30"/>
  </externalReferences>
  <definedNames>
    <definedName name="__IBA12">WBF!$D$150</definedName>
    <definedName name="_Alk3" localSheetId="3">[1]PR!$G$3</definedName>
    <definedName name="_Alk3">PR!#REF!</definedName>
    <definedName name="_AMT1" localSheetId="3">[1]AM!$G$251</definedName>
    <definedName name="_AMT1">AM!#REF!</definedName>
    <definedName name="_AMT2" localSheetId="3">[1]AM!$G$253</definedName>
    <definedName name="_AMT2">AM!#REF!</definedName>
    <definedName name="_AMT3" localSheetId="3">[1]AM!$G$254</definedName>
    <definedName name="_AMT3">AM!#REF!</definedName>
    <definedName name="_AMT4" localSheetId="3">[1]AM!$G$255</definedName>
    <definedName name="_AMT4">AM!#REF!</definedName>
    <definedName name="_AMT5" localSheetId="3">[1]AM!$G$250</definedName>
    <definedName name="_AMT5">AM!#REF!</definedName>
    <definedName name="_AMT6" localSheetId="3">[1]AM!$G$252</definedName>
    <definedName name="_AMT6">AM!#REF!</definedName>
    <definedName name="_AMT7" localSheetId="3">[1]AM!$G$249</definedName>
    <definedName name="_AMT7">AM!#REF!</definedName>
    <definedName name="_AMT8" localSheetId="3">[1]AM!$G$256</definedName>
    <definedName name="_AMT8">AM!#REF!</definedName>
    <definedName name="_BMP11">AM!$G$188</definedName>
    <definedName name="_BMP12">WBF!$G$140</definedName>
    <definedName name="_BMP13">WBN!$G$168</definedName>
    <definedName name="_Bog4" localSheetId="3">[1]NR!$D$3</definedName>
    <definedName name="_Bog4">NR!#REF!</definedName>
    <definedName name="_Bog5" localSheetId="3">[1]CS!$D$3</definedName>
    <definedName name="_Bog5">CS!#REF!</definedName>
    <definedName name="_Bog6">OE!$D$18</definedName>
    <definedName name="_CSQ1" localSheetId="3">[1]CS!$G$137</definedName>
    <definedName name="_CSQ1">CS!#REF!</definedName>
    <definedName name="_CSQ2" localSheetId="3">[1]CS!$G$138</definedName>
    <definedName name="_CSQ2">CS!#REF!</definedName>
    <definedName name="_CSQ3" localSheetId="3">[1]CS!$G$139</definedName>
    <definedName name="_CSQ3">CS!#REF!</definedName>
    <definedName name="_CSQ4" localSheetId="3">[1]CS!$G$140</definedName>
    <definedName name="_CSQ4">CS!#REF!</definedName>
    <definedName name="_Fen5" localSheetId="3">[1]CS!#REF!</definedName>
    <definedName name="_Fen5">CS!#REF!</definedName>
    <definedName name="_Fen7">WC!#REF!</definedName>
    <definedName name="_FHA1" localSheetId="3">[1]FA!$G$126</definedName>
    <definedName name="_FHA1">FA!#REF!</definedName>
    <definedName name="_FHA2" localSheetId="3">[1]FA!$G$127</definedName>
    <definedName name="_FHA2">FA!#REF!</definedName>
    <definedName name="_FHA3" localSheetId="3">[1]FA!#REF!</definedName>
    <definedName name="_FHA3">FA!#REF!</definedName>
    <definedName name="_FHA4" localSheetId="3">[1]FA!$G$128</definedName>
    <definedName name="_FHA4">FA!#REF!</definedName>
    <definedName name="_FHA5" localSheetId="3">[1]FA!$G$129</definedName>
    <definedName name="_FHA5">FA!#REF!</definedName>
    <definedName name="_FHA6" localSheetId="3">[1]FA!$G$130</definedName>
    <definedName name="_FHA6">FA!#REF!</definedName>
    <definedName name="_FHR1" localSheetId="3">[1]FR!$G$114</definedName>
    <definedName name="_FHR1">FR!#REF!</definedName>
    <definedName name="_FHR2" localSheetId="3">[1]FR!$G$115</definedName>
    <definedName name="_FHR2">FR!#REF!</definedName>
    <definedName name="_FHR3" localSheetId="3">[1]FR!$G$116</definedName>
    <definedName name="_FHR3">FR!#REF!</definedName>
    <definedName name="_FHR4" localSheetId="3">[1]FR!$G$117</definedName>
    <definedName name="_FHR4">FR!#REF!</definedName>
    <definedName name="_FHR5" localSheetId="3">[1]FR!$G$118</definedName>
    <definedName name="_FHR5">FR!#REF!</definedName>
    <definedName name="_GDD1">WS!$G$19</definedName>
    <definedName name="_GDD11">AM!$G$53</definedName>
    <definedName name="_GDD2">SR!$G$15</definedName>
    <definedName name="_GDD3">PR!$G$15</definedName>
    <definedName name="_GpA1">WS!$G$95</definedName>
    <definedName name="_GpB1">WS!$G$96</definedName>
    <definedName name="_GpC1">WS!$G$97</definedName>
    <definedName name="_IBA13">WBN!$G$172</definedName>
    <definedName name="_IBA14">SBM!$G$163</definedName>
    <definedName name="_INV2">INV!#REF!</definedName>
    <definedName name="_INV3" localSheetId="3">[1]INV!$G$167</definedName>
    <definedName name="_INV3">INV!#REF!</definedName>
    <definedName name="_INV4" localSheetId="3">[1]INV!$G$168</definedName>
    <definedName name="_INV4">INV!#REF!</definedName>
    <definedName name="_INV5" localSheetId="3">[1]INV!$G$169</definedName>
    <definedName name="_INV5">INV!#REF!</definedName>
    <definedName name="_INV6" localSheetId="3">[1]INV!$G$170</definedName>
    <definedName name="_INV6">INV!#REF!</definedName>
    <definedName name="_INV7" localSheetId="3">[1]INV!$G$171</definedName>
    <definedName name="_INV7">INV!#REF!</definedName>
    <definedName name="_INV8" localSheetId="3">[1]INV!$G$172</definedName>
    <definedName name="_INV8">INV!#REF!</definedName>
    <definedName name="_Iso2" localSheetId="3">[1]SR!$G$10</definedName>
    <definedName name="_Iso2">SR!$G$48</definedName>
    <definedName name="_ISO3" localSheetId="3">[1]PR!$G$20</definedName>
    <definedName name="_ISO3">PR!#REF!</definedName>
    <definedName name="_NRE1" localSheetId="3">[1]NR!$G$166</definedName>
    <definedName name="_NRE1">NR!#REF!</definedName>
    <definedName name="_NRE2" localSheetId="3">[1]NR!$G$167</definedName>
    <definedName name="_NRE2">NR!#REF!</definedName>
    <definedName name="_NRE3" localSheetId="3">[1]NR!$G$170</definedName>
    <definedName name="_NRE3">NR!#REF!</definedName>
    <definedName name="_NRE4" localSheetId="3">[1]NR!$G$169</definedName>
    <definedName name="_NRE4">NR!#REF!</definedName>
    <definedName name="_NRE5" localSheetId="3">[1]NR!$G$165</definedName>
    <definedName name="_NRE5">NR!#REF!</definedName>
    <definedName name="_OMX1" localSheetId="3">[1]OE!$G$118</definedName>
    <definedName name="_OMX1">OE!#REF!</definedName>
    <definedName name="_OMX2" localSheetId="3">[1]OE!$G$119</definedName>
    <definedName name="_OMX2">OE!#REF!</definedName>
    <definedName name="_OMX3" localSheetId="3">[1]OE!$G$120</definedName>
    <definedName name="_OMX3">OE!#REF!</definedName>
    <definedName name="_OMX4" localSheetId="3">[1]OE!$G$121</definedName>
    <definedName name="_OMX4">OE!#REF!</definedName>
    <definedName name="_OMX5">OE!#REF!</definedName>
    <definedName name="_Out3">PR!#REF!</definedName>
    <definedName name="_pcp13" localSheetId="3">[1]WBN!$G$204</definedName>
    <definedName name="_pcp13">WBN!#REF!</definedName>
    <definedName name="_pcp14" localSheetId="3">[1]SBM!$G$204</definedName>
    <definedName name="_pcp14">SBM!#REF!</definedName>
    <definedName name="_pcp8" localSheetId="3">[1]INV!$G$148</definedName>
    <definedName name="_pcp8">INV!#REF!</definedName>
    <definedName name="_PLD1" localSheetId="3">[1]PD!$G$203</definedName>
    <definedName name="_PLD1">PH!#REF!</definedName>
    <definedName name="_PLD2" localSheetId="3">[1]PD!$G$204</definedName>
    <definedName name="_PLD2">PH!#REF!</definedName>
    <definedName name="_PLD3" localSheetId="3">[1]PD!$G$205</definedName>
    <definedName name="_PLD3">PH!#REF!</definedName>
    <definedName name="_PR1" localSheetId="3">[1]PR!$G$160</definedName>
    <definedName name="_PR1">PR!#REF!</definedName>
    <definedName name="_PR2" localSheetId="3">[1]PR!$G$161</definedName>
    <definedName name="_PR2">PR!#REF!</definedName>
    <definedName name="_PR3" localSheetId="3">[1]PR!$G$162</definedName>
    <definedName name="_PR3">PR!#REF!</definedName>
    <definedName name="_PR4" localSheetId="3">[1]PR!$G$163</definedName>
    <definedName name="_PR4">PR!#REF!</definedName>
    <definedName name="_PR5" localSheetId="3">[1]PR!$G$164</definedName>
    <definedName name="_PR5">PR!#REF!</definedName>
    <definedName name="_PR6" localSheetId="3">[1]PR!$G$165</definedName>
    <definedName name="_PR6">PR!#REF!</definedName>
    <definedName name="_Pt2">S!#REF!</definedName>
    <definedName name="_Pt3">S!#REF!</definedName>
    <definedName name="_pt4">S!#REF!</definedName>
    <definedName name="_SED1" localSheetId="3">[1]SR!#REF!</definedName>
    <definedName name="_SED1">SR!#REF!</definedName>
    <definedName name="_SM1" localSheetId="3">[1]SBM!$G$216</definedName>
    <definedName name="_SM1">SBM!#REF!</definedName>
    <definedName name="_SM2" localSheetId="3">[1]SBM!$G$217</definedName>
    <definedName name="_SM2">SBM!#REF!</definedName>
    <definedName name="_SM3" localSheetId="3">[1]SBM!$G$218</definedName>
    <definedName name="_SM3">SBM!#REF!</definedName>
    <definedName name="_SM4" localSheetId="3">[1]SBM!$G$219</definedName>
    <definedName name="_SM4">SBM!#REF!</definedName>
    <definedName name="_SM5">SBM!#REF!</definedName>
    <definedName name="_SWO10" localSheetId="3">[1]FR!#REF!</definedName>
    <definedName name="_SWO10">FR!#REF!</definedName>
    <definedName name="_SWO12" localSheetId="3">[1]WBF!#REF!</definedName>
    <definedName name="_SWO12">WBF!#REF!</definedName>
    <definedName name="_SWO13" localSheetId="3">[1]WBN!#REF!</definedName>
    <definedName name="_SWO13">WBN!#REF!</definedName>
    <definedName name="_SWO2" localSheetId="3">[1]SR!#REF!</definedName>
    <definedName name="_SWO2">SR!#REF!</definedName>
    <definedName name="_SWO3" localSheetId="3">[1]PR!#REF!</definedName>
    <definedName name="_SWO3">PR!#REF!</definedName>
    <definedName name="_SWO4" localSheetId="3">[1]NR!#REF!</definedName>
    <definedName name="_SWO4">NR!#REF!</definedName>
    <definedName name="_SWO5" localSheetId="3">[1]CS!#REF!</definedName>
    <definedName name="_SWO5">CS!#REF!</definedName>
    <definedName name="_SWO6" localSheetId="3">[1]OE!#REF!</definedName>
    <definedName name="_SWO6">OE!#REF!</definedName>
    <definedName name="_SWO7" localSheetId="3">[1]T!#REF!</definedName>
    <definedName name="_SWO7">WC!#REF!</definedName>
    <definedName name="_SWO9" localSheetId="3">[1]FA!#REF!</definedName>
    <definedName name="_SWO9">FA!#REF!</definedName>
    <definedName name="_TMO1" localSheetId="3">[1]T!$G$47</definedName>
    <definedName name="_TMO1">WC!#REF!</definedName>
    <definedName name="_TMO2" localSheetId="3">[1]T!$G$46</definedName>
    <definedName name="_TMO2">WC!#REF!</definedName>
    <definedName name="_Tox12">WBF!$G$32</definedName>
    <definedName name="_WBF10">FR!$G$130</definedName>
    <definedName name="_WBF2" localSheetId="3">[1]WBF!$G$186</definedName>
    <definedName name="_WBF2">WBF!#REF!</definedName>
    <definedName name="_WBF3" localSheetId="3">[1]WBF!$G$187</definedName>
    <definedName name="_WBF3">WBF!#REF!</definedName>
    <definedName name="_WBF4" localSheetId="3">[1]WBF!$G$188</definedName>
    <definedName name="_WBF4">WBF!#REF!</definedName>
    <definedName name="_WBF5" localSheetId="3">[1]WBF!$G$189</definedName>
    <definedName name="_WBF5">WBF!#REF!</definedName>
    <definedName name="_WBF6" localSheetId="3">[1]WBF!$G$190</definedName>
    <definedName name="_WBF6">WBF!#REF!</definedName>
    <definedName name="_WBF7" localSheetId="3">[1]WBF!$G$191</definedName>
    <definedName name="_WBF7">WBF!#REF!</definedName>
    <definedName name="_WBF8" localSheetId="3">[1]WBF!$G$192</definedName>
    <definedName name="_WBF8">WBF!#REF!</definedName>
    <definedName name="_WBN1" localSheetId="3">[1]WBN!$G$216</definedName>
    <definedName name="_WBN1">WBN!#REF!</definedName>
    <definedName name="_WBN2" localSheetId="3">[1]WBN!$G$217</definedName>
    <definedName name="_WBN2">WBN!#REF!</definedName>
    <definedName name="_WBN3" localSheetId="3">[1]WBN!$G$218</definedName>
    <definedName name="_WBN3">WBN!#REF!</definedName>
    <definedName name="_WBN4" localSheetId="3">[1]WBN!$G$219</definedName>
    <definedName name="_WBN4">WBN!#REF!</definedName>
    <definedName name="_WBN5" localSheetId="3">[1]WBN!$G$220</definedName>
    <definedName name="_WBN5">WBN!#REF!</definedName>
    <definedName name="_WBN6" localSheetId="3">[1]WBN!$G$221</definedName>
    <definedName name="_WBN6">WBN!#REF!</definedName>
    <definedName name="_WBN7" localSheetId="3">[1]WBN!$G$222</definedName>
    <definedName name="_WBN7">WBN!#REF!</definedName>
    <definedName name="_WBN8" localSheetId="3">[1]WBN!$G$223</definedName>
    <definedName name="_WBN8">WBN!#REF!</definedName>
    <definedName name="_WBN9" localSheetId="3">[1]WBN!#REF!</definedName>
    <definedName name="_WBN9">WBN!#REF!</definedName>
    <definedName name="_WST1" localSheetId="3">[1]WS!$G$111</definedName>
    <definedName name="_WST1">WS!#REF!</definedName>
    <definedName name="_WST2" localSheetId="3">[1]WS!$G$112</definedName>
    <definedName name="_WST2">WS!#REF!</definedName>
    <definedName name="_WST3" localSheetId="3">[1]WS!$G$113</definedName>
    <definedName name="_WST3">WS!#REF!</definedName>
    <definedName name="AbioSens">Sen!$G$188</definedName>
    <definedName name="ABpct10" localSheetId="3">[1]FR!$G$89</definedName>
    <definedName name="ABpct10">FR!$G$56</definedName>
    <definedName name="ABpct11" localSheetId="3">[1]AM!$G$74</definedName>
    <definedName name="ABpct11">AM!$G$137</definedName>
    <definedName name="ABpct12" localSheetId="3">[1]WBF!$G$72</definedName>
    <definedName name="ABpct12">WBF!$G$107</definedName>
    <definedName name="ABpct8" localSheetId="3">[1]INV!$G$82</definedName>
    <definedName name="ABpct8">INV!$G$103</definedName>
    <definedName name="Access10" localSheetId="3">[1]FR!#REF!</definedName>
    <definedName name="Access10">FR!$G$15</definedName>
    <definedName name="Access11" localSheetId="3">[1]AM!$D$4</definedName>
    <definedName name="Access11">AM!#REF!</definedName>
    <definedName name="Access12">WBF!$D$44</definedName>
    <definedName name="Access8" localSheetId="3">[1]INV!$G$115</definedName>
    <definedName name="Access8">INV!$G$20</definedName>
    <definedName name="Access9" localSheetId="3">[1]FA!#REF!</definedName>
    <definedName name="Access9">FA!$G$18</definedName>
    <definedName name="AccessFR10" localSheetId="3">[1]FR!$D$96</definedName>
    <definedName name="AccessFR10">FR!#REF!</definedName>
    <definedName name="Acid4">NR!$G$128</definedName>
    <definedName name="Acid9">FA!$G$93</definedName>
    <definedName name="Acidic11">AM!$G$159</definedName>
    <definedName name="Acidic13">WBN!$G$134</definedName>
    <definedName name="Acidic20">PH!$G$149</definedName>
    <definedName name="AcidicPool10">FR!$G$83</definedName>
    <definedName name="AcidicS">Sen!$G$156</definedName>
    <definedName name="AcidPool10">FR!$D$83</definedName>
    <definedName name="AcidPool7">#REF!</definedName>
    <definedName name="Adsorb3">PR!$G$158</definedName>
    <definedName name="AfishAccess9" localSheetId="3">[1]FA!$D$7</definedName>
    <definedName name="AfishAccess9">FA!#REF!</definedName>
    <definedName name="AfishShed" localSheetId="3">#REF!</definedName>
    <definedName name="AfishShed">#REF!</definedName>
    <definedName name="AfishShed9" localSheetId="3">[1]FA!$D$6</definedName>
    <definedName name="AfishShed9">FA!$D$18</definedName>
    <definedName name="AFshed" localSheetId="3">#REF!</definedName>
    <definedName name="AFshed">#REF!</definedName>
    <definedName name="aglandprox">POL!#REF!</definedName>
    <definedName name="Algae12">WBF!$G$118</definedName>
    <definedName name="Algae3">PR!$G$79</definedName>
    <definedName name="AlkPlaya" localSheetId="3">#REF!</definedName>
    <definedName name="AlkPlaya">#REF!</definedName>
    <definedName name="AllDry10" localSheetId="3">[1]FR!#REF!</definedName>
    <definedName name="AllDry10">FR!#REF!</definedName>
    <definedName name="AllDry11" localSheetId="3">[1]AM!$D$5</definedName>
    <definedName name="AllDry11">AM!$D$112</definedName>
    <definedName name="AllDry12" localSheetId="3">[1]WBF!$D$23</definedName>
    <definedName name="AllDry12">WBF!$D$72</definedName>
    <definedName name="AllDry13" localSheetId="3">[1]WBN!#REF!</definedName>
    <definedName name="AllDry13">WBN!#REF!</definedName>
    <definedName name="AllDry2" localSheetId="3">[1]SR!$D$9</definedName>
    <definedName name="AllDry2">SR!#REF!</definedName>
    <definedName name="AllDry5" localSheetId="3">[1]CS!#REF!</definedName>
    <definedName name="AllDry5">CS!#REF!</definedName>
    <definedName name="AllDry5a">CS!#REF!</definedName>
    <definedName name="AllDry6" localSheetId="3">[1]OE!#REF!</definedName>
    <definedName name="AllDry6">OE!#REF!</definedName>
    <definedName name="AllDry6a" localSheetId="3">[1]OE!$D$21</definedName>
    <definedName name="AllDry6a">OE!#REF!</definedName>
    <definedName name="Alldry7" localSheetId="3">[1]T!$D$5</definedName>
    <definedName name="Alldry7">WC!#REF!</definedName>
    <definedName name="AllDry7a">WC!#REF!</definedName>
    <definedName name="AllDry8" localSheetId="3">[1]INV!$D$15</definedName>
    <definedName name="AllDry8">INV!#REF!</definedName>
    <definedName name="AllDry8a">INV!#REF!</definedName>
    <definedName name="AllDry9" localSheetId="3">[1]FA!$D$20</definedName>
    <definedName name="AllDry9">FA!$D$35</definedName>
    <definedName name="AllFlowDry">F!#REF!</definedName>
    <definedName name="AllFlowing">F!#REF!</definedName>
    <definedName name="AllFlowingDry">F!#REF!</definedName>
    <definedName name="AllFlowingWet">F!#REF!</definedName>
    <definedName name="AllForbCov">F!$D$93</definedName>
    <definedName name="AllHerbCov">F!#REF!</definedName>
    <definedName name="AllMoss">F!#REF!</definedName>
    <definedName name="AllNat">F!#REF!</definedName>
    <definedName name="AllOpenPond">F!$D$170</definedName>
    <definedName name="AllSat">F!#REF!</definedName>
    <definedName name="AllSat1">F!$D$121</definedName>
    <definedName name="AllSat2">F!$D$119</definedName>
    <definedName name="AllWater14">SBM!#REF!</definedName>
    <definedName name="AllWet">F!$D$127</definedName>
    <definedName name="AltTime10">FR!$G$106</definedName>
    <definedName name="AltTime11">AM!#REF!</definedName>
    <definedName name="AltTime20">PH!$G$201</definedName>
    <definedName name="AltTime8">INV!$D$142</definedName>
    <definedName name="AltTime8a">INV!$G$142</definedName>
    <definedName name="AltTime9">FA!$G$114</definedName>
    <definedName name="AltTiming" localSheetId="3">[1]STR!$G$4</definedName>
    <definedName name="AltTiming">STR!$G$79</definedName>
    <definedName name="AltTimingIN">STR!$G$79</definedName>
    <definedName name="AltTimingOut" localSheetId="3">[1]STR!$G$5</definedName>
    <definedName name="AltTimingOut">STR!#REF!</definedName>
    <definedName name="Amphib" localSheetId="3">[1]INV!$G$161</definedName>
    <definedName name="Amphib">INV!$G$148</definedName>
    <definedName name="AmphScore">#REF!</definedName>
    <definedName name="AmPres11">AM!#REF!</definedName>
    <definedName name="AmpSiteS">Sen!#REF!</definedName>
    <definedName name="Anad3">PR!#REF!</definedName>
    <definedName name="Anad4">NR!#REF!</definedName>
    <definedName name="AnadFish" localSheetId="3">[1]INV!$G$159</definedName>
    <definedName name="AnadFish">INV!$G$146</definedName>
    <definedName name="AnadFish7">WC!$G$71</definedName>
    <definedName name="AnadHUC7" localSheetId="3">[1]T!$G$37</definedName>
    <definedName name="AnadHUC7">WC!#REF!</definedName>
    <definedName name="AnadPrio7" localSheetId="3">[1]T!#REF!</definedName>
    <definedName name="AnadPrio7">WC!#REF!</definedName>
    <definedName name="AnadPrioShed" localSheetId="3">[1]FA!$G$123</definedName>
    <definedName name="AnadPrioShed">FA!#REF!</definedName>
    <definedName name="AnadScore2_">SFS!$G$40</definedName>
    <definedName name="AnimSens_S" localSheetId="3">[1]Sen!#REF!</definedName>
    <definedName name="AnimSens_S">Sen!#REF!</definedName>
    <definedName name="AnoxRisk10">FR!$G$135</definedName>
    <definedName name="AqCov8">INV!$G$114</definedName>
    <definedName name="AqFertilPD">PH!$G$214</definedName>
    <definedName name="AqPest8" localSheetId="3">[1]INV!$G$76</definedName>
    <definedName name="AqPest8">INV!#REF!</definedName>
    <definedName name="AqPlantCov13">WBN!$G$109</definedName>
    <definedName name="AqPlantCov2">SR!$G$54</definedName>
    <definedName name="AqPlantCov3">PR!$G$62</definedName>
    <definedName name="AqPlantCov4">NR!$G$94</definedName>
    <definedName name="AqPlantCov5">CS!$G$71</definedName>
    <definedName name="AqPlantCov6">OE!$G$63</definedName>
    <definedName name="AqPlantCov9">FA!$G$66</definedName>
    <definedName name="AqStruc11">AM!$G$198</definedName>
    <definedName name="Aquif1" localSheetId="3">[1]WS!#REF!</definedName>
    <definedName name="Aquif1">WS!#REF!</definedName>
    <definedName name="Aquifer" localSheetId="3">[1]WS!#REF!</definedName>
    <definedName name="Aquifer">WS!#REF!</definedName>
    <definedName name="Aquifer4" localSheetId="3">[1]NR!$G$151</definedName>
    <definedName name="Aquifer4">NR!$G$213</definedName>
    <definedName name="AreaTotal12">WBF!$G$3</definedName>
    <definedName name="aspect0">POL!#REF!</definedName>
    <definedName name="Aspect1">WS!$G$8</definedName>
    <definedName name="Aspect11">AM!$G$49</definedName>
    <definedName name="Aspect2_">SFS!$G$3</definedName>
    <definedName name="Aspect4">NR!$G$16</definedName>
    <definedName name="Aspect7">WC!$G$3</definedName>
    <definedName name="Aspect7v">WC!$G$52</definedName>
    <definedName name="Aspect7vw">#REF!</definedName>
    <definedName name="Aspect7w">#REF!</definedName>
    <definedName name="AspectPD">PH!#REF!</definedName>
    <definedName name="BareGpct">EC!$G$8</definedName>
    <definedName name="Bduck13">WBN!$G$42</definedName>
    <definedName name="BearHab9">FA!#REF!</definedName>
    <definedName name="BearPD">PH!#REF!</definedName>
    <definedName name="BearShed">FA!#REF!</definedName>
    <definedName name="BearShed14">SBM!#REF!</definedName>
    <definedName name="BearShed9">FA!#REF!</definedName>
    <definedName name="Beaver_S">Sen!$G$165</definedName>
    <definedName name="Beaver10">FR!$G$92</definedName>
    <definedName name="Beaver12">WBF!$G$119</definedName>
    <definedName name="Beaver13">WBN!$G$138</definedName>
    <definedName name="Beaver14">SBM!$D$133</definedName>
    <definedName name="Beaver14a">SBM!$G$133</definedName>
    <definedName name="Beaver9">FA!$G$97</definedName>
    <definedName name="BeaverPD">PH!$G$158</definedName>
    <definedName name="BestInScape" localSheetId="3">#REF!</definedName>
    <definedName name="BestInScape">#REF!</definedName>
    <definedName name="BestInShed" localSheetId="3">#REF!</definedName>
    <definedName name="BestInShed">#REF!</definedName>
    <definedName name="BigPondProx12" localSheetId="3">[1]WBF!$G$137</definedName>
    <definedName name="BigPondProx12">WBF!$G$18</definedName>
    <definedName name="Biological">EC!$G$29</definedName>
    <definedName name="BioSens">Sen!$G$189</definedName>
    <definedName name="Bioshed14">SBM!#REF!</definedName>
    <definedName name="BioShedX">STR!#REF!</definedName>
    <definedName name="BMPsoils20">PH!$G$199</definedName>
    <definedName name="BMPsoilsPU">PU!$G$52</definedName>
    <definedName name="BMPwild11">[2]AM!$G$204</definedName>
    <definedName name="BMPwild12">[2]WBF!$G$158</definedName>
    <definedName name="BMPwild13">[2]WBN!$G$190</definedName>
    <definedName name="BMPwildPU">PU!$G$53</definedName>
    <definedName name="BoatsPD" localSheetId="3">[1]PD!$G$114</definedName>
    <definedName name="BoatsPD">PH!#REF!</definedName>
    <definedName name="BoatVector" localSheetId="3">[1]STR!$G$19</definedName>
    <definedName name="BoatVector">STR!#REF!</definedName>
    <definedName name="BuffAllNat">F!$D$245</definedName>
    <definedName name="BuffCovTyp4">NR!$G$205</definedName>
    <definedName name="BuffCUnatPct9" localSheetId="3">[1]FA!#REF!</definedName>
    <definedName name="BuffCUnatPct9">FA!#REF!</definedName>
    <definedName name="BuffDisturbTyp" localSheetId="3">[1]STR!$G$46</definedName>
    <definedName name="BuffDisturbTyp">STR!$G$41</definedName>
    <definedName name="BufferWeeds" localSheetId="3">#REF!</definedName>
    <definedName name="BufferWeeds">#REF!</definedName>
    <definedName name="BuffLU10" localSheetId="3">[1]FR!#REF!</definedName>
    <definedName name="BuffLU10">FR!#REF!</definedName>
    <definedName name="BuffLU11" localSheetId="3">[1]AM!$G$158</definedName>
    <definedName name="BuffLU11">AM!$G$173</definedName>
    <definedName name="BuffLU14" localSheetId="3">[1]SBM!#REF!</definedName>
    <definedName name="BuffLU14">SBM!#REF!</definedName>
    <definedName name="BuffLU8" localSheetId="3">[1]INV!#REF!</definedName>
    <definedName name="BuffLU8">INV!#REF!</definedName>
    <definedName name="BuffLU9" localSheetId="3">[1]FA!$G$99</definedName>
    <definedName name="BuffLU9">FA!$G$111</definedName>
    <definedName name="BuffLUpd" localSheetId="3">[1]PD!$G$141</definedName>
    <definedName name="BuffLUpd">PH!$G$172</definedName>
    <definedName name="BuffLUtype0">POL!$G$78</definedName>
    <definedName name="BuffLUtype13" localSheetId="3">[1]WBN!$G$134</definedName>
    <definedName name="BuffLUtype13">WBN!$G$153</definedName>
    <definedName name="BuffNatPct13" localSheetId="3">[1]WBN!$G$128</definedName>
    <definedName name="BuffNatPct13">WBN!$G$147</definedName>
    <definedName name="BuffPctCU10" localSheetId="3">[1]FR!#REF!</definedName>
    <definedName name="BuffPctCU10">FR!#REF!</definedName>
    <definedName name="BuffPctNat9">FA!$G$105</definedName>
    <definedName name="BuffPerim0">POL!$G$72</definedName>
    <definedName name="BuffPerim14">SBM!$G$137</definedName>
    <definedName name="BuffSlope_S" localSheetId="3">[1]Sen!$G$122</definedName>
    <definedName name="BuffSlope_S">Sen!$G$175</definedName>
    <definedName name="BuffSlope2">SR!$G$144</definedName>
    <definedName name="BuffSlope3">PR!$G$147</definedName>
    <definedName name="BuffSlope4">NR!$G$208</definedName>
    <definedName name="BuffVdens" localSheetId="3">[1]STR!#REF!</definedName>
    <definedName name="BuffVdens">STR!#REF!</definedName>
    <definedName name="BuffVeg2" localSheetId="3">[1]SR!#REF!</definedName>
    <definedName name="BuffVeg2">SR!#REF!</definedName>
    <definedName name="BuffVpct3" localSheetId="3">[1]PR!#REF!</definedName>
    <definedName name="BuffVpct3">PR!#REF!</definedName>
    <definedName name="BuffVpct4" localSheetId="3">[1]NR!#REF!</definedName>
    <definedName name="BuffVpct4">NR!#REF!</definedName>
    <definedName name="Burn20">PH!$G$182</definedName>
    <definedName name="Burn5">CS!$G$111</definedName>
    <definedName name="BurnHist">STR!$G$44</definedName>
    <definedName name="CAimperv">STR!$G$27</definedName>
    <definedName name="calcarPD" localSheetId="3">[1]PD!#REF!</definedName>
    <definedName name="calcarPD">PH!#REF!</definedName>
    <definedName name="CalcFen15">PH!$G$200</definedName>
    <definedName name="CalcFen3">PR!$G$105</definedName>
    <definedName name="Calcium3" localSheetId="3">[1]PR!#REF!</definedName>
    <definedName name="Calcium3">PR!#REF!</definedName>
    <definedName name="Calcium5" localSheetId="3">[1]CS!#REF!</definedName>
    <definedName name="Calcium5">CS!#REF!</definedName>
    <definedName name="CAnatPct2" localSheetId="3">[1]SR!$G$154</definedName>
    <definedName name="CAnatPct2">SR!$G$138</definedName>
    <definedName name="CAnatPct4" localSheetId="3">[1]NR!$G$155</definedName>
    <definedName name="CAnatPct4">NR!$G$199</definedName>
    <definedName name="CApct1" localSheetId="3">[1]WS!$G$79</definedName>
    <definedName name="CApct1">WS!$G$3</definedName>
    <definedName name="CApct2" localSheetId="3">[1]SR!$G$85</definedName>
    <definedName name="CApct2">SR!$G$112</definedName>
    <definedName name="CApct2F" localSheetId="3">[1]SR!$G$75</definedName>
    <definedName name="CApct2F">SR!#REF!</definedName>
    <definedName name="CApct3" localSheetId="3">[1]PR!$G$111</definedName>
    <definedName name="CApct3">PR!$G$118</definedName>
    <definedName name="CApct4" localSheetId="3">[1]NR!$G$111</definedName>
    <definedName name="CApct4">NR!$G$174</definedName>
    <definedName name="CApctB3">PR!$G$3</definedName>
    <definedName name="CarbShed">OE!#REF!</definedName>
    <definedName name="CAunveg1" localSheetId="3">[1]WS!$G$84</definedName>
    <definedName name="CAunveg1">WS!$G$85</definedName>
    <definedName name="Cedar14">SBM!#REF!</definedName>
    <definedName name="CedarPD">PH!#REF!</definedName>
    <definedName name="Class" localSheetId="3">#REF!</definedName>
    <definedName name="Class">#REF!</definedName>
    <definedName name="cliff0" localSheetId="3">[1]POL!$G$76</definedName>
    <definedName name="cliff0">POL!$G$81</definedName>
    <definedName name="Cliff14">SBM!$D$146</definedName>
    <definedName name="Cliffs14" localSheetId="3">[1]SBM!$G$78</definedName>
    <definedName name="Cliffs14">SBM!$G$146</definedName>
    <definedName name="Climate11">AM!$G$201</definedName>
    <definedName name="Climate12">WBF!$G$160</definedName>
    <definedName name="ClimateLF">SFS!$G$44</definedName>
    <definedName name="ClimatePD">PH!#REF!</definedName>
    <definedName name="ClimateS">Sen!#REF!</definedName>
    <definedName name="COA">PU!#REF!</definedName>
    <definedName name="Colonizer">Sen!$G$191</definedName>
    <definedName name="CompetPD">PH!$G$216</definedName>
    <definedName name="Conduc10">FR!$G$87</definedName>
    <definedName name="Conduc20">PH!$G$153</definedName>
    <definedName name="Conduc3">PR!$G$132</definedName>
    <definedName name="Conduc4">NR!$G$194</definedName>
    <definedName name="Conduc8">INV!$G$124</definedName>
    <definedName name="ConductivS">Sen!$G$160</definedName>
    <definedName name="Connec3">PR!$G$157</definedName>
    <definedName name="Connec4">NR!$G$221</definedName>
    <definedName name="Connec8">INV!$G$155</definedName>
    <definedName name="Connectiv2">SR!#REF!</definedName>
    <definedName name="ConnectivLF">SFS!$G$43</definedName>
    <definedName name="ConsDesig">PU!$D$22</definedName>
    <definedName name="ConsDesig1">PU!$G$22</definedName>
    <definedName name="ConsInvest" localSheetId="3">[1]PU!$G$22</definedName>
    <definedName name="ConsInvest">PU!$G$23</definedName>
    <definedName name="Constric_C" localSheetId="3">[1]CQ!#REF!</definedName>
    <definedName name="Constric_C">EC!#REF!</definedName>
    <definedName name="Constric_S" localSheetId="3">[1]Sen!$G$34</definedName>
    <definedName name="Constric_S">Sen!$G$152</definedName>
    <definedName name="Constric1" localSheetId="3">[1]WS!$G$53</definedName>
    <definedName name="Constric1">WS!$G$59</definedName>
    <definedName name="Constric10" localSheetId="3">[1]FR!$G$64</definedName>
    <definedName name="Constric10">FR!#REF!</definedName>
    <definedName name="Constric2" localSheetId="3">[1]SR!$G$41</definedName>
    <definedName name="Constric2">SR!$G$84</definedName>
    <definedName name="Constric3" localSheetId="3">[1]PR!$G$58</definedName>
    <definedName name="Constric3">PR!$G$86</definedName>
    <definedName name="Constric4" localSheetId="3">[1]NR!$G$54</definedName>
    <definedName name="Constric4">NR!$G$118</definedName>
    <definedName name="Constric5" localSheetId="3">[1]CS!$G$63</definedName>
    <definedName name="Constric5">CS!$G$91</definedName>
    <definedName name="Constric6" localSheetId="3">[1]OE!$G$60</definedName>
    <definedName name="Constric6">OE!$G$87</definedName>
    <definedName name="Constricted">STR!$G$31</definedName>
    <definedName name="ConsumpU">#REF!</definedName>
    <definedName name="ContribUp" localSheetId="3">#REF!</definedName>
    <definedName name="ContribUp">#REF!</definedName>
    <definedName name="Conven">PU!$G$55</definedName>
    <definedName name="Core1" localSheetId="3">[1]STR!$G$25</definedName>
    <definedName name="Core1">STR!$G$63</definedName>
    <definedName name="Core1_11" localSheetId="3">[1]AM!$G$125</definedName>
    <definedName name="Core1_11">AM!$G$176</definedName>
    <definedName name="Core1_13" localSheetId="3">[1]WBN!$G$118</definedName>
    <definedName name="Core1_13">WBN!$G$156</definedName>
    <definedName name="Core10">FR!$G$122</definedName>
    <definedName name="Core12a" localSheetId="3">[1]WBF!$G$102</definedName>
    <definedName name="Core12a">WBF!$G$128</definedName>
    <definedName name="Core12b" localSheetId="3">[1]WBF!$G$107</definedName>
    <definedName name="Core12b">WBF!$G$135</definedName>
    <definedName name="Core13a">WBN!$G$156</definedName>
    <definedName name="Core14a" localSheetId="3">[1]SBM!$G$84</definedName>
    <definedName name="Core14a">SBM!$G$147</definedName>
    <definedName name="Core14b" localSheetId="3">[1]SBM!$G$89</definedName>
    <definedName name="Core14b">SBM!$G$154</definedName>
    <definedName name="Core1pd" localSheetId="3">[1]PD!$G$120</definedName>
    <definedName name="Core1pd">PH!$G$187</definedName>
    <definedName name="Core1PU">PU!$G$40</definedName>
    <definedName name="Core2" localSheetId="3">[1]STR!$G$30</definedName>
    <definedName name="Core2">STR!$G$70</definedName>
    <definedName name="Core2_11" localSheetId="3">[1]AM!$G$130</definedName>
    <definedName name="Core2_11">AM!$G$183</definedName>
    <definedName name="Core2_13" localSheetId="3">[1]WBN!$G$123</definedName>
    <definedName name="Core2_13">WBN!$G$163</definedName>
    <definedName name="Core2pd" localSheetId="3">[1]PD!$G$125</definedName>
    <definedName name="Core2pd">PH!$G$194</definedName>
    <definedName name="Core2PU">PU!$G$47</definedName>
    <definedName name="Core9">FA!$G$131</definedName>
    <definedName name="County" localSheetId="3">#REF!</definedName>
    <definedName name="County">#REF!</definedName>
    <definedName name="CountyNPrank" localSheetId="3">#REF!</definedName>
    <definedName name="CountyNPrank">#REF!</definedName>
    <definedName name="Cover2miDiv">POL!#REF!</definedName>
    <definedName name="CoverAppro_C" localSheetId="3">[1]CQ!#REF!</definedName>
    <definedName name="CoverAppro_C">EC!#REF!</definedName>
    <definedName name="CoverAppro2" localSheetId="3">#REF!</definedName>
    <definedName name="CoverAppro2">#REF!</definedName>
    <definedName name="CovPctScape0">POL!$G$11</definedName>
    <definedName name="Cowardin" localSheetId="3">#REF!</definedName>
    <definedName name="Cowardin">#REF!</definedName>
    <definedName name="crops0" localSheetId="3">[1]POL!$G$105</definedName>
    <definedName name="crops0">POL!#REF!</definedName>
    <definedName name="Crowds" localSheetId="3">#REF!</definedName>
    <definedName name="Crowds">#REF!</definedName>
    <definedName name="Crowds2" localSheetId="3">#REF!</definedName>
    <definedName name="Crowds2">#REF!</definedName>
    <definedName name="Cshed6">OE!#REF!</definedName>
    <definedName name="Cshed9">CS!#REF!</definedName>
    <definedName name="CSshed">CS!#REF!</definedName>
    <definedName name="CtyRankNP" localSheetId="3">#REF!</definedName>
    <definedName name="CtyRankNP">#REF!</definedName>
    <definedName name="CUbuffLUtype8" localSheetId="3">[1]INV!$G$128</definedName>
    <definedName name="CUbuffLUtype8">INV!$G$139</definedName>
    <definedName name="CUbuffNatPct14" localSheetId="3">[1]SBM!$G$94</definedName>
    <definedName name="CUbuffNatPct14">SBM!#REF!</definedName>
    <definedName name="CUbuffPctNat_S" localSheetId="3">[1]Sen!#REF!</definedName>
    <definedName name="CUbuffPctNat_S">Sen!#REF!</definedName>
    <definedName name="CUbuffPctNat8">INV!$G$139</definedName>
    <definedName name="CUratio_S" localSheetId="3">[1]Sen!$G$174</definedName>
    <definedName name="CUratio_S">Sen!$G$54</definedName>
    <definedName name="CUratioSS">SR!$G$112</definedName>
    <definedName name="CUtypeLU14" localSheetId="3">[1]SBM!$G$100</definedName>
    <definedName name="CUtypeLU14">SBM!$G$143</definedName>
    <definedName name="DeadZone" localSheetId="3">#REF!</definedName>
    <definedName name="DeadZone">#REF!</definedName>
    <definedName name="Decid6">OE!#REF!</definedName>
    <definedName name="DecidCov15">PH!$G$68</definedName>
    <definedName name="DecidPct5">CS!#REF!</definedName>
    <definedName name="DecidTree14">SBM!#REF!</definedName>
    <definedName name="DecidTree5">CS!$G$15</definedName>
    <definedName name="DecidTree6">OE!#REF!</definedName>
    <definedName name="DecidTree8">INV!$G$36</definedName>
    <definedName name="DeepSpot10">FR!#REF!</definedName>
    <definedName name="DeepSpot11" localSheetId="3">[1]AM!$G$43</definedName>
    <definedName name="DeepSpot11">AM!#REF!</definedName>
    <definedName name="DeepSpot12" localSheetId="3">[1]WBF!#REF!</definedName>
    <definedName name="DeepSpot12">WBF!#REF!</definedName>
    <definedName name="DeepSpot13">WBN!#REF!</definedName>
    <definedName name="DeepSpot2">SR!#REF!</definedName>
    <definedName name="DeepSpot3">PR!#REF!</definedName>
    <definedName name="DeerHab14">SBM!$G$59</definedName>
    <definedName name="DeerShed14">SBM!$D$59</definedName>
    <definedName name="DeerShedPS">#REF!</definedName>
    <definedName name="DeerShedPS2">#REF!</definedName>
    <definedName name="Depth_S" localSheetId="3">[1]Sen!$G$18</definedName>
    <definedName name="Depth_S">Sen!$G$127</definedName>
    <definedName name="Depth10" localSheetId="3">[1]FR!$G$48</definedName>
    <definedName name="Depth10">FR!$G$46</definedName>
    <definedName name="Depth12" localSheetId="3">[1]WBF!$G$44</definedName>
    <definedName name="Depth12">WBF!$G$91</definedName>
    <definedName name="Depth13" localSheetId="3">[1]WBN!$G$36</definedName>
    <definedName name="Depth13">WBN!$G$93</definedName>
    <definedName name="Depth15" localSheetId="3">[1]PD!$G$37</definedName>
    <definedName name="Depth15">PH!$G$131</definedName>
    <definedName name="Depth2_">SFS!$G$18</definedName>
    <definedName name="Depth5" localSheetId="3">[1]CS!$G$47</definedName>
    <definedName name="Depth5">CS!$G$59</definedName>
    <definedName name="Depth6" localSheetId="3">[1]OE!$G$48</definedName>
    <definedName name="Depth6">OE!$G$57</definedName>
    <definedName name="Depth7" localSheetId="3">[1]T!$G$13</definedName>
    <definedName name="Depth7">WC!$G$20</definedName>
    <definedName name="Depth7w">#REF!</definedName>
    <definedName name="Depth8" localSheetId="3">[1]INV!$G$53</definedName>
    <definedName name="Depth8">INV!$G$87</definedName>
    <definedName name="Depth9" localSheetId="3">[1]FA!$G$38</definedName>
    <definedName name="Depth9">FA!$G$60</definedName>
    <definedName name="DepthC2" localSheetId="3">[1]SR!$G$30</definedName>
    <definedName name="DepthC2">SR!$G$42</definedName>
    <definedName name="DepthDiv8">INV!$G$93</definedName>
    <definedName name="DepthDom5">CS!$G$59</definedName>
    <definedName name="DepthEven10" localSheetId="3">[1]FR!$G$54</definedName>
    <definedName name="DepthEven10">FR!$G$52</definedName>
    <definedName name="DepthEven11" localSheetId="3">[1]AM!#REF!</definedName>
    <definedName name="DepthEven11">AM!#REF!</definedName>
    <definedName name="DepthEven12" localSheetId="3">[1]WBF!$G$50</definedName>
    <definedName name="DepthEven12">WBF!$G$97</definedName>
    <definedName name="DepthEven13" localSheetId="3">[1]WBN!$G$42</definedName>
    <definedName name="DepthEven13">WBN!$G$99</definedName>
    <definedName name="DepthEven8" localSheetId="3">[1]INV!$G$59</definedName>
    <definedName name="DepthEven8">INV!#REF!</definedName>
    <definedName name="Designated" localSheetId="3">#REF!</definedName>
    <definedName name="Designated">#REF!</definedName>
    <definedName name="Desorb3">PR!$G$159</definedName>
    <definedName name="Deveg_C">EC!#REF!</definedName>
    <definedName name="Deveg11" localSheetId="3">[1]AM!$G$113</definedName>
    <definedName name="Deveg11">AM!#REF!</definedName>
    <definedName name="Deveg13" localSheetId="3">[1]WBN!$G$113</definedName>
    <definedName name="Deveg13">WBN!#REF!</definedName>
    <definedName name="Deveg14" localSheetId="3">[1]SBM!$G$79</definedName>
    <definedName name="Deveg14">SBM!#REF!</definedName>
    <definedName name="Deveg2" localSheetId="3">[1]SR!$G$70</definedName>
    <definedName name="Deveg2">SR!#REF!</definedName>
    <definedName name="Deveg5" localSheetId="3">[1]CS!$G$126</definedName>
    <definedName name="Deveg5">CS!#REF!</definedName>
    <definedName name="Deveg6" localSheetId="3">[1]OE!$G$110</definedName>
    <definedName name="Deveg6">OE!#REF!</definedName>
    <definedName name="Deveg8" localSheetId="3">[1]INV!$G$116</definedName>
    <definedName name="Deveg8">INV!#REF!</definedName>
    <definedName name="devegPD" localSheetId="3">[1]PD!$G$109</definedName>
    <definedName name="devegPD">PH!#REF!</definedName>
    <definedName name="DisRd14" localSheetId="3">[1]SBM!$G$109</definedName>
    <definedName name="DisRd14">SBM!$G$41</definedName>
    <definedName name="Dist2RareCov0">POL!#REF!</definedName>
    <definedName name="DistAnad">OE!#REF!</definedName>
    <definedName name="DistBig15">PH!$G$18</definedName>
    <definedName name="DistExceedSS" localSheetId="3">[1]SR!#REF!</definedName>
    <definedName name="DistExceedSS">SR!#REF!</definedName>
    <definedName name="DistNat0">POL!$G$3</definedName>
    <definedName name="DistRareTyp11">AM!#REF!</definedName>
    <definedName name="DistRareTyp14">SBM!#REF!</definedName>
    <definedName name="DistRareTyp8">INV!#REF!</definedName>
    <definedName name="DistRareTypPD">PH!#REF!</definedName>
    <definedName name="DistRareTypS">Sen!#REF!</definedName>
    <definedName name="DistRd" localSheetId="3">[1]STR!$G$54</definedName>
    <definedName name="DistRd">STR!$G$9</definedName>
    <definedName name="DistRd10">FR!$G$115</definedName>
    <definedName name="DistRd9">FA!$G$124</definedName>
    <definedName name="DistRdPD" localSheetId="3">[1]PD!$G$163</definedName>
    <definedName name="DistRdPD">PH!$G$38</definedName>
    <definedName name="DistRdPU">PU!$G$9</definedName>
    <definedName name="DistToRareCov0">POL!#REF!</definedName>
    <definedName name="Disturb" localSheetId="3">#REF!</definedName>
    <definedName name="Disturb">#REF!</definedName>
    <definedName name="DisturbStress">STR!$G$88</definedName>
    <definedName name="Ditching1">WS!#REF!</definedName>
    <definedName name="DomDepth3" localSheetId="3">[1]PR!$G$47</definedName>
    <definedName name="DomDepth3">PR!$G$56</definedName>
    <definedName name="DownDistExceedSS" localSheetId="3">[1]SR!$G$112</definedName>
    <definedName name="DownDistExceedSS">SR!#REF!</definedName>
    <definedName name="DownEroding" localSheetId="3">#REF!</definedName>
    <definedName name="DownEroding">#REF!</definedName>
    <definedName name="DownExceed" localSheetId="3">#REF!</definedName>
    <definedName name="DownExceed">#REF!</definedName>
    <definedName name="DownExceed2">SR!#REF!</definedName>
    <definedName name="DownExceedDist" localSheetId="3">#REF!</definedName>
    <definedName name="DownExceedDist">#REF!</definedName>
    <definedName name="DownExceedSS">SR!#REF!</definedName>
    <definedName name="DownNitrate" localSheetId="3">#REF!</definedName>
    <definedName name="DownNitrate">#REF!</definedName>
    <definedName name="DownPhos" localSheetId="3">#REF!</definedName>
    <definedName name="DownPhos">#REF!</definedName>
    <definedName name="DownStorage" localSheetId="3">#REF!</definedName>
    <definedName name="DownStorage">#REF!</definedName>
    <definedName name="DownStore1" localSheetId="3">[1]WS!$G$102</definedName>
    <definedName name="DownStore1">WS!#REF!</definedName>
    <definedName name="DownThermo" localSheetId="3">#REF!</definedName>
    <definedName name="DownThermo">#REF!</definedName>
    <definedName name="DownTurb" localSheetId="3">#REF!</definedName>
    <definedName name="DownTurb">#REF!</definedName>
    <definedName name="downwood0" localSheetId="3">[1]POL!$G$69</definedName>
    <definedName name="downwood0">POL!$G$37</definedName>
    <definedName name="DownWQdis2">SR!#REF!</definedName>
    <definedName name="Drawdown3" localSheetId="3">[1]PR!$G$14</definedName>
    <definedName name="Drawdown3">PR!#REF!</definedName>
    <definedName name="Drier" localSheetId="3">[1]STR!$G$3</definedName>
    <definedName name="Drier">STR!$G$77</definedName>
    <definedName name="drier1">WS!#REF!</definedName>
    <definedName name="drier1a">WS!#REF!</definedName>
    <definedName name="Drier3" localSheetId="3">[1]PR!$G$105</definedName>
    <definedName name="Drier3">PR!#REF!</definedName>
    <definedName name="Drier4" localSheetId="3">[1]NR!$G$103</definedName>
    <definedName name="Drier4">NR!#REF!</definedName>
    <definedName name="Drier5" localSheetId="3">[1]CS!$G$135</definedName>
    <definedName name="Drier5">CS!#REF!</definedName>
    <definedName name="DrierEx">STR!$G$78</definedName>
    <definedName name="Drink4" localSheetId="3">[1]NR!$G$136</definedName>
    <definedName name="Drink4">NR!#REF!</definedName>
    <definedName name="DryIntercept">SR!$G$153</definedName>
    <definedName name="DuckFood12" localSheetId="3">[1]WBF!$G$84</definedName>
    <definedName name="DuckFood12">WBF!#REF!</definedName>
    <definedName name="DuckFood13" localSheetId="3">[1]WBN!$G$93</definedName>
    <definedName name="DuckFood13">WBN!#REF!</definedName>
    <definedName name="DuckHunt">WBF!$G$155</definedName>
    <definedName name="DWsource3">PR!#REF!</definedName>
    <definedName name="Elev">SR!#REF!</definedName>
    <definedName name="Elev_S">Sen!$G$49</definedName>
    <definedName name="Elev1">WS!#REF!</definedName>
    <definedName name="Elev10">FR!#REF!</definedName>
    <definedName name="Elev11">AM!#REF!</definedName>
    <definedName name="Elev12">WBF!#REF!</definedName>
    <definedName name="Elev13">WBN!#REF!</definedName>
    <definedName name="Elev14">SBM!#REF!</definedName>
    <definedName name="Elev2">SR!#REF!</definedName>
    <definedName name="Elev2_">SFS!#REF!</definedName>
    <definedName name="Elev2a">SR!#REF!</definedName>
    <definedName name="Elev3">PR!#REF!</definedName>
    <definedName name="Elev4">NR!$G$7</definedName>
    <definedName name="Elev4v">NR!#REF!</definedName>
    <definedName name="Elev5">CS!#REF!</definedName>
    <definedName name="Elev6">OE!#REF!</definedName>
    <definedName name="Elev7">WC!#REF!</definedName>
    <definedName name="Elev7w">#REF!</definedName>
    <definedName name="Elev9">FA!#REF!</definedName>
    <definedName name="Elevatn2">SFS!#REF!</definedName>
    <definedName name="ElevPD">PH!#REF!</definedName>
    <definedName name="ElevPU">PU!#REF!</definedName>
    <definedName name="ElevS">#REF!</definedName>
    <definedName name="EmPct12" localSheetId="3">[1]WBF!$G$78</definedName>
    <definedName name="EmPct12">WBF!$G$64</definedName>
    <definedName name="EmPct13" localSheetId="3">[1]WBN!$G$74</definedName>
    <definedName name="EmPct13">WBN!$G$61</definedName>
    <definedName name="EmPct8" localSheetId="3">[1]INV!$G$88</definedName>
    <definedName name="EmPct8">INV!#REF!</definedName>
    <definedName name="EmSens1_C" localSheetId="3">[1]CQ!$G$37</definedName>
    <definedName name="EmSens1_C">EC!$G$21</definedName>
    <definedName name="EmSens1_S" localSheetId="3">[1]Sen!$G$62</definedName>
    <definedName name="EmSens1_S">Sen!$G$114</definedName>
    <definedName name="EmSens2_C" localSheetId="3">[1]CQ!$G$46</definedName>
    <definedName name="EmSens2_C">EC!#REF!</definedName>
    <definedName name="EmSens2_S" localSheetId="3">[1]Sen!#REF!</definedName>
    <definedName name="EmSens2_S">Sen!#REF!</definedName>
    <definedName name="Enrich">STR!$G$81</definedName>
    <definedName name="Entrain">SR!$G$152</definedName>
    <definedName name="Erodib_S" localSheetId="3">[1]Sen!$G$157</definedName>
    <definedName name="Erodib_S">Sen!$G$53</definedName>
    <definedName name="Erodible2">SR!$G$149</definedName>
    <definedName name="ErodibleSS" localSheetId="3">[1]SR!$G$116</definedName>
    <definedName name="ErodibleSS">SR!$G$149</definedName>
    <definedName name="Eroding_C" localSheetId="3">[1]CQ!#REF!</definedName>
    <definedName name="Eroding_C">EC!#REF!</definedName>
    <definedName name="Eroding2" localSheetId="3">#REF!</definedName>
    <definedName name="Eroding2">#REF!</definedName>
    <definedName name="ErodScore3" localSheetId="3">[1]PR!$G$128</definedName>
    <definedName name="ErodScore3">PR!$G$107</definedName>
    <definedName name="EstuPos1">WS!#REF!</definedName>
    <definedName name="EstuPos1low" localSheetId="3">[1]WS!$D$5</definedName>
    <definedName name="EstuPos1low">WS!#REF!</definedName>
    <definedName name="EstuPos1mid" localSheetId="3">[1]WS!$D$6</definedName>
    <definedName name="EstuPos1mid">WS!#REF!</definedName>
    <definedName name="EstuPos1up">WS!#REF!</definedName>
    <definedName name="EstuPos3" localSheetId="3">[1]PR!$G$10</definedName>
    <definedName name="EstuPos3">PR!#REF!</definedName>
    <definedName name="EstuPos5">CS!#REF!</definedName>
    <definedName name="EstuPos9" localSheetId="3">[1]FA!#REF!</definedName>
    <definedName name="EstuPos9">FA!#REF!</definedName>
    <definedName name="EstuPosLo9" localSheetId="3">[1]FA!#REF!</definedName>
    <definedName name="EstuPosLo9">FA!#REF!</definedName>
    <definedName name="EstuPosMid9" localSheetId="3">[1]FA!#REF!</definedName>
    <definedName name="EstuPosMid9">FA!#REF!</definedName>
    <definedName name="EstuPosPD" localSheetId="3">[1]PD!$G$21</definedName>
    <definedName name="EstuPosPD">PH!#REF!</definedName>
    <definedName name="EstuPosUp9" localSheetId="3">[1]FA!#REF!</definedName>
    <definedName name="EstuPosUp9">FA!#REF!</definedName>
    <definedName name="exoticmivs8" localSheetId="3">[1]INV!$G$75</definedName>
    <definedName name="exoticmivs8">INV!#REF!</definedName>
    <definedName name="Exotics" localSheetId="3">[1]CQ!$G$13</definedName>
    <definedName name="Exotics">EC!#REF!</definedName>
    <definedName name="ExportPot6">OE!$G$119</definedName>
    <definedName name="Fdamage">WS!$G$80</definedName>
    <definedName name="Fen2_">SFS!$D$10</definedName>
    <definedName name="Fen7a">WC!#REF!</definedName>
    <definedName name="Fen7w">#REF!</definedName>
    <definedName name="FenMarsh">F!$D$7</definedName>
    <definedName name="Fertility">Sen!$G$190</definedName>
    <definedName name="FHA4a" localSheetId="3">[1]FA!#REF!</definedName>
    <definedName name="FHA4a">FA!#REF!</definedName>
    <definedName name="Fire4" localSheetId="3">[1]NR!$G$69</definedName>
    <definedName name="Fire4">NR!#REF!</definedName>
    <definedName name="firehay0" localSheetId="3">[1]POL!$G$55</definedName>
    <definedName name="firehay0">POL!#REF!</definedName>
    <definedName name="FireHay12" localSheetId="3">[1]WBF!$G$90</definedName>
    <definedName name="FireHay12">WBF!#REF!</definedName>
    <definedName name="FireHay13" localSheetId="3">[1]WBN!$G$99</definedName>
    <definedName name="FireHay13">WBN!#REF!</definedName>
    <definedName name="FireHay3" localSheetId="3">[1]PR!$G$75</definedName>
    <definedName name="FireHay3">PR!#REF!</definedName>
    <definedName name="FireHay5" localSheetId="3">[1]CS!$G$101</definedName>
    <definedName name="FireHay5">CS!#REF!</definedName>
    <definedName name="FireHay6" localSheetId="3">[1]OE!$G$85</definedName>
    <definedName name="FireHay6">OE!#REF!</definedName>
    <definedName name="FireHayPD" localSheetId="3">[1]PD!$G$86</definedName>
    <definedName name="FireHayPD">PH!#REF!</definedName>
    <definedName name="Fish10">FR!#REF!</definedName>
    <definedName name="Fish11">AM!#REF!</definedName>
    <definedName name="Fish12a">WBF!$G$44</definedName>
    <definedName name="Fish13">WBN!#REF!</definedName>
    <definedName name="fISH13A">WBN!$G$37</definedName>
    <definedName name="Fish8">INV!$G$20</definedName>
    <definedName name="FishAcc11">AM!$G$60</definedName>
    <definedName name="FishAcc12" localSheetId="3">[1]WBF!$G$101</definedName>
    <definedName name="FishAcc12">WBF!#REF!</definedName>
    <definedName name="FishAccessS">#REF!</definedName>
    <definedName name="Fishing" localSheetId="3">[1]FR!$D$111</definedName>
    <definedName name="Fishing">FR!$D$129</definedName>
    <definedName name="Fishing10">FR!$G$129</definedName>
    <definedName name="Fishing9">FA!$D$138</definedName>
    <definedName name="FloDist1">WS!$G$12</definedName>
    <definedName name="FloDist4">NR!$G$20</definedName>
    <definedName name="FloDist6">OE!$G$3</definedName>
    <definedName name="Floodable" localSheetId="3">#REF!</definedName>
    <definedName name="Floodable">#REF!</definedName>
    <definedName name="FloodBdg1" localSheetId="3">[1]WS!$G$96</definedName>
    <definedName name="FloodBdg1">WS!$G$79</definedName>
    <definedName name="Flow8">INV!#REF!</definedName>
    <definedName name="FlowDist2">SR!$G$8</definedName>
    <definedName name="FlowDist3">PR!$G$8</definedName>
    <definedName name="FlowIn2">SR!#REF!</definedName>
    <definedName name="FlowThruFringe">F!#REF!</definedName>
    <definedName name="Fluc2">SR!$G$37</definedName>
    <definedName name="FlucMax1" localSheetId="3">[1]WS!#REF!</definedName>
    <definedName name="FlucMax1">WS!#REF!</definedName>
    <definedName name="FlucMax11" localSheetId="3">[1]AM!#REF!</definedName>
    <definedName name="FlucMax11">AM!#REF!</definedName>
    <definedName name="FlucMax13" localSheetId="3">[1]WBN!#REF!</definedName>
    <definedName name="FlucMax13">WBN!#REF!</definedName>
    <definedName name="FlucMax2" localSheetId="3">[1]SR!#REF!</definedName>
    <definedName name="FlucMax2">SR!#REF!</definedName>
    <definedName name="FlucMax3" localSheetId="3">[1]PR!#REF!</definedName>
    <definedName name="FlucMax3">PR!#REF!</definedName>
    <definedName name="FlucMax4" localSheetId="3">[1]NR!#REF!</definedName>
    <definedName name="FlucMax4">NR!#REF!</definedName>
    <definedName name="FlucMax5" localSheetId="3">[1]CS!#REF!</definedName>
    <definedName name="FlucMax5">CS!#REF!</definedName>
    <definedName name="FlucMax6" localSheetId="3">[1]OE!#REF!</definedName>
    <definedName name="FlucMax6">OE!#REF!</definedName>
    <definedName name="FlucMost2" localSheetId="3">[1]SR!#REF!</definedName>
    <definedName name="FlucMost2">SR!#REF!</definedName>
    <definedName name="FlucPD">PH!$G$126</definedName>
    <definedName name="Fluctu11" localSheetId="3">[1]AM!$G$37</definedName>
    <definedName name="Fluctu11">AM!$G$125</definedName>
    <definedName name="Fluctu13" localSheetId="3">[1]WBN!$G$30</definedName>
    <definedName name="Fluctu13">WBN!$G$88</definedName>
    <definedName name="Fluctu3" localSheetId="3">[1]PR!$G$41</definedName>
    <definedName name="Fluctu3">PR!$G$51</definedName>
    <definedName name="Fluctu4" localSheetId="3">[1]NR!$G$37</definedName>
    <definedName name="Fluctu4">NR!$G$83</definedName>
    <definedName name="Fluctu5" localSheetId="3">[1]CS!$G$41</definedName>
    <definedName name="Fluctu5">CS!$G$54</definedName>
    <definedName name="Fluctu6" localSheetId="3">[1]OE!$G$42</definedName>
    <definedName name="Fluctu6">OE!$G$52</definedName>
    <definedName name="Fluctu8" localSheetId="3">[1]INV!$G$47</definedName>
    <definedName name="Fluctu8">INV!$G$82</definedName>
    <definedName name="Fluctua1" localSheetId="3">[1]WS!$G$42</definedName>
    <definedName name="Fluctua1">WS!$G$42</definedName>
    <definedName name="FocalSp14">SBM!#REF!</definedName>
    <definedName name="Food8">INV!$G$156</definedName>
    <definedName name="Forbs0">POL!$G$52</definedName>
    <definedName name="ForestedPeat">F!$D$5</definedName>
    <definedName name="ForestPctScape11" localSheetId="3">[1]AM!$G$135</definedName>
    <definedName name="ForestPctScape11">AM!#REF!</definedName>
    <definedName name="ForestPctScape14" localSheetId="3">[1]SBM!$G$116</definedName>
    <definedName name="ForestPctScape14">SBM!#REF!</definedName>
    <definedName name="ForestProx11" localSheetId="3">[1]AM!$G$141</definedName>
    <definedName name="ForestProx11">AM!#REF!</definedName>
    <definedName name="ForestProx14" localSheetId="3">[1]SBM!$G$122</definedName>
    <definedName name="ForestProx14">SBM!#REF!</definedName>
    <definedName name="ForestSize11" localSheetId="3">[1]AM!$G$146</definedName>
    <definedName name="ForestSize11">AM!#REF!</definedName>
    <definedName name="ForestSize14" localSheetId="3">[1]SBM!$G$127</definedName>
    <definedName name="ForestSize14">SBM!#REF!</definedName>
    <definedName name="FragStress">STR!$G$87</definedName>
    <definedName name="Freeze_S" localSheetId="3">[1]Sen!$G$115</definedName>
    <definedName name="Freeze_S">Sen!#REF!</definedName>
    <definedName name="Freeze1" localSheetId="3">[1]WS!$G$62</definedName>
    <definedName name="Freeze1">WS!#REF!</definedName>
    <definedName name="Freeze10">FR!#REF!</definedName>
    <definedName name="Freeze12" localSheetId="3">[1]WBF!$D$71</definedName>
    <definedName name="Freeze12">WBF!#REF!</definedName>
    <definedName name="Freeze2" localSheetId="3">[1]SR!#REF!</definedName>
    <definedName name="Freeze2">SR!#REF!</definedName>
    <definedName name="Freeze3" localSheetId="3">[1]PR!$G$73</definedName>
    <definedName name="Freeze3">PR!#REF!</definedName>
    <definedName name="Freeze4" localSheetId="3">[1]NR!$G$101</definedName>
    <definedName name="Freeze4">NR!#REF!</definedName>
    <definedName name="Freeze5" localSheetId="3">[1]CS!$G$81</definedName>
    <definedName name="Freeze5">CS!#REF!</definedName>
    <definedName name="Freeze6" localSheetId="3">[1]OE!$G$78</definedName>
    <definedName name="Freeze6">OE!#REF!</definedName>
    <definedName name="Freeze9" localSheetId="3">[1]FA!#REF!</definedName>
    <definedName name="Freeze9">FA!#REF!</definedName>
    <definedName name="FreezeDur5">CS!#REF!</definedName>
    <definedName name="FreezeDura3">PR!$G$154</definedName>
    <definedName name="FreezeProne" localSheetId="3">#REF!</definedName>
    <definedName name="FreezeProne">#REF!</definedName>
    <definedName name="Freezing">WS!$G$95</definedName>
    <definedName name="Fresh11" localSheetId="3">[1]AM!#REF!</definedName>
    <definedName name="Fresh11">AM!#REF!</definedName>
    <definedName name="Friction">WS!$G$97</definedName>
    <definedName name="Fringe1" localSheetId="3">[1]WS!$G$3</definedName>
    <definedName name="Fringe1">WS!#REF!</definedName>
    <definedName name="Fringe10" localSheetId="3">[1]FR!$D$3</definedName>
    <definedName name="Fringe10">FR!#REF!</definedName>
    <definedName name="Fringe12" localSheetId="3">[1]WBF!$D$3</definedName>
    <definedName name="Fringe12">WBF!$D$70</definedName>
    <definedName name="Fringe12a">WBF!$G$70</definedName>
    <definedName name="Fringe13">WBN!$G$67</definedName>
    <definedName name="Fringe14">SBM!#REF!</definedName>
    <definedName name="Fringe14a">SBM!#REF!</definedName>
    <definedName name="Fringe2" localSheetId="3">[1]SR!#REF!</definedName>
    <definedName name="Fringe2">SR!#REF!</definedName>
    <definedName name="Fringe7a">WC!$D$63</definedName>
    <definedName name="Fringe7b">WC!$G$63</definedName>
    <definedName name="Fringe9">FA!#REF!</definedName>
    <definedName name="FrozDur4">NR!$G$219</definedName>
    <definedName name="FrozDur6">OE!$G$116</definedName>
    <definedName name="Frozen2">SR!$G$155</definedName>
    <definedName name="FscoreSRM">SBM!$G$172</definedName>
    <definedName name="FscoreWBF">WBF!$G$164</definedName>
    <definedName name="FscoreWBN">WBN!$G$181</definedName>
    <definedName name="Gcover_S" localSheetId="3">[1]Sen!$G$105</definedName>
    <definedName name="Gcover_S">Sen!$G$100</definedName>
    <definedName name="gcover0" localSheetId="3">[1]POL!$G$64</definedName>
    <definedName name="gcover0">POL!$G$43</definedName>
    <definedName name="Gcover11" localSheetId="3">[1]AM!$G$93</definedName>
    <definedName name="Gcover11">AM!$G$93</definedName>
    <definedName name="Gcover14" localSheetId="3">[1]SBM!$G$57</definedName>
    <definedName name="Gcover14">SBM!$G$96</definedName>
    <definedName name="Gcover2" localSheetId="3">[1]SR!$G$56</definedName>
    <definedName name="Gcover2">SR!$G$22</definedName>
    <definedName name="Gcover3" localSheetId="3">[1]PR!$G$81</definedName>
    <definedName name="Gcover3">PR!$G$22</definedName>
    <definedName name="Gcover4" localSheetId="3">[1]NR!$G$75</definedName>
    <definedName name="Gcover4">NR!$G$45</definedName>
    <definedName name="Gcover5" localSheetId="3">[1]CS!$G$107</definedName>
    <definedName name="Gcover5">CS!#REF!</definedName>
    <definedName name="Gcover6" localSheetId="3">[1]OE!$G$91</definedName>
    <definedName name="Gcover6">OE!$G$29</definedName>
    <definedName name="Gcover8" localSheetId="3">[1]INV!$G$103</definedName>
    <definedName name="Gcover8">INV!$G$51</definedName>
    <definedName name="GDD_S">Sen!$G$59</definedName>
    <definedName name="GDD2_">SFS!#REF!</definedName>
    <definedName name="GDDays1">[2]WS!$G$9</definedName>
    <definedName name="GDDays11">[2]AM!$G$62</definedName>
    <definedName name="GDDays2">[2]SR!$G$9</definedName>
    <definedName name="GDDays3">[2]PR!$G$9</definedName>
    <definedName name="GDDpd">PH!$G$54</definedName>
    <definedName name="Geog11">AM!#REF!</definedName>
    <definedName name="GeogPD">PH!#REF!</definedName>
    <definedName name="Geograph14">SBM!#REF!</definedName>
    <definedName name="Geography12">WBF!#REF!</definedName>
    <definedName name="Geography14">SBM!#REF!</definedName>
    <definedName name="GeogS">Sen!#REF!</definedName>
    <definedName name="girreg0" localSheetId="3">[1]POL!$G$72</definedName>
    <definedName name="girreg0">POL!$G$48</definedName>
    <definedName name="Girreg1" localSheetId="3">[1]WS!$G$63</definedName>
    <definedName name="Girreg1">WS!$G$26</definedName>
    <definedName name="Girreg11" localSheetId="3">[1]AM!$G$104</definedName>
    <definedName name="Girreg11">AM!$G$98</definedName>
    <definedName name="Girreg14" localSheetId="3">[1]SBM!$G$72</definedName>
    <definedName name="Girreg14">SBM!$G$101</definedName>
    <definedName name="Girreg2" localSheetId="3">[1]SR!$G$61</definedName>
    <definedName name="Girreg2">SR!$G$27</definedName>
    <definedName name="Girreg3" localSheetId="3">[1]PR!$G$91</definedName>
    <definedName name="Girreg3">PR!$G$27</definedName>
    <definedName name="Girreg4" localSheetId="3">[1]NR!$G$92</definedName>
    <definedName name="Girreg4">NR!$G$50</definedName>
    <definedName name="Girreg5" localSheetId="3">[1]CS!$G$117</definedName>
    <definedName name="Girreg5">CS!#REF!</definedName>
    <definedName name="Girreg6" localSheetId="3">[1]OE!$G$101</definedName>
    <definedName name="Girreg6">OE!#REF!</definedName>
    <definedName name="Girreg8" localSheetId="3">[1]INV!$G$111</definedName>
    <definedName name="Girreg8">INV!$G$56</definedName>
    <definedName name="GirregCQ">EC!$G$14</definedName>
    <definedName name="GirregPD" localSheetId="3">[1]PD!$G$100</definedName>
    <definedName name="GirregPD">PH!$G$89</definedName>
    <definedName name="Glacier1">WS!#REF!</definedName>
    <definedName name="Glacier10">FR!#REF!</definedName>
    <definedName name="Glacier11">AM!#REF!</definedName>
    <definedName name="Glacier2">SR!#REF!</definedName>
    <definedName name="glacier2_">SFS!#REF!</definedName>
    <definedName name="Glacier3">PR!#REF!</definedName>
    <definedName name="Glacier5">CS!#REF!</definedName>
    <definedName name="Glacier6">OE!#REF!</definedName>
    <definedName name="Glacier7">WC!#REF!</definedName>
    <definedName name="Glacier7w">#REF!</definedName>
    <definedName name="Glacier8">INV!#REF!</definedName>
    <definedName name="Glacier9">FA!#REF!</definedName>
    <definedName name="GlacierPD">PH!#REF!</definedName>
    <definedName name="Glean20">PH!#REF!</definedName>
    <definedName name="GpA_2">SFS!$G$43</definedName>
    <definedName name="GpA7c">WC!#REF!</definedName>
    <definedName name="GpA7w">#REF!</definedName>
    <definedName name="GpB_2">SFS!$G$44</definedName>
    <definedName name="GpB7c">WC!#REF!</definedName>
    <definedName name="GpB7w">#REF!</definedName>
    <definedName name="GpC_2">SFS!$G$45</definedName>
    <definedName name="Gradient1" localSheetId="3">[1]WS!$G$67</definedName>
    <definedName name="Gradient1">WS!$G$73</definedName>
    <definedName name="Gradient11" localSheetId="3">[1]AM!$G$108</definedName>
    <definedName name="Gradient11">AM!#REF!</definedName>
    <definedName name="Gradient12" localSheetId="3">[1]WBF!$G$96</definedName>
    <definedName name="Gradient12">WBF!$G$123</definedName>
    <definedName name="Gradient13" localSheetId="3">[1]WBN!$G$108</definedName>
    <definedName name="Gradient13">WBN!$G$142</definedName>
    <definedName name="Gradient2" localSheetId="3">[1]SR!$G$65</definedName>
    <definedName name="Gradient2">SR!$G$94</definedName>
    <definedName name="Gradient3" localSheetId="3">[1]PR!$G$95</definedName>
    <definedName name="Gradient3">PR!$G$100</definedName>
    <definedName name="Gradient4" localSheetId="3">[1]NR!$G$96</definedName>
    <definedName name="Gradient4">NR!$G$136</definedName>
    <definedName name="Gradient5" localSheetId="3">[1]CS!$G$121</definedName>
    <definedName name="Gradient5">CS!$G$99</definedName>
    <definedName name="Gradient6" localSheetId="3">[1]OE!$G$105</definedName>
    <definedName name="Gradient6">OE!$G$101</definedName>
    <definedName name="gramin0" localSheetId="3">[1]POL!$G$18</definedName>
    <definedName name="gramin0">POL!$G$52</definedName>
    <definedName name="Granite10">FR!#REF!</definedName>
    <definedName name="Granite4">NR!#REF!</definedName>
    <definedName name="Granite5">CS!#REF!</definedName>
    <definedName name="Granite6">OE!#REF!</definedName>
    <definedName name="Granite7">INV!#REF!</definedName>
    <definedName name="GranitePD">PH!#REF!</definedName>
    <definedName name="GraniteSoilPD">PH!#REF!</definedName>
    <definedName name="groundw0" localSheetId="3">[1]POL!#REF!</definedName>
    <definedName name="groundw0">POL!#REF!</definedName>
    <definedName name="Groundw1">WS!$G$69</definedName>
    <definedName name="Groundw10">FR!$G$96</definedName>
    <definedName name="GroundW11" localSheetId="3">[1]AM!$G$49</definedName>
    <definedName name="GroundW11">AM!$G$163</definedName>
    <definedName name="Groundw13" localSheetId="3">[1]WBN!#REF!</definedName>
    <definedName name="Groundw13">WBN!#REF!</definedName>
    <definedName name="Groundw2_">SFS!$G$30</definedName>
    <definedName name="Groundw3">PR!$G$137</definedName>
    <definedName name="Groundw4" localSheetId="3">[1]NR!$G$44</definedName>
    <definedName name="Groundw4">NR!$G$132</definedName>
    <definedName name="GroundW5" localSheetId="3">[1]CS!$G$53</definedName>
    <definedName name="GroundW5">CS!$G$95</definedName>
    <definedName name="Groundw6">OE!$G$97</definedName>
    <definedName name="GroundW8" localSheetId="3">[1]INV!$G$64</definedName>
    <definedName name="Groundw8">INV!$G$129</definedName>
    <definedName name="GroundW9" localSheetId="3">[1]FA!$G$45</definedName>
    <definedName name="GroundW9">FA!$G$101</definedName>
    <definedName name="GroundwCooling">WC!#REF!</definedName>
    <definedName name="GroundwDisch">SFS!$G$45</definedName>
    <definedName name="GroundwLF">SFS!$G$45</definedName>
    <definedName name="GroundwWarming">#REF!</definedName>
    <definedName name="GrowthRate">Sen!$G$192</definedName>
    <definedName name="Gwater7" localSheetId="3">[1]T!$G$19</definedName>
    <definedName name="Gwater7">WC!$G$39</definedName>
    <definedName name="Gwater7w">#REF!</definedName>
    <definedName name="GWpd">PH!$G$162</definedName>
    <definedName name="GWrisk4" localSheetId="3">[1]NR!$G$139</definedName>
    <definedName name="GWrisk4">NR!#REF!</definedName>
    <definedName name="GWsens">NR!$G$163</definedName>
    <definedName name="GWval7" localSheetId="3">[1]T!#REF!</definedName>
    <definedName name="GWval7">WC!#REF!</definedName>
    <definedName name="Hardwd14">SBM!#REF!</definedName>
    <definedName name="HardwdPD">PH!#REF!</definedName>
    <definedName name="Hardwood8">INV!#REF!</definedName>
    <definedName name="Harvested" localSheetId="3">#REF!</definedName>
    <definedName name="Harvested">#REF!</definedName>
    <definedName name="HasWater5">CS!#REF!</definedName>
    <definedName name="herb1pd" localSheetId="3">[1]PD!$G$60</definedName>
    <definedName name="herb2pd" localSheetId="3">[1]PD!$G$69</definedName>
    <definedName name="herb2pd">PH!#REF!</definedName>
    <definedName name="herbdiv0">POL!$G$58</definedName>
    <definedName name="HerbDiv8">INV!$G$60</definedName>
    <definedName name="HerbDom1">EC!$G$18</definedName>
    <definedName name="herbdom15">PH!$G$99</definedName>
    <definedName name="HerbDom2" localSheetId="3">[1]Sen!$G$68</definedName>
    <definedName name="HerbDom2">Sen!$G$111</definedName>
    <definedName name="herblt50">POL!#REF!</definedName>
    <definedName name="herbpct0">POL!#REF!</definedName>
    <definedName name="herbrare0" localSheetId="3">[1]POL!$G$31</definedName>
    <definedName name="herbrare0">POL!#REF!</definedName>
    <definedName name="herbsens0" localSheetId="3">[1]POL!$G$22</definedName>
    <definedName name="herbsens0">POL!$G$61</definedName>
    <definedName name="HerbSens2_S" localSheetId="3">[1]Sen!$G$71</definedName>
    <definedName name="HerbSens2_S">Sen!#REF!</definedName>
    <definedName name="HerbUbiq1">EC!#REF!</definedName>
    <definedName name="HerbUniq">AM!$G$191</definedName>
    <definedName name="HerbUniq0">POL!$G$84</definedName>
    <definedName name="HerbUniq12">WBF!$G$142</definedName>
    <definedName name="HerbUniq13">WBN!$G$170</definedName>
    <definedName name="HerbUniq14">SBM!$G$160</definedName>
    <definedName name="HerbUniq20">PH!$G$206</definedName>
    <definedName name="HistAccum5">CS!$G$119</definedName>
    <definedName name="HistAccum6">OE!$G$114</definedName>
    <definedName name="HistDry12" localSheetId="3">[1]WBF!$G$18</definedName>
    <definedName name="HistDry12">WBF!#REF!</definedName>
    <definedName name="HistDry13" localSheetId="3">[1]WBN!$G$10</definedName>
    <definedName name="HistDry13">WBN!#REF!</definedName>
    <definedName name="HistDry3">PR!#REF!</definedName>
    <definedName name="HistDry4" localSheetId="3">[1]NR!#REF!</definedName>
    <definedName name="HistDry4">NR!#REF!</definedName>
    <definedName name="HistDry5" localSheetId="3">[1]CS!$G$15</definedName>
    <definedName name="HistDry5">CS!#REF!</definedName>
    <definedName name="HistWet11" localSheetId="3">[1]AM!#REF!</definedName>
    <definedName name="HistWet11">AM!#REF!</definedName>
    <definedName name="HistWet12" localSheetId="3">[1]WBF!#REF!</definedName>
    <definedName name="HistWet12">WBF!#REF!</definedName>
    <definedName name="HistWet13" localSheetId="3">[1]WBN!#REF!</definedName>
    <definedName name="HistWet13">WBN!#REF!</definedName>
    <definedName name="HistWet3" localSheetId="3">[1]PR!#REF!</definedName>
    <definedName name="HistWet3">PR!#REF!</definedName>
    <definedName name="HistWet4" localSheetId="3">[1]NR!#REF!</definedName>
    <definedName name="HistWet4">NR!#REF!</definedName>
    <definedName name="HistWet5" localSheetId="3">[1]CS!#REF!</definedName>
    <definedName name="HistWet5">CS!#REF!</definedName>
    <definedName name="HotSpring7" localSheetId="3">[1]T!$D$4</definedName>
    <definedName name="HotSpring7">WC!#REF!</definedName>
    <definedName name="Hotspring9" localSheetId="3">[1]FA!$D$5</definedName>
    <definedName name="Hotspring9">FA!#REF!</definedName>
    <definedName name="HtDiv12" localSheetId="3">[1]WBF!#REF!</definedName>
    <definedName name="HtDiv12">WBF!#REF!</definedName>
    <definedName name="HtDiv13" localSheetId="3">[1]WBN!$G$105</definedName>
    <definedName name="HtDiv13">WBN!#REF!</definedName>
    <definedName name="HtDivPD" localSheetId="3">[1]PD!$G$92</definedName>
    <definedName name="HtDivPD">PH!#REF!</definedName>
    <definedName name="htunif0" localSheetId="3">[1]POL!$G$61</definedName>
    <definedName name="htunif0">POL!#REF!</definedName>
    <definedName name="HtUnif14">SBM!#REF!</definedName>
    <definedName name="HUCbigW12" localSheetId="3">[1]WBF!$G$164</definedName>
    <definedName name="HUCbigW12">WBF!#REF!</definedName>
    <definedName name="HUCbigW13" localSheetId="3">[1]WBN!$G$192</definedName>
    <definedName name="HUCbigW13">WBN!#REF!</definedName>
    <definedName name="HUCbigW14">SBM!#REF!</definedName>
    <definedName name="HUCdiv11" localSheetId="3">[1]AM!$G$214</definedName>
    <definedName name="HUCdiv11">AM!#REF!</definedName>
    <definedName name="HUCdiv12" localSheetId="3">[1]WBF!$G$152</definedName>
    <definedName name="HUCdiv12">WBF!#REF!</definedName>
    <definedName name="HUCdiv13">WBN!#REF!</definedName>
    <definedName name="HUCdiv14" localSheetId="3">[1]SBM!$G$180</definedName>
    <definedName name="HUCdiv14">SBM!#REF!</definedName>
    <definedName name="Hydro10">FR!$G$132</definedName>
    <definedName name="Hydro11">AM!$G$197</definedName>
    <definedName name="Hydro12">WBF!$G$157</definedName>
    <definedName name="Hydro13">WBN!$G$174</definedName>
    <definedName name="HydroConn_C" localSheetId="3">[1]CQ!$G$3</definedName>
    <definedName name="HydroConn_C">EC!#REF!</definedName>
    <definedName name="HydroConn2" localSheetId="3">#REF!</definedName>
    <definedName name="HydroConn2">#REF!</definedName>
    <definedName name="Hydropd8">INV!$G$154</definedName>
    <definedName name="Hydropd9">FA!$G$141</definedName>
    <definedName name="HydroStress">STR!$G$85</definedName>
    <definedName name="IBA">WBF!$D$150</definedName>
    <definedName name="IBA12a">WBF!$G$150</definedName>
    <definedName name="IBird12v">WBF!$G$150</definedName>
    <definedName name="Ice2_">SFS!#REF!</definedName>
    <definedName name="IceCov11">[2]AM!$G$142</definedName>
    <definedName name="IceCov12">[2]WBF!$G$118</definedName>
    <definedName name="IceDur2">SFS!#REF!</definedName>
    <definedName name="IceDura10">FR!#REF!</definedName>
    <definedName name="IFDRY2">SR!#REF!</definedName>
    <definedName name="IFNOOUT2">SR!#REF!</definedName>
    <definedName name="IFOUT2">SR!#REF!</definedName>
    <definedName name="imperv2_">SFS!#REF!</definedName>
    <definedName name="Imperv4" localSheetId="3">[1]NR!$G$116</definedName>
    <definedName name="Imperv4">NR!$G$179</definedName>
    <definedName name="Imperv7">WC!$G$48</definedName>
    <definedName name="Imperv7w">#REF!</definedName>
    <definedName name="ImpervCA">INV!$G$9</definedName>
    <definedName name="ImpervCA3" localSheetId="3">[1]PR!$G$116</definedName>
    <definedName name="ImpervCA3">PR!$G$123</definedName>
    <definedName name="ImpervCA9">FA!$G$14</definedName>
    <definedName name="ImpervPct" localSheetId="3">#REF!</definedName>
    <definedName name="ImpervPct">#REF!</definedName>
    <definedName name="ImpervPctSS" localSheetId="3">[1]SR!$G$90</definedName>
    <definedName name="ImpervPctSS">SR!$G$117</definedName>
    <definedName name="Inclus11" localSheetId="3">[1]AM!$B$98</definedName>
    <definedName name="Inclus11">AM!$B$102</definedName>
    <definedName name="Inclus11a">AM!$G$102</definedName>
    <definedName name="Inclus14" localSheetId="3">[1]SBM!$G$66</definedName>
    <definedName name="Inclus14">SBM!$G$105</definedName>
    <definedName name="Inclus4" localSheetId="3">[1]NR!$G$84</definedName>
    <definedName name="Inclus4">NR!$G$54</definedName>
    <definedName name="inflo">Sen!#REF!</definedName>
    <definedName name="Inflo2">SR!$G$137</definedName>
    <definedName name="Inflo3">PR!$D$131</definedName>
    <definedName name="Inflo4">NR!$D$193</definedName>
    <definedName name="InfloPD">PH!$D$148</definedName>
    <definedName name="Inflow" localSheetId="3">[1]STR!$G$10</definedName>
    <definedName name="Inflow">STR!#REF!</definedName>
    <definedName name="Inflow4a">NR!$G$193</definedName>
    <definedName name="InFlowPD">PH!$G$148</definedName>
    <definedName name="Inflows">F!$D$210</definedName>
    <definedName name="InflowW">#REF!</definedName>
    <definedName name="InOut">F!#REF!</definedName>
    <definedName name="InTemp7">#REF!</definedName>
    <definedName name="Interann10">FR!#REF!</definedName>
    <definedName name="Interann6" localSheetId="3">[1]OE!$G$16</definedName>
    <definedName name="Interann6">OE!#REF!</definedName>
    <definedName name="Interann8" localSheetId="3">[1]INV!$G$10</definedName>
    <definedName name="Interann8">INV!#REF!</definedName>
    <definedName name="interannPD" localSheetId="3">[1]PD!$G$28</definedName>
    <definedName name="interannPD">PH!#REF!</definedName>
    <definedName name="Interannual4" localSheetId="3">[1]NR!$G$4</definedName>
    <definedName name="Interannual4">NR!#REF!</definedName>
    <definedName name="Intercep4">NR!$G$220</definedName>
    <definedName name="IntercepDry3">PR!$G$155</definedName>
    <definedName name="IntercepWet3">PR!$G$156</definedName>
    <definedName name="Interspers10" localSheetId="3">[1]FR!$G$58</definedName>
    <definedName name="Interspers10">FR!$G$63</definedName>
    <definedName name="Interspers11" localSheetId="3">[1]AM!$G$48</definedName>
    <definedName name="Interspers11">AM!$G$151</definedName>
    <definedName name="Interspers12" localSheetId="3">[1]WBF!$G$54</definedName>
    <definedName name="Interspers12">WBF!$G$114</definedName>
    <definedName name="Interspers13" localSheetId="3">[1]WBN!$G$49</definedName>
    <definedName name="Interspers13">WBN!$G$129</definedName>
    <definedName name="Interspers14">SBM!$G$129</definedName>
    <definedName name="Interspers2" localSheetId="3">[1]SR!#REF!</definedName>
    <definedName name="Interspers2">SR!$G$74</definedName>
    <definedName name="Interspers3" localSheetId="3">[1]PR!#REF!</definedName>
    <definedName name="Interspers3">PR!$G$75</definedName>
    <definedName name="Interspers4" localSheetId="3">[1]NR!$G$43</definedName>
    <definedName name="Interspers4">NR!$G$108</definedName>
    <definedName name="Interspers5" localSheetId="3">[1]CS!#REF!</definedName>
    <definedName name="Interspers5">CS!#REF!</definedName>
    <definedName name="Interspers6" localSheetId="3">[1]OE!$G$54</definedName>
    <definedName name="Interspers6">OE!$G$77</definedName>
    <definedName name="Interspers8" localSheetId="3">[1]INV!$G$63</definedName>
    <definedName name="Interspers8">INV!$G$110</definedName>
    <definedName name="Interspers9" localSheetId="3">[1]FA!$G$44</definedName>
    <definedName name="Interspers9">FA!$G$73</definedName>
    <definedName name="InterspersPD">PH!$G$144</definedName>
    <definedName name="Invas15">PH!$G$102</definedName>
    <definedName name="Invest">PU!$G$56</definedName>
    <definedName name="InvScore2_">SFS!$G$39</definedName>
    <definedName name="Island13">WBN!$G$133</definedName>
    <definedName name="Islands11" localSheetId="3">[1]AM!$G$70</definedName>
    <definedName name="Islands11">AM!#REF!</definedName>
    <definedName name="Islands12">WBF!#REF!</definedName>
    <definedName name="Islands13" localSheetId="3">[1]WBN!$G$69</definedName>
    <definedName name="Islands13">WBN!#REF!</definedName>
    <definedName name="Iso3Wet">PR!#REF!</definedName>
    <definedName name="IsoDry_S" localSheetId="3">[1]Sen!$G$5</definedName>
    <definedName name="IsoDry_S">Sen!$G$133</definedName>
    <definedName name="IsoDry1" localSheetId="3">[1]WS!$G$29</definedName>
    <definedName name="IsoDry1">WS!$G$47</definedName>
    <definedName name="ISOdry10" localSheetId="3">[1]FR!$G$37</definedName>
    <definedName name="ISOdry10">FR!#REF!</definedName>
    <definedName name="ISOdry11" localSheetId="3">[1]AM!$G$20</definedName>
    <definedName name="ISOdry11">AM!#REF!</definedName>
    <definedName name="IsoDry12" localSheetId="3">[1]WBF!#REF!</definedName>
    <definedName name="IsoDry12">WBF!#REF!</definedName>
    <definedName name="ISOdry13" localSheetId="3">[1]WBN!$G$23</definedName>
    <definedName name="ISOdry13">WBN!$G$103</definedName>
    <definedName name="IsoDry2" localSheetId="3">[1]SR!$G$17</definedName>
    <definedName name="IsoDry2">SR!#REF!</definedName>
    <definedName name="ISOdry3" localSheetId="3">[1]PR!$G$34</definedName>
    <definedName name="ISOdry3">PR!#REF!</definedName>
    <definedName name="ISOdry4" localSheetId="3">[1]NR!$G$24</definedName>
    <definedName name="ISOdry4">NR!#REF!</definedName>
    <definedName name="ISOdry6" localSheetId="3">[1]OE!$G$29</definedName>
    <definedName name="ISOdry6">OE!#REF!</definedName>
    <definedName name="ISOdry7" localSheetId="3">[1]T!$G$6</definedName>
    <definedName name="ISOdry7">WC!$G$26</definedName>
    <definedName name="ISOdry7w">#REF!</definedName>
    <definedName name="IsoDry8" localSheetId="3">[1]INV!$G$30</definedName>
    <definedName name="IsoDry8">INV!#REF!</definedName>
    <definedName name="IsoWet1" localSheetId="3">[1]WS!$G$15</definedName>
    <definedName name="IsoWet1">WS!#REF!</definedName>
    <definedName name="ISOwet10" localSheetId="3">[1]FR!$G$23</definedName>
    <definedName name="ISOwet10">FR!#REF!</definedName>
    <definedName name="ISOwet11" localSheetId="3">[1]AM!$G$6</definedName>
    <definedName name="ISOwet11">AM!$G$131</definedName>
    <definedName name="ISOwet12" localSheetId="3">[1]WBF!$G$37</definedName>
    <definedName name="ISOwet12">WBF!$G$101</definedName>
    <definedName name="ISOwet13" localSheetId="3">[1]WBN!#REF!</definedName>
    <definedName name="ISOwet13">WBN!#REF!</definedName>
    <definedName name="IsoWet2">SR!$G$48</definedName>
    <definedName name="IsoWet2a">SR!$G$48</definedName>
    <definedName name="IsoWet2s">SR!$G$48</definedName>
    <definedName name="IsoWet3p">PR!#REF!</definedName>
    <definedName name="ISOwet4" localSheetId="3">[1]NR!$G$10</definedName>
    <definedName name="ISOwet4">NR!#REF!</definedName>
    <definedName name="ISOwet5" localSheetId="3">[1]CS!$G$21</definedName>
    <definedName name="ISOwet5">CS!$G$65</definedName>
    <definedName name="ISOwet6" localSheetId="3">[1]OE!$G$22</definedName>
    <definedName name="ISOwet6">OE!#REF!</definedName>
    <definedName name="IsoWet8" localSheetId="3">[1]INV!$G$16</definedName>
    <definedName name="IsoWet8">INV!$G$97</definedName>
    <definedName name="ISOwet9" localSheetId="3">[1]FA!$G$21</definedName>
    <definedName name="ISOwet9">FA!#REF!</definedName>
    <definedName name="Karst10">FR!$D$20</definedName>
    <definedName name="Karst10a">FR!$G$20</definedName>
    <definedName name="Karst11">AM!$G$65</definedName>
    <definedName name="Karst16">PH!$D$61</definedName>
    <definedName name="Karst16a">PH!$G$61</definedName>
    <definedName name="Karst5a">CS!#REF!</definedName>
    <definedName name="Karst6">OE!$D$17</definedName>
    <definedName name="Karst6a">OE!$G$17</definedName>
    <definedName name="Karst7a">INV!$G$25</definedName>
    <definedName name="Karst8">INV!$D$25</definedName>
    <definedName name="Karst9">FA!$D$23</definedName>
    <definedName name="Karst9a">FA!$G$23</definedName>
    <definedName name="Karstt5">CS!#REF!</definedName>
    <definedName name="Lacus" localSheetId="3">#REF!</definedName>
    <definedName name="Lacus">#REF!</definedName>
    <definedName name="Lacus13a">WBN!$G$68</definedName>
    <definedName name="Lacus7" localSheetId="3">[1]T!$D$3</definedName>
    <definedName name="Lacus7">WC!$D$63</definedName>
    <definedName name="Lacus9">FA!#REF!</definedName>
    <definedName name="Lacust10" localSheetId="3">[1]FR!#REF!</definedName>
    <definedName name="Lacust10">FR!#REF!</definedName>
    <definedName name="Lacust13" localSheetId="3">[1]WBN!$D$3</definedName>
    <definedName name="Lacust13">WBN!$D$68</definedName>
    <definedName name="Lake" localSheetId="3">#REF!</definedName>
    <definedName name="Lake">#REF!</definedName>
    <definedName name="Lake10">FR!$D$32</definedName>
    <definedName name="Lake10a">FR!$G$32</definedName>
    <definedName name="Lake12">WBF!$D$71</definedName>
    <definedName name="Lake12a">WBF!$G$71</definedName>
    <definedName name="Lake3">PR!$D$37</definedName>
    <definedName name="Lake3a">PR!$G$37</definedName>
    <definedName name="Lake9">FA!#REF!</definedName>
    <definedName name="LakeNear13" localSheetId="3">[1]WBN!$D$163</definedName>
    <definedName name="LakeNear13">WBN!$D$26</definedName>
    <definedName name="LakeProx_S" localSheetId="3">[1]Sen!$G$153</definedName>
    <definedName name="LakeProx_S">Sen!$G$38</definedName>
    <definedName name="LakeProx13" localSheetId="3">[1]WBN!$G$162</definedName>
    <definedName name="LakeProx13">WBN!$G$25</definedName>
    <definedName name="LakePU">PU!$G$26</definedName>
    <definedName name="LiveStore">WS!$G$96</definedName>
    <definedName name="LiveStore2">SR!$G$151</definedName>
    <definedName name="lomarsh0" localSheetId="3">[1]POL!$G$3</definedName>
    <definedName name="lomarsh0">POL!#REF!</definedName>
    <definedName name="LoMarsh2" localSheetId="3">[1]SR!$G$117</definedName>
    <definedName name="LoMarsh2">SR!#REF!</definedName>
    <definedName name="LoMarsh6" localSheetId="3">[1]OE!$G$10</definedName>
    <definedName name="LoMarsh6">OE!#REF!</definedName>
    <definedName name="LoMarsh8" localSheetId="3">[1]INV!$G$4</definedName>
    <definedName name="LoMarsh8">INV!#REF!</definedName>
    <definedName name="LowerShed">OF!$D$92</definedName>
    <definedName name="LowMarsh1" localSheetId="3">[1]WS!$G$8</definedName>
    <definedName name="LowMarsh1">WS!#REF!</definedName>
    <definedName name="LowMarsh10">FR!#REF!</definedName>
    <definedName name="LowMarsh12" localSheetId="3">[1]WBF!$G$6</definedName>
    <definedName name="LowMarsh12">WBF!#REF!</definedName>
    <definedName name="LowMarsh1all" localSheetId="3">[1]WS!$D$9</definedName>
    <definedName name="LowMarsh1all">WS!#REF!</definedName>
    <definedName name="LowMarsh1gt50" localSheetId="3">[1]WS!$D$10</definedName>
    <definedName name="LowMarsh1gt50">WS!#REF!</definedName>
    <definedName name="LowMarsh9" localSheetId="3">[1]FA!$G$8</definedName>
    <definedName name="LowMarsh9">FA!#REF!</definedName>
    <definedName name="LowMarshAll14" localSheetId="3">[1]SBM!$D$4</definedName>
    <definedName name="LowMarshAll14">SBM!#REF!</definedName>
    <definedName name="LowMarshPct14" localSheetId="3">[1]SBM!$G$3</definedName>
    <definedName name="LowMarshPct14">SBM!#REF!</definedName>
    <definedName name="LowMarshPD" localSheetId="3">[1]PD!$G$3</definedName>
    <definedName name="LowMarshPD">PH!#REF!</definedName>
    <definedName name="Lscape">PH!$G$213</definedName>
    <definedName name="Lscape11">AM!$G$202</definedName>
    <definedName name="Lscape12">WBF!$G$161</definedName>
    <definedName name="Lscape13">WBN!$G$179</definedName>
    <definedName name="Lscape14">SBM!$G$168</definedName>
    <definedName name="Lscape8">INV!$G$157</definedName>
    <definedName name="Lscape9">FA!$G$144</definedName>
    <definedName name="LscapePD">PH!$G$213</definedName>
    <definedName name="Mainland14">SBM!#REF!</definedName>
    <definedName name="MatureF" localSheetId="3">[1]Sen!$D$4</definedName>
    <definedName name="MatureF">Sen!#REF!</definedName>
    <definedName name="MaxFluc2" localSheetId="3">[1]SR!$G$130</definedName>
    <definedName name="MaxFluc2">SR!$G$132</definedName>
    <definedName name="Mesosaline11" localSheetId="3">[1]AM!#REF!</definedName>
    <definedName name="Mesosaline11">AM!#REF!</definedName>
    <definedName name="MethLimit5">CS!$G$122</definedName>
    <definedName name="MinSIze13" localSheetId="3">[1]WBN!$D$73</definedName>
    <definedName name="MinSIze13">WBN!#REF!</definedName>
    <definedName name="MitigaSite" localSheetId="3">[1]PU!$G$24</definedName>
    <definedName name="MitigaSite">PU!$G$24</definedName>
    <definedName name="MitSite" localSheetId="3">#REF!</definedName>
    <definedName name="MitSite">#REF!</definedName>
    <definedName name="MossCov5">CS!$G$25</definedName>
    <definedName name="MossPD">PH!$G$83</definedName>
    <definedName name="Mudflat12" localSheetId="3">[1]WBF!$G$65</definedName>
    <definedName name="Mudflat12">WBF!$G$59</definedName>
    <definedName name="NatCApct3" localSheetId="3">[1]PR!$G$150</definedName>
    <definedName name="NatCApct3">PR!$G$141</definedName>
    <definedName name="NatCov2mi11">AM!$G$19</definedName>
    <definedName name="natLCpct0">POL!#REF!</definedName>
    <definedName name="NatPctScape8" localSheetId="3">[1]INV!#REF!</definedName>
    <definedName name="NatPctScape8">INV!#REF!</definedName>
    <definedName name="natvacres0" localSheetId="3">[1]POL!$G$89</definedName>
    <definedName name="natvacres0">POL!#REF!</definedName>
    <definedName name="natveg0" localSheetId="3">[1]POL!$G$77</definedName>
    <definedName name="natveg0">POL!#REF!</definedName>
    <definedName name="NatVegBuffPD" localSheetId="3">[1]PD!#REF!</definedName>
    <definedName name="NatVegBuffPD">PH!#REF!</definedName>
    <definedName name="NatVegCA" localSheetId="3">[1]STR!$G$40</definedName>
    <definedName name="NatVegCA">STR!$G$35</definedName>
    <definedName name="NatVegCApd" localSheetId="3">[1]PD!$G$135</definedName>
    <definedName name="NatVegCApd">PH!$G$166</definedName>
    <definedName name="NatVegCUpct_S" localSheetId="3">[1]Sen!$G$116</definedName>
    <definedName name="NatVegCUpct_S">Sen!$G$169</definedName>
    <definedName name="NatVegCUpct10" localSheetId="3">[1]FR!$G$97</definedName>
    <definedName name="NatVegCUpct10">FR!$G$100</definedName>
    <definedName name="NatVegCUpct9" localSheetId="3">[1]FA!$G$93</definedName>
    <definedName name="NatVegCUpct9">FA!$G$105</definedName>
    <definedName name="NatVegPct11" localSheetId="3">[1]AM!$G$152</definedName>
    <definedName name="NatVegPct11">AM!$G$167</definedName>
    <definedName name="NatVegPctCU8" localSheetId="3">[1]INV!$G$122</definedName>
    <definedName name="NatVegPctCU8">INV!$G$133</definedName>
    <definedName name="NatVegPctScape_S" localSheetId="3">[1]Sen!#REF!</definedName>
    <definedName name="NatVegPctScape_S">Sen!#REF!</definedName>
    <definedName name="NatVegPctScape14" localSheetId="3">[1]SBM!$G$133</definedName>
    <definedName name="NatVegPctScape14">SBM!$G$26</definedName>
    <definedName name="NatVegProx_S" localSheetId="3">[1]Sen!$G$127</definedName>
    <definedName name="NatVegProx_S">Sen!$G$16</definedName>
    <definedName name="NatVegProx11" localSheetId="3">[1]AM!$G$188</definedName>
    <definedName name="NatVegProx11">AM!$G$11</definedName>
    <definedName name="NatVegProx14" localSheetId="3">[1]SBM!$G$147</definedName>
    <definedName name="NatVegProx14">SBM!$G$18</definedName>
    <definedName name="NatVegProx8" localSheetId="3">[1]INV!#REF!</definedName>
    <definedName name="NatVegProx8">INV!#REF!</definedName>
    <definedName name="NatVegSize_S" localSheetId="3">[1]Sen!$G$133</definedName>
    <definedName name="NatVegSize_S">Sen!$G$10</definedName>
    <definedName name="NatVegSize11" localSheetId="3">[1]AM!$G$194</definedName>
    <definedName name="NatVegSize11">AM!$G$3</definedName>
    <definedName name="NatVegSize14" localSheetId="3">[1]SBM!$G$153</definedName>
    <definedName name="NatVegSize14">SBM!$G$10</definedName>
    <definedName name="NatVegTractSize" localSheetId="3">[1]WBN!$G$142</definedName>
    <definedName name="NatVegTractSize">WBN!#REF!</definedName>
    <definedName name="natvprox0" localSheetId="3">[1]POL!$G$83</definedName>
    <definedName name="natvprox0">POL!#REF!</definedName>
    <definedName name="Navigable" localSheetId="3">#REF!</definedName>
    <definedName name="Navigable">#REF!</definedName>
    <definedName name="NestSites">POL!$G$89</definedName>
    <definedName name="NewWet">NR!$G$141</definedName>
    <definedName name="NewWet_S">Sen!$G$180</definedName>
    <definedName name="NewWet10">FR!#REF!</definedName>
    <definedName name="NewWet11">AM!#REF!</definedName>
    <definedName name="NewWet12">WBF!#REF!</definedName>
    <definedName name="NewWet2a">SR!#REF!</definedName>
    <definedName name="NewWet3">PR!#REF!</definedName>
    <definedName name="NewWet5">CS!$G$104</definedName>
    <definedName name="NewWet6">OE!$G$106</definedName>
    <definedName name="NewWet8">INV!#REF!</definedName>
    <definedName name="NewWetNot">OF!#REF!</definedName>
    <definedName name="NewWetNot6">OE!$D$107</definedName>
    <definedName name="NewWetPD">PH!$G$175</definedName>
    <definedName name="Nfix10">FR!$G$26</definedName>
    <definedName name="Nfix14">SBM!$G$90</definedName>
    <definedName name="Nfix4">NR!$G$187</definedName>
    <definedName name="Nfix5">CS!#REF!</definedName>
    <definedName name="Nfix9">FA!$G$29</definedName>
    <definedName name="Nfixer4" localSheetId="3">[1]NR!#REF!</definedName>
    <definedName name="Nfixer4">NR!#REF!</definedName>
    <definedName name="Nfixer5" localSheetId="3">[1]CS!#REF!</definedName>
    <definedName name="Nfixer5">CS!#REF!</definedName>
    <definedName name="Nfixer6" localSheetId="3">[1]OE!$G$79</definedName>
    <definedName name="Nfixer6">OE!$G$23</definedName>
    <definedName name="Nfixers8" localSheetId="3">[1]INV!$G$94</definedName>
    <definedName name="Nfixers8">INV!$G$45</definedName>
    <definedName name="NfixPD">PH!$G$77</definedName>
    <definedName name="NfixS">Sen!$G$94</definedName>
    <definedName name="Nload4" localSheetId="3">[1]NR!#REF!</definedName>
    <definedName name="Nload4">NR!#REF!</definedName>
    <definedName name="nnativ11" localSheetId="3">[1]AM!$G$121</definedName>
    <definedName name="nnativ11">AM!#REF!</definedName>
    <definedName name="NNfish" localSheetId="3">[1]FR!$G$85</definedName>
    <definedName name="NNfish">FR!#REF!</definedName>
    <definedName name="NNfish9" localSheetId="3">[1]FA!$G$82</definedName>
    <definedName name="NNfish9">FA!#REF!</definedName>
    <definedName name="NoAccess9" localSheetId="3">[1]FA!#REF!</definedName>
    <definedName name="NoAccess9">FA!#REF!</definedName>
    <definedName name="NoCA">OF!$D$109</definedName>
    <definedName name="NoDeer">PH!#REF!</definedName>
    <definedName name="NoDeerPD">PH!#REF!</definedName>
    <definedName name="NoDrainage" localSheetId="3">[1]WS!$G$72</definedName>
    <definedName name="NoDrainage">WS!#REF!</definedName>
    <definedName name="NoEmPct">EC!#REF!</definedName>
    <definedName name="NoFreezeFR" localSheetId="3">[1]FR!$G$88</definedName>
    <definedName name="NoFreezeFR">FR!#REF!</definedName>
    <definedName name="NoHerb_S">Sen!#REF!</definedName>
    <definedName name="NoHerbCov">F!$D$83</definedName>
    <definedName name="NoInflo">Sen!#REF!</definedName>
    <definedName name="NonHydric6" localSheetId="3">[1]OE!$G$117</definedName>
    <definedName name="NonHydric6">OE!$G$106</definedName>
    <definedName name="NonNatvAnim" localSheetId="3">#REF!</definedName>
    <definedName name="NonNatvAnim">#REF!</definedName>
    <definedName name="NoOpenPonded">F!$D$165</definedName>
    <definedName name="NoOpenPonded1">F!$D$166</definedName>
    <definedName name="NoOut_S" localSheetId="3">[1]Sen!$D$33</definedName>
    <definedName name="NoOut_S">Sen!$D$151</definedName>
    <definedName name="NoOut3">PR!#REF!</definedName>
    <definedName name="NoOutlet1" localSheetId="3">[1]WS!$D$52</definedName>
    <definedName name="NoOutlet1">WS!$D$58</definedName>
    <definedName name="NoOutlet10" localSheetId="3">[1]FR!$D$63</definedName>
    <definedName name="NoOutlet10">FR!$D$76</definedName>
    <definedName name="NoOutlet2" localSheetId="3">[1]SR!$D$40</definedName>
    <definedName name="NoOutlet2">SR!$D$83</definedName>
    <definedName name="NoOutlet3" localSheetId="3">[1]PR!$D$57</definedName>
    <definedName name="NoOutlet3">PR!$D$85</definedName>
    <definedName name="NoOutlet4" localSheetId="3">[1]NR!$D$53</definedName>
    <definedName name="NoOutlet4">NR!$D$117</definedName>
    <definedName name="NoOutlet5">CS!$D$90</definedName>
    <definedName name="NoOutlet6" localSheetId="3">[1]OE!$D$59</definedName>
    <definedName name="NoOutlet6">OE!$D$86</definedName>
    <definedName name="NoOutlet7" localSheetId="3">[1]T!$D$28</definedName>
    <definedName name="NoPerm10" localSheetId="3">[1]FR!$D$22</definedName>
    <definedName name="NoPermW10" localSheetId="3">[1]FR!$D$35</definedName>
    <definedName name="NoPermW10">FR!$D$45</definedName>
    <definedName name="NoPersis">F!$D$123</definedName>
    <definedName name="NoPonded">F!$D$158</definedName>
    <definedName name="NormalSeasW" localSheetId="3">[1]PD!$G$33</definedName>
    <definedName name="NoScumPD" localSheetId="3">[1]PD!$G$43</definedName>
    <definedName name="NoSeasonal">F!$D$135</definedName>
    <definedName name="NoShrub">F!#REF!</definedName>
    <definedName name="NotCreated" localSheetId="3">[1]NR!$G$102</definedName>
    <definedName name="NotFen5">CS!$G$13</definedName>
    <definedName name="NotNewWet">CS!$D$105</definedName>
    <definedName name="NoTrees">F!#REF!</definedName>
    <definedName name="NoWater1" localSheetId="3">[1]WS!#REF!</definedName>
    <definedName name="NoWater3" localSheetId="3">[1]PR!$D$19</definedName>
    <definedName name="NoWater3">PR!$D$38</definedName>
    <definedName name="NoWater4" localSheetId="3">[1]NR!#REF!</definedName>
    <definedName name="NoWater4">NR!#REF!</definedName>
    <definedName name="NoWater4a" localSheetId="3">[1]NR!$D$9</definedName>
    <definedName name="NoWater4a">NR!$D$64</definedName>
    <definedName name="NoWoody" localSheetId="3">[1]CQ!$G$49</definedName>
    <definedName name="NoWoody">F!#REF!</definedName>
    <definedName name="NoWoody_S">Sen!#REF!</definedName>
    <definedName name="NoWoodyVeg">F!#REF!</definedName>
    <definedName name="NprobUp4" localSheetId="3">[1]NR!$D$129</definedName>
    <definedName name="NprobUp4">NR!#REF!</definedName>
    <definedName name="Nrank4" localSheetId="3">[1]NR!$G$142</definedName>
    <definedName name="Nrank4">NR!#REF!</definedName>
    <definedName name="NRE3a" localSheetId="3">[1]NR!$G$168</definedName>
    <definedName name="NRE3a">NR!#REF!</definedName>
    <definedName name="NsampDown">NR!$G$169</definedName>
    <definedName name="NsampUp">NR!$G$164</definedName>
    <definedName name="Nsource4" localSheetId="3">[1]NR!$G$147</definedName>
    <definedName name="Nsource4">NR!$G$217</definedName>
    <definedName name="NtidalJux12" localSheetId="3">[1]WBF!$G$12</definedName>
    <definedName name="NutrAvail6">OE!$G$118</definedName>
    <definedName name="OpenlandProx11">AM!#REF!</definedName>
    <definedName name="OpenPctScape12" localSheetId="3">[1]WBF!$G$112</definedName>
    <definedName name="OpenPctScape12">WBF!#REF!</definedName>
    <definedName name="OpenPonded7">WC!$G$32</definedName>
    <definedName name="OpenPonded7a">#REF!</definedName>
    <definedName name="OpenScapeProx12" localSheetId="3">[1]WBF!$G$118</definedName>
    <definedName name="OpenScapeProx12">WBF!#REF!</definedName>
    <definedName name="OpenSize2">SR!#REF!</definedName>
    <definedName name="OpenStrucs14" localSheetId="3">[1]SBM!#REF!</definedName>
    <definedName name="OpenStrucs14">SBM!#REF!</definedName>
    <definedName name="OpenW">F!$D$163</definedName>
    <definedName name="OpenwSize13">WBN!#REF!</definedName>
    <definedName name="OpWater">F!#REF!</definedName>
    <definedName name="OpWaterDry">F!#REF!</definedName>
    <definedName name="OpWaterWet">F!#REF!</definedName>
    <definedName name="Organic4">NR!$G$222</definedName>
    <definedName name="OutDur2" localSheetId="3">[1]SR!$G$36</definedName>
    <definedName name="OutDur2">SR!$G$78</definedName>
    <definedName name="OutDur2_">SFS!$G$24</definedName>
    <definedName name="OutDur7" localSheetId="3">[1]T!$G$24</definedName>
    <definedName name="OutDur7">WC!$G$64</definedName>
    <definedName name="OutDura_S" localSheetId="3">[1]Sen!$G$29</definedName>
    <definedName name="OutDura_S">Sen!$G$146</definedName>
    <definedName name="OutDura1" localSheetId="3">[1]WS!$G$48</definedName>
    <definedName name="OutDura1">WS!$G$53</definedName>
    <definedName name="OutDura10" localSheetId="3">[1]FR!$G$59</definedName>
    <definedName name="OutDura10">FR!$G$71</definedName>
    <definedName name="OutDura3" localSheetId="3">[1]PR!$G$53</definedName>
    <definedName name="OutDura3">PR!$G$80</definedName>
    <definedName name="OutDura4" localSheetId="3">[1]NR!$G$49</definedName>
    <definedName name="OutDura4">NR!$G$112</definedName>
    <definedName name="OutDura5" localSheetId="3">[1]CS!$G$58</definedName>
    <definedName name="OutDura5">CS!$G$85</definedName>
    <definedName name="OutDura6" localSheetId="3">[1]OE!$G$55</definedName>
    <definedName name="OutDura6">OE!$G$81</definedName>
    <definedName name="OutDura9" localSheetId="3">[1]FA!$G$50</definedName>
    <definedName name="OutDura9">FA!$G$81</definedName>
    <definedName name="Outlet4">NR!#REF!</definedName>
    <definedName name="Outlet4p">NR!#REF!</definedName>
    <definedName name="OutNone">F!$D$205</definedName>
    <definedName name="OutNone1">F!$D$204</definedName>
    <definedName name="OverRich">EC!$G$27</definedName>
    <definedName name="Owner">PU!#REF!</definedName>
    <definedName name="Ownership" localSheetId="3">[1]PU!$G$6</definedName>
    <definedName name="Ownership">PU!$G$31</definedName>
    <definedName name="OwnerSS">STR!$G$53</definedName>
    <definedName name="OWpatchSize8">INV!#REF!</definedName>
    <definedName name="OWpct14">SBM!#REF!</definedName>
    <definedName name="Pcp_S" localSheetId="3">[1]Sen!$G$179</definedName>
    <definedName name="Pcp_S">Sen!#REF!</definedName>
    <definedName name="PdataDown3">PR!#REF!</definedName>
    <definedName name="PdataUp3">PR!#REF!</definedName>
    <definedName name="PdataUpDis3" localSheetId="3">[1]PR!#REF!</definedName>
    <definedName name="PdataUpDis3">PR!#REF!</definedName>
    <definedName name="PdownDis3" localSheetId="3">[1]PR!$G$137</definedName>
    <definedName name="PdownDis3">PR!#REF!</definedName>
    <definedName name="PermPctAll12">WBF!#REF!</definedName>
    <definedName name="PermWaterAll14" localSheetId="3">[1]SBM!$D$16</definedName>
    <definedName name="PermWaterAll14">SBM!#REF!</definedName>
    <definedName name="PermWpct10">FR!$G$40</definedName>
    <definedName name="PermWpct11" localSheetId="3">[1]AM!$G$13</definedName>
    <definedName name="PermWpct11">AM!$G$119</definedName>
    <definedName name="PermWpct12" localSheetId="3">[1]WBF!$G$30</definedName>
    <definedName name="PermWpct12">WBF!$G$79</definedName>
    <definedName name="PermWpct13" localSheetId="3">[1]WBN!$G$16</definedName>
    <definedName name="PermWpct13">WBN!$G$76</definedName>
    <definedName name="PermWpct14">SBM!$G$116</definedName>
    <definedName name="PermWpct3" localSheetId="3">[1]PR!#REF!</definedName>
    <definedName name="PermWpct3">PR!#REF!</definedName>
    <definedName name="PermWpct4" localSheetId="3">[1]NR!$G$17</definedName>
    <definedName name="PermWpct4">NR!$G$71</definedName>
    <definedName name="PermWpct5" localSheetId="3">[1]CS!$G$28</definedName>
    <definedName name="PermWpct5">CS!$G$42</definedName>
    <definedName name="PermWpct8" localSheetId="3">[1]INV!$G$23</definedName>
    <definedName name="PermWpct8">INV!$G$70</definedName>
    <definedName name="PermWpct9">FA!$G$42</definedName>
    <definedName name="PermWpd">PH!#REF!</definedName>
    <definedName name="Persis3" localSheetId="3">[1]PR!$G$27</definedName>
    <definedName name="Persis3">PR!$G$45</definedName>
    <definedName name="persist0" localSheetId="3">[1]POL!$G$9</definedName>
    <definedName name="persist0">POL!$G$66</definedName>
    <definedName name="PersistPct1" localSheetId="3">[1]WS!$G$22</definedName>
    <definedName name="PersistPct1">WS!#REF!</definedName>
    <definedName name="PersistPct2" localSheetId="3">[1]SR!$G$123</definedName>
    <definedName name="PersistPct2">SR!#REF!</definedName>
    <definedName name="PestFish10" localSheetId="3">[1]FR!$G$82</definedName>
    <definedName name="PestFish10">FR!#REF!</definedName>
    <definedName name="PestFish11" localSheetId="3">[1]AM!$G$118</definedName>
    <definedName name="PestFish11">AM!#REF!</definedName>
    <definedName name="PestFish9" localSheetId="3">[1]FA!$G$79</definedName>
    <definedName name="PestFish9">FA!#REF!</definedName>
    <definedName name="PhysAccess" localSheetId="3">#REF!</definedName>
    <definedName name="PhysAccess">#REF!</definedName>
    <definedName name="PhysAccum5">CS!$G$121</definedName>
    <definedName name="Physical" localSheetId="3">[1]CQ!#REF!</definedName>
    <definedName name="Physical">EC!#REF!</definedName>
    <definedName name="PlantCov5">CS!#REF!</definedName>
    <definedName name="PlantCov6">OE!$G$117</definedName>
    <definedName name="PlantSiteS">Sen!#REF!</definedName>
    <definedName name="Playa" localSheetId="3">#REF!</definedName>
    <definedName name="Playa">#REF!</definedName>
    <definedName name="Playa10" localSheetId="3">[1]FR!$D$4</definedName>
    <definedName name="Playa10">FR!#REF!</definedName>
    <definedName name="Playa11" localSheetId="3">[1]AM!$D$3</definedName>
    <definedName name="Playa11">AM!#REF!</definedName>
    <definedName name="Playa12" localSheetId="3">[1]WBF!$D$4</definedName>
    <definedName name="Playa12">WBF!#REF!</definedName>
    <definedName name="Playa12a">WBF!#REF!</definedName>
    <definedName name="Playa5" localSheetId="3">[1]CS!$D$4</definedName>
    <definedName name="Playa5">CS!#REF!</definedName>
    <definedName name="Playa8" localSheetId="3">[1]INV!$D$3</definedName>
    <definedName name="Playa8">INV!#REF!</definedName>
    <definedName name="Playa9" localSheetId="3">[1]FA!$D$4</definedName>
    <definedName name="Playa9">FA!#REF!</definedName>
    <definedName name="Pload3" localSheetId="3">[1]PR!$G$146</definedName>
    <definedName name="Pload3">PR!$G$152</definedName>
    <definedName name="PollenOff">POL!#REF!</definedName>
    <definedName name="PollenOn">POL!$G$88</definedName>
    <definedName name="PolluIn" localSheetId="3">[1]INV!$G$136</definedName>
    <definedName name="PolluIn">INV!#REF!</definedName>
    <definedName name="PolluIn13">WBN!#REF!</definedName>
    <definedName name="PolluIn14" localSheetId="3">[1]WBF!$D$159</definedName>
    <definedName name="PolluIn14">WBF!#REF!</definedName>
    <definedName name="Ponded">F!#REF!</definedName>
    <definedName name="Ponded12">WBF!#REF!</definedName>
    <definedName name="Ponded7">[2]WC!$G$20</definedName>
    <definedName name="PondedPct2">SR!#REF!</definedName>
    <definedName name="PondedPct6">OE!$G$40</definedName>
    <definedName name="Ponding2">SR!$G$48</definedName>
    <definedName name="PondNum11v">AM!$G$191</definedName>
    <definedName name="PondNum12v">WBF!$G$142</definedName>
    <definedName name="PondNum13v">WBN!$G$170</definedName>
    <definedName name="PondNum14v">SBM!#REF!</definedName>
    <definedName name="PondOpenSize11">AM!#REF!</definedName>
    <definedName name="PondPct4">NR!$G$88</definedName>
    <definedName name="PondPctScape11" localSheetId="3">[1]AM!$G$200</definedName>
    <definedName name="PondPctScape11">AM!#REF!</definedName>
    <definedName name="PondPctScape12" localSheetId="3">[1]WBF!$G$123</definedName>
    <definedName name="PondPctScape12">WBF!#REF!</definedName>
    <definedName name="PondPctScape14" localSheetId="3">[1]SBM!$G$159</definedName>
    <definedName name="PondPctScape14">SBM!#REF!</definedName>
    <definedName name="PondProx_S" localSheetId="3">[1]Sen!$G$146</definedName>
    <definedName name="PondProx_S">Sen!$G$30</definedName>
    <definedName name="PondProx11" localSheetId="3">[1]AM!$G$207</definedName>
    <definedName name="PondProx11">AM!$G$36</definedName>
    <definedName name="PondProx12" localSheetId="3">[1]WBF!$G$130</definedName>
    <definedName name="PondProx12">WBF!$G$10</definedName>
    <definedName name="PondProx13" localSheetId="3">[1]WBN!$G$155</definedName>
    <definedName name="PondProx13">WBN!$G$17</definedName>
    <definedName name="PondProx14">SBM!$G$49</definedName>
    <definedName name="PondProx15">PH!$G$45</definedName>
    <definedName name="PopCtr12">WBF!$G$143</definedName>
    <definedName name="PopCtr14">SBM!$G$35</definedName>
    <definedName name="PopCtr15">PH!$G$32</definedName>
    <definedName name="PopCtr9">FA!$G$118</definedName>
    <definedName name="PopCtrDisPU">PU!$G$3</definedName>
    <definedName name="PopCtrDisS">#REF!</definedName>
    <definedName name="PopCtrDist">STR!$G$3</definedName>
    <definedName name="PopDist10">FR!$G$109</definedName>
    <definedName name="PopDist4">NR!$G$150</definedName>
    <definedName name="PosShed3" localSheetId="3">[1]PR!$G$107</definedName>
    <definedName name="PosShed3">PR!#REF!</definedName>
    <definedName name="PprobUp2" localSheetId="3">[1]PR!$D$134</definedName>
    <definedName name="PprobUp2">PR!#REF!</definedName>
    <definedName name="Prank3" localSheetId="3">[1]PR!$G$141</definedName>
    <definedName name="Prank3">PR!#REF!</definedName>
    <definedName name="Precip11" localSheetId="3">[1]AM!$G$237</definedName>
    <definedName name="Precip11">AM!#REF!</definedName>
    <definedName name="Precip12" localSheetId="3">[1]WBF!$G$174</definedName>
    <definedName name="Precip12">WBF!#REF!</definedName>
    <definedName name="Precip6">OE!#REF!</definedName>
    <definedName name="PrecipAnnu" localSheetId="3">#REF!</definedName>
    <definedName name="PrecipAnnu">#REF!</definedName>
    <definedName name="PrecipPD" localSheetId="3">[1]PD!$G$188</definedName>
    <definedName name="PrecipPD">PH!#REF!</definedName>
    <definedName name="_xlnm.Print_Area" localSheetId="2">F!$A$2:$D$305</definedName>
    <definedName name="_xlnm.Print_Area" localSheetId="1">OF!$A$3:$D$153</definedName>
    <definedName name="_xlnm.Print_Area" localSheetId="3">S!$A$2:$F$142</definedName>
    <definedName name="_xlnm.Print_Area" localSheetId="4">Scores!$A$1:$O$29</definedName>
    <definedName name="Produc">SBM!$G$167</definedName>
    <definedName name="Produc10">FR!$G$134</definedName>
    <definedName name="Produc11">AM!$G$200</definedName>
    <definedName name="Produc12">WBF!$G$159</definedName>
    <definedName name="Produc13">WBN!$G$176</definedName>
    <definedName name="Produc14">SBM!$G$167</definedName>
    <definedName name="Produc9">FA!$G$143</definedName>
    <definedName name="Productiv">CS!$G$120</definedName>
    <definedName name="Productiv6">OE!$G$115</definedName>
    <definedName name="ProtecStatus">PU!#REF!</definedName>
    <definedName name="Protect13">WBN!#REF!</definedName>
    <definedName name="PsampDown3">PR!$G$113</definedName>
    <definedName name="PsampUp3">PR!$G$108</definedName>
    <definedName name="PubAccess" localSheetId="3">[1]PU!$G$9</definedName>
    <definedName name="PubAccess">PU!#REF!</definedName>
    <definedName name="Rare11" localSheetId="3">[1]AM!$G$232</definedName>
    <definedName name="Rare11">AM!#REF!</definedName>
    <definedName name="Rare12" localSheetId="3">[1]WBF!$G$170</definedName>
    <definedName name="Rare12">WBF!$G$149</definedName>
    <definedName name="Rare13" localSheetId="3">[1]WBN!$G$199</definedName>
    <definedName name="Rare13">WBN!$G$171</definedName>
    <definedName name="Rare14" localSheetId="3">[1]SBM!$G$199</definedName>
    <definedName name="Rare14">SBM!$G$162</definedName>
    <definedName name="rare8" localSheetId="3">[1]INV!$G$144</definedName>
    <definedName name="rare8">INV!#REF!</definedName>
    <definedName name="RareAll" localSheetId="3">[1]CQ!$G$76</definedName>
    <definedName name="RareAll">EC!$G$3</definedName>
    <definedName name="rarecommu" localSheetId="3">[1]POL!$G$123</definedName>
    <definedName name="rarecommu">POL!#REF!</definedName>
    <definedName name="RareComPD">PH!#REF!</definedName>
    <definedName name="RareFNA" localSheetId="3">[1]FR!$G$106</definedName>
    <definedName name="RareFNA">FR!#REF!</definedName>
    <definedName name="RareFR">FR!#REF!</definedName>
    <definedName name="rareherb" localSheetId="3">[1]POL!$G$122</definedName>
    <definedName name="rareherb">POL!$G$86</definedName>
    <definedName name="RareHerp">AM!$G$193</definedName>
    <definedName name="RarePcom" localSheetId="3">[1]PD!$G$183</definedName>
    <definedName name="RarePcom">PH!#REF!</definedName>
    <definedName name="RarePsp20">PH!$G$208</definedName>
    <definedName name="RareSpp_S">Sen!$G$66</definedName>
    <definedName name="RareSpPD">PH!$D$207</definedName>
    <definedName name="RareType" localSheetId="3">#REF!</definedName>
    <definedName name="RareType">#REF!</definedName>
    <definedName name="RareTypePD">PH!#REF!</definedName>
    <definedName name="RareWclass_S">Sen!#REF!</definedName>
    <definedName name="RareWclass0">POL!#REF!</definedName>
    <definedName name="RareWclass11">AM!#REF!</definedName>
    <definedName name="RareWclass12">WBF!#REF!</definedName>
    <definedName name="RareWclass13">WBN!#REF!</definedName>
    <definedName name="RareWclass14">SBM!#REF!</definedName>
    <definedName name="RareWclass8">INV!#REF!</definedName>
    <definedName name="RareWclassPD">PH!$G$206</definedName>
    <definedName name="RdBox" localSheetId="3">[1]STR!$G$61</definedName>
    <definedName name="RdBox">STR!$G$16</definedName>
    <definedName name="RdBox14" localSheetId="3">[1]SBM!$G$108</definedName>
    <definedName name="RdBox14">SBM!$G$48</definedName>
    <definedName name="RdCirc11">[3]AM!$G$206</definedName>
    <definedName name="RdDis11" localSheetId="3">[1]AM!$G$167</definedName>
    <definedName name="RdDis11">AM!$G$28</definedName>
    <definedName name="RdDis13" localSheetId="3">[1]WBN!$G$179</definedName>
    <definedName name="RdDis13">WBN!$G$10</definedName>
    <definedName name="RdDist4">NR!$G$156</definedName>
    <definedName name="RecPot">PU!$G$57</definedName>
    <definedName name="RecreaPoten" localSheetId="3">[1]PU!$G$16</definedName>
    <definedName name="RecreaPoten">PU!$G$36</definedName>
    <definedName name="RecUse">STR!$G$58</definedName>
    <definedName name="Redox4">NR!$G$223</definedName>
    <definedName name="ResFish" localSheetId="3">[1]INV!$G$160</definedName>
    <definedName name="ResFish">INV!$G$147</definedName>
    <definedName name="ResFishScore2_">SFS!$G$41</definedName>
    <definedName name="RoadCirc11" localSheetId="3">[1]AM!$G$166</definedName>
    <definedName name="RoadCirc11">AM!$G$35</definedName>
    <definedName name="RoadDist" localSheetId="3">#REF!</definedName>
    <definedName name="RoadDist">#REF!</definedName>
    <definedName name="S1A">S!#REF!</definedName>
    <definedName name="S2A">S!#REF!</definedName>
    <definedName name="S2B">S!#REF!</definedName>
    <definedName name="S2C">S!#REF!</definedName>
    <definedName name="S3A">S!#REF!</definedName>
    <definedName name="S3B">S!#REF!</definedName>
    <definedName name="S3C">S!#REF!</definedName>
    <definedName name="S4A">S!#REF!</definedName>
    <definedName name="S4B">S!#REF!</definedName>
    <definedName name="S4C">S!#REF!</definedName>
    <definedName name="S5A">S!#REF!</definedName>
    <definedName name="S5B">S!#REF!</definedName>
    <definedName name="S5C">S!#REF!</definedName>
    <definedName name="s6a">S!#REF!</definedName>
    <definedName name="s6a1">S!#REF!</definedName>
    <definedName name="s6b">S!#REF!</definedName>
    <definedName name="S7A">S!#REF!</definedName>
    <definedName name="S7B">S!#REF!</definedName>
    <definedName name="S7C">S!#REF!</definedName>
    <definedName name="S8A">S!#REF!</definedName>
    <definedName name="S8A1">S!#REF!</definedName>
    <definedName name="S8B">S!#REF!</definedName>
    <definedName name="S8C">S!#REF!</definedName>
    <definedName name="s9a">S!#REF!</definedName>
    <definedName name="s9b">S!#REF!</definedName>
    <definedName name="s9c">S!#REF!</definedName>
    <definedName name="Salin3" localSheetId="3">[1]PR!$G$4</definedName>
    <definedName name="Salin3">PR!#REF!</definedName>
    <definedName name="Salin4">NR!#REF!</definedName>
    <definedName name="Salin5">CS!#REF!</definedName>
    <definedName name="Salin6" localSheetId="3">[1]OE!$G$4</definedName>
    <definedName name="Salin6">OE!#REF!</definedName>
    <definedName name="Salin9" localSheetId="3">[1]FA!#REF!</definedName>
    <definedName name="Salin9">FA!#REF!</definedName>
    <definedName name="Saline11" localSheetId="3">[1]AM!#REF!</definedName>
    <definedName name="Saline11">AM!#REF!</definedName>
    <definedName name="Salinity11" localSheetId="3">[1]AM!#REF!</definedName>
    <definedName name="Salinity11">AM!#REF!</definedName>
    <definedName name="Salinity2" localSheetId="3">[1]SR!$G$3</definedName>
    <definedName name="Salinity2">SR!#REF!</definedName>
    <definedName name="SalinPD" localSheetId="3">[1]PD!$G$15</definedName>
    <definedName name="SalinPD">PH!#REF!</definedName>
    <definedName name="Salmon5">CS!#REF!</definedName>
    <definedName name="SalmonShedPS">#REF!</definedName>
    <definedName name="SalmonShedPS2">#REF!</definedName>
    <definedName name="SalmoShed9">FA!#REF!</definedName>
    <definedName name="Salmoshed9v">FA!#REF!</definedName>
    <definedName name="Salt20">PH!$G$202</definedName>
    <definedName name="SatPct_S">Sen!$G$120</definedName>
    <definedName name="SatPct0">POL!#REF!</definedName>
    <definedName name="SatPct10">FR!$G$33</definedName>
    <definedName name="SatPct11">AM!$G$112</definedName>
    <definedName name="SatPct12">WBF!$G$72</definedName>
    <definedName name="SatPct13">WBN!$G$69</definedName>
    <definedName name="SatPct14">SBM!$G$109</definedName>
    <definedName name="SatPct2v">SR!$G$125</definedName>
    <definedName name="SatPct3">PR!$G$38</definedName>
    <definedName name="SatPct4">NR!$G$64</definedName>
    <definedName name="SatPct7">WC!$G$7</definedName>
    <definedName name="SatPct8">INV!$G$63</definedName>
    <definedName name="SatPct9">FA!$G$35</definedName>
    <definedName name="SatPctPD">PH!$G$113</definedName>
    <definedName name="Satur10">FR!$D$33</definedName>
    <definedName name="SAV_LT5">EC!#REF!</definedName>
    <definedName name="SAV1pd" localSheetId="3">[1]PD!$G$46</definedName>
    <definedName name="SAV1pd">PH!#REF!</definedName>
    <definedName name="sav2pd" localSheetId="3">[1]PD!$G$50</definedName>
    <definedName name="sav2pd">PH!#REF!</definedName>
    <definedName name="SAVdom1">EC!#REF!</definedName>
    <definedName name="SAVpct3" localSheetId="3">[1]PR!#REF!</definedName>
    <definedName name="SAVpct3">PR!#REF!</definedName>
    <definedName name="SAVpct5" localSheetId="3">[1]CS!#REF!</definedName>
    <definedName name="SAVpct5">CS!#REF!</definedName>
    <definedName name="SAVpctS">Sen!#REF!</definedName>
    <definedName name="SAVsens1" localSheetId="3">[1]Sen!$G$48</definedName>
    <definedName name="SAVsens1">Sen!#REF!</definedName>
    <definedName name="SAVsens1_C" localSheetId="3">[1]CQ!$G$23</definedName>
    <definedName name="SAVsens1_C">EC!#REF!</definedName>
    <definedName name="SAVsens2_C" localSheetId="3">[1]CQ!$G$27</definedName>
    <definedName name="SAVsens2_C">EC!#REF!</definedName>
    <definedName name="SAVsens2_S" localSheetId="3">[1]Sen!$G$52</definedName>
    <definedName name="SAVsens2_S">Sen!#REF!</definedName>
    <definedName name="SAVubq1">EC!#REF!</definedName>
    <definedName name="SAVubq2" localSheetId="3">[1]Sen!$G$56</definedName>
    <definedName name="SAVubq2">Sen!#REF!</definedName>
    <definedName name="SBMscore10">AM!$G$195</definedName>
    <definedName name="SBMscore9">FA!#REF!</definedName>
    <definedName name="SBMsiteS">Sen!#REF!</definedName>
    <definedName name="ScapeLU11" localSheetId="3">[1]AM!$G$180</definedName>
    <definedName name="ScapeLU11">AM!$G$25</definedName>
    <definedName name="ScapeLU14" localSheetId="3">[1]SBM!$G$139</definedName>
    <definedName name="ScapeLU14">SBM!$G$32</definedName>
    <definedName name="SciUse" localSheetId="3">[1]PU!$G$20</definedName>
    <definedName name="SciUse">PU!$G$25</definedName>
    <definedName name="ScorePLDf">PH!$G$219</definedName>
    <definedName name="ScorePOLf" localSheetId="3">[1]PD!$G$199</definedName>
    <definedName name="ScorePOLf">PH!$G$209</definedName>
    <definedName name="ScoreSBM">PH!$G$210</definedName>
    <definedName name="ScoreSBMf" localSheetId="3">[1]PD!$G$201</definedName>
    <definedName name="ScoreSBMf">PH!#REF!</definedName>
    <definedName name="ScoreSubsis">PH!#REF!</definedName>
    <definedName name="ScoreWBFf" localSheetId="3">[1]PD!$G$200</definedName>
    <definedName name="ScoreWBFf">PH!#REF!</definedName>
    <definedName name="Scum15" localSheetId="3">[1]CQ!$G$20</definedName>
    <definedName name="Scum15">EC!#REF!</definedName>
    <definedName name="Scum3" localSheetId="3">[1]PR!$G$74</definedName>
    <definedName name="Scum3">PR!#REF!</definedName>
    <definedName name="Scum9" localSheetId="3">[1]FA!$G$91</definedName>
    <definedName name="Scum9">FA!#REF!</definedName>
    <definedName name="SeasPct1" localSheetId="3">[1]WS!$G$36</definedName>
    <definedName name="SeasPct1">WS!$G$36</definedName>
    <definedName name="SeasPct2" localSheetId="3">[1]SR!$G$24</definedName>
    <definedName name="SeasPct2">SR!$G$31</definedName>
    <definedName name="SeasPct8" localSheetId="3">[1]INV!$G$37</definedName>
    <definedName name="SeasPct8">INV!$G$76</definedName>
    <definedName name="SeasTime1" localSheetId="3">[1]WS!#REF!</definedName>
    <definedName name="SeasTime1">WS!#REF!</definedName>
    <definedName name="SeasTime11" localSheetId="3">[1]AM!$G$33</definedName>
    <definedName name="SeasTime11">AM!#REF!</definedName>
    <definedName name="SeasTime13" localSheetId="3">[1]WBN!#REF!</definedName>
    <definedName name="SeasTime13">WBN!#REF!</definedName>
    <definedName name="SeasTime8" localSheetId="3">[1]INV!$G$43</definedName>
    <definedName name="SeasTime8">INV!#REF!</definedName>
    <definedName name="SeasTimeV1" localSheetId="3">[1]WS!#REF!</definedName>
    <definedName name="SeasTimeV1">WS!#REF!</definedName>
    <definedName name="SeasTiming10" localSheetId="3">[1]FR!$G$44</definedName>
    <definedName name="SeasTiming10">FR!#REF!</definedName>
    <definedName name="SeasTiming9">FA!#REF!</definedName>
    <definedName name="SeasW_S" localSheetId="3">[1]Sen!$G$12</definedName>
    <definedName name="SeasW_S">Sen!#REF!</definedName>
    <definedName name="SeasWpct11" localSheetId="3">[1]AM!$G$27</definedName>
    <definedName name="SeasWpct11">AM!#REF!</definedName>
    <definedName name="SeasWpct12" localSheetId="3">[1]WBF!$G$24</definedName>
    <definedName name="SeasWpct12">WBF!$G$85</definedName>
    <definedName name="SeasWpct13">WBN!$G$82</definedName>
    <definedName name="SeasWpct3" localSheetId="3">[1]PR!#REF!</definedName>
    <definedName name="SeasWpct3">PR!#REF!</definedName>
    <definedName name="SeasWpct4" localSheetId="3">[1]NR!$G$31</definedName>
    <definedName name="SeasWpct4">NR!$G$77</definedName>
    <definedName name="SeasWpct5" localSheetId="3">[1]CS!$G$35</definedName>
    <definedName name="SeasWpct5">CS!$G$48</definedName>
    <definedName name="SeasWpct6" localSheetId="3">[1]OE!$G$36</definedName>
    <definedName name="SeasWpct6">OE!$G$46</definedName>
    <definedName name="SeasWpct9" localSheetId="3">[1]FA!$G$28</definedName>
    <definedName name="SeasWpct9">FA!$G$54</definedName>
    <definedName name="SeasWpctPD">PH!$G$120</definedName>
    <definedName name="SedCA8">INV!$D$143</definedName>
    <definedName name="SedCA8a">INV!$G$143</definedName>
    <definedName name="SedDep20">PH!$G$203</definedName>
    <definedName name="SedDisturb20">PH!$G$204</definedName>
    <definedName name="SedExcess10">FR!$G$107</definedName>
    <definedName name="Sedge5">CS!$G$37</definedName>
    <definedName name="SedIn10">FR!#REF!</definedName>
    <definedName name="SedIn2" localSheetId="3">[1]SR!$G$102</definedName>
    <definedName name="SedIn2">SR!$G$101</definedName>
    <definedName name="SedIn20">PH!#REF!</definedName>
    <definedName name="SedIn8" localSheetId="3">[1]INV!$G$140</definedName>
    <definedName name="SedIn8">INV!#REF!</definedName>
    <definedName name="SedIn9" localSheetId="3">[1]FA!$G$119</definedName>
    <definedName name="SedIn9">FA!$G$116</definedName>
    <definedName name="SedLoad" localSheetId="3">[1]STR!$G$7</definedName>
    <definedName name="SedLoad">STR!$G$82</definedName>
    <definedName name="SENS1" localSheetId="3">[1]Sen!$G$186</definedName>
    <definedName name="SENS1">Sen!#REF!</definedName>
    <definedName name="SENS2" localSheetId="3">[1]Sen!$G$187</definedName>
    <definedName name="SENS2">Sen!#REF!</definedName>
    <definedName name="SENS3" localSheetId="3">[1]Sen!$G$188</definedName>
    <definedName name="SENS3">Sen!#REF!</definedName>
    <definedName name="SENS4" localSheetId="3">[1]Sen!$G$189</definedName>
    <definedName name="SENS4">Sen!#REF!</definedName>
    <definedName name="SENS5">Sen!#REF!</definedName>
    <definedName name="Shade10">FR!#REF!</definedName>
    <definedName name="Shade7" localSheetId="3">[1]T!$G$29</definedName>
    <definedName name="Shade7">WC!$G$14</definedName>
    <definedName name="Shade7w">#REF!</definedName>
    <definedName name="Shade9" localSheetId="3">[1]FA!$G$70</definedName>
    <definedName name="Shade9">FA!$G$48</definedName>
    <definedName name="ShadeIn7">WC!$G$70</definedName>
    <definedName name="ShedPos_S" localSheetId="3">[1]Sen!$G$170</definedName>
    <definedName name="ShedPos_S">Sen!#REF!</definedName>
    <definedName name="ShedPos1" localSheetId="3">[1]WS!$G$75</definedName>
    <definedName name="ShedPos1">WS!$G$81</definedName>
    <definedName name="ShedPos2">SFS!$G$35</definedName>
    <definedName name="ShedPos4" localSheetId="3">[1]NR!$G$107</definedName>
    <definedName name="ShedPos4">NR!#REF!</definedName>
    <definedName name="ShedPos7">WC!$G$44</definedName>
    <definedName name="ShedWet2" localSheetId="3">[1]SR!$G$81</definedName>
    <definedName name="ShedWet2">SR!#REF!</definedName>
    <definedName name="Shoal2" localSheetId="3">[1]SR!$G$150</definedName>
    <definedName name="Shoal2">SR!#REF!</definedName>
    <definedName name="Shoaling" localSheetId="3">#REF!</definedName>
    <definedName name="Shoaling">#REF!</definedName>
    <definedName name="ShoalSS">SR!#REF!</definedName>
    <definedName name="ShoreSlope11" localSheetId="3">[1]AM!$G$60</definedName>
    <definedName name="ShoreSlope13">WBN!$G$123</definedName>
    <definedName name="ShrubDiv0">POL!$G$40</definedName>
    <definedName name="ShrubDiv14">SBM!$G$87</definedName>
    <definedName name="ShrubPattS">Sen!$G$86</definedName>
    <definedName name="ShrubSens1" localSheetId="3">[1]Sen!$G$80</definedName>
    <definedName name="ShrubSens1_C" localSheetId="3">[1]CQ!$G$55</definedName>
    <definedName name="ShrubSens1_S" localSheetId="3">[1]Sen!#REF!</definedName>
    <definedName name="ShrubSun11">AM!$G$106</definedName>
    <definedName name="Size_S" localSheetId="3">[1]Sen!$G$163</definedName>
    <definedName name="Size_S">Sen!#REF!</definedName>
    <definedName name="Size0" localSheetId="3">[1]POL!$G$95</definedName>
    <definedName name="Size0">POL!#REF!</definedName>
    <definedName name="Size12" localSheetId="3">[1]WBF!$G$145</definedName>
    <definedName name="Size12">WBF!#REF!</definedName>
    <definedName name="Size13" localSheetId="3">[1]WBN!$G$166</definedName>
    <definedName name="Size13">WBN!#REF!</definedName>
    <definedName name="Size14" localSheetId="3">[1]SBM!$G$173</definedName>
    <definedName name="Size14">SBM!#REF!</definedName>
    <definedName name="SizeHerbac13">WBN!$G$3</definedName>
    <definedName name="SizeHerbac14">SBM!$G$3</definedName>
    <definedName name="SizePD">PH!$G$3</definedName>
    <definedName name="SizeVegConnec15">PH!$G$10</definedName>
    <definedName name="SlidePD">PH!#REF!</definedName>
    <definedName name="SlopeUnif2" localSheetId="3">[1]SR!#REF!</definedName>
    <definedName name="SlopeUnif2">SR!#REF!</definedName>
    <definedName name="SlopeUnif3" localSheetId="3">[1]PR!#REF!</definedName>
    <definedName name="SnagB13">WBN!$G$57</definedName>
    <definedName name="SnagD14">SBM!$G$80</definedName>
    <definedName name="Snags0">POL!$G$33</definedName>
    <definedName name="Snow1">WS!#REF!</definedName>
    <definedName name="Snow10">FR!#REF!</definedName>
    <definedName name="Snow11">AM!#REF!</definedName>
    <definedName name="Snow12">WBF!#REF!</definedName>
    <definedName name="Snow1a">WS!#REF!</definedName>
    <definedName name="Snow2">SR!#REF!</definedName>
    <definedName name="Snow2_">SFS!#REF!</definedName>
    <definedName name="Snow2a">SFS!#REF!</definedName>
    <definedName name="Snow3">PR!#REF!</definedName>
    <definedName name="Snow4">NR!#REF!</definedName>
    <definedName name="Snow5">CS!#REF!</definedName>
    <definedName name="Snow6">OE!#REF!</definedName>
    <definedName name="SnowPD">PH!#REF!</definedName>
    <definedName name="Snows">Sen!#REF!</definedName>
    <definedName name="Snows_S">Sen!#REF!</definedName>
    <definedName name="Snows_S2">Sen!#REF!</definedName>
    <definedName name="Soil2_">SFS!$G$12</definedName>
    <definedName name="SoilDisturb" localSheetId="3">[1]STR!$G$8</definedName>
    <definedName name="SoilDisturb">STR!$G$83</definedName>
    <definedName name="soildisturb0" localSheetId="3">[1]POL!$G$102</definedName>
    <definedName name="soildisturb0">POL!#REF!</definedName>
    <definedName name="SoilDisturb11" localSheetId="3">[1]AM!$G$224</definedName>
    <definedName name="SoilDisturb11">AM!#REF!</definedName>
    <definedName name="SoilDisturb15" localSheetId="3">[1]PD!$D$171</definedName>
    <definedName name="SoilDisturb15">PH!$D$204</definedName>
    <definedName name="SoilDisturb3">SR!$G$99</definedName>
    <definedName name="SoilDisturb4" localSheetId="3">[1]NR!$G$104</definedName>
    <definedName name="SoilDisturb4">NR!$G$148</definedName>
    <definedName name="SoilDisturb5" localSheetId="3">[1]CS!$G$136</definedName>
    <definedName name="SoilDisturb5">CS!$G$117</definedName>
    <definedName name="SoilDisturb6" localSheetId="3">[1]OE!$G$115</definedName>
    <definedName name="SoilDisturb6">OE!#REF!</definedName>
    <definedName name="SoilDisturb8" localSheetId="3">[1]INV!$G$141</definedName>
    <definedName name="SoilDisturb8">INV!$D$144</definedName>
    <definedName name="SoilDisturb8a">INV!$G$144</definedName>
    <definedName name="SoilTex_S" localSheetId="3">[1]Sen!$G$110</definedName>
    <definedName name="SoilTex_S">Sen!$G$105</definedName>
    <definedName name="SoilTex1">WS!$G$30</definedName>
    <definedName name="SoilTex3" localSheetId="3">[1]PR!$G$86</definedName>
    <definedName name="SoilTex3">PR!$G$31</definedName>
    <definedName name="SoilTex4" localSheetId="3">[1]NR!$G$87</definedName>
    <definedName name="SoilTex4">NR!$G$58</definedName>
    <definedName name="SoilTex5" localSheetId="3">[1]CS!$G$112</definedName>
    <definedName name="SoilTex5">CS!$G$31</definedName>
    <definedName name="SoilTex6">OE!$G$34</definedName>
    <definedName name="SoilTex8" localSheetId="3">[1]INV!#REF!</definedName>
    <definedName name="SoilTex8">INV!#REF!</definedName>
    <definedName name="SoilTexPD" localSheetId="3">[1]PD!$G$95</definedName>
    <definedName name="SoilTexPD">PH!$G$93</definedName>
    <definedName name="SolarHeat">WC!#REF!</definedName>
    <definedName name="SolarHeatWarming">#REF!</definedName>
    <definedName name="SongbMam" localSheetId="3">[1]INV!$G$164</definedName>
    <definedName name="SongbMam">INV!$G$151</definedName>
    <definedName name="SPA">PU!#REF!</definedName>
    <definedName name="SppArea">PH!$G$212</definedName>
    <definedName name="SpPatch14" localSheetId="3">[1]SBM!#REF!</definedName>
    <definedName name="SpPatch14">SBM!#REF!</definedName>
    <definedName name="SpPatchy8" localSheetId="3">[1]INV!#REF!</definedName>
    <definedName name="SpPatchy8">INV!#REF!</definedName>
    <definedName name="SSubq2" localSheetId="3">[1]Sen!$G$89</definedName>
    <definedName name="SSubq2">Sen!#REF!</definedName>
    <definedName name="Stain3">PR!$G$96</definedName>
    <definedName name="Stained6">OE!#REF!</definedName>
    <definedName name="Steep1">WS!$D$74</definedName>
    <definedName name="Steep13" localSheetId="3">[1]WBN!$D$109</definedName>
    <definedName name="Steep13">WBN!$D$143</definedName>
    <definedName name="Steep1ws">WS!$D$74</definedName>
    <definedName name="Steep2ws">WS!$D$75</definedName>
    <definedName name="StrataDiv">EC!#REF!</definedName>
    <definedName name="StreamInGrad3">PR!#REF!</definedName>
    <definedName name="Stress0">POL!$G$90</definedName>
    <definedName name="Stress10">FR!$G$136</definedName>
    <definedName name="Stress11">AM!$G$204</definedName>
    <definedName name="Stress12">WBF!$G$162</definedName>
    <definedName name="Stress13">WBN!#REF!</definedName>
    <definedName name="Stress14">SBM!$G$170</definedName>
    <definedName name="Stress9">FA!$G$145</definedName>
    <definedName name="Stressors13">WBN!$G$178</definedName>
    <definedName name="Stressors8">INV!$G$158</definedName>
    <definedName name="StressPD">PH!$G$217</definedName>
    <definedName name="struc0" localSheetId="3">[1]POL!#REF!</definedName>
    <definedName name="struc0">POL!#REF!</definedName>
    <definedName name="Struc10">FR!$G$133</definedName>
    <definedName name="Struc11">AM!$G$198</definedName>
    <definedName name="Struc12">WBF!$G$158</definedName>
    <definedName name="Struc13">WBN!$G$175</definedName>
    <definedName name="Struc14" localSheetId="3">[1]SBM!$D$77</definedName>
    <definedName name="Struc14">SBM!#REF!</definedName>
    <definedName name="Struc9">FA!$G$142</definedName>
    <definedName name="StrucA">SBM!$G$165</definedName>
    <definedName name="StrucB">SBM!$G$166</definedName>
    <definedName name="Structure8">INV!$G$153</definedName>
    <definedName name="Subsist">#REF!</definedName>
    <definedName name="Subsist10">FR!#REF!</definedName>
    <definedName name="Subsist9">FA!#REF!</definedName>
    <definedName name="Subsurf">WS!$G$94</definedName>
    <definedName name="Subtypes8">INV!$G$31</definedName>
    <definedName name="Sustain">Sen!#REF!</definedName>
    <definedName name="Sustain1" localSheetId="3">[1]WS!$G$106</definedName>
    <definedName name="Sustain1">WS!#REF!</definedName>
    <definedName name="Sustain11" localSheetId="3">[1]AM!$G$244</definedName>
    <definedName name="Sustain11">AM!#REF!</definedName>
    <definedName name="Sustain12" localSheetId="3">[1]WBF!$G$181</definedName>
    <definedName name="Sustain12">WBF!#REF!</definedName>
    <definedName name="Sustain13" localSheetId="3">[1]WBN!$G$211</definedName>
    <definedName name="Sustain13">WBN!#REF!</definedName>
    <definedName name="sustain14" localSheetId="3">[1]SBM!$G$211</definedName>
    <definedName name="sustain14">SBM!#REF!</definedName>
    <definedName name="Sustain2" localSheetId="3">[1]SR!$G$160</definedName>
    <definedName name="Sustain2">SR!#REF!</definedName>
    <definedName name="Sustain3" localSheetId="3">[1]PR!$G$156</definedName>
    <definedName name="Sustain3">PR!#REF!</definedName>
    <definedName name="Sustain4" localSheetId="3">[1]NR!$G$161</definedName>
    <definedName name="Sustain4">NR!#REF!</definedName>
    <definedName name="sustain8" localSheetId="3">[1]INV!$G$155</definedName>
    <definedName name="sustain8">INV!#REF!</definedName>
    <definedName name="SustainPD" localSheetId="3">[1]PD!$G$195</definedName>
    <definedName name="SustainPD">PH!#REF!</definedName>
    <definedName name="Swater">F!$D$115</definedName>
    <definedName name="Swater2">SR!#REF!</definedName>
    <definedName name="SWOpd">PH!$D$113</definedName>
    <definedName name="System" localSheetId="3">#REF!</definedName>
    <definedName name="System">#REF!</definedName>
    <definedName name="TEknown" localSheetId="3">#REF!</definedName>
    <definedName name="TEknown">#REF!</definedName>
    <definedName name="Temp7w">#REF!</definedName>
    <definedName name="TEpredicted" localSheetId="3">#REF!</definedName>
    <definedName name="TEpredicted">#REF!</definedName>
    <definedName name="TerrFertilPD">PH!$G$215</definedName>
    <definedName name="TerrStruc11">AM!$G$199</definedName>
    <definedName name="TEST1">S!#REF!</definedName>
    <definedName name="TEST10">S!#REF!</definedName>
    <definedName name="TEST11">S!#REF!</definedName>
    <definedName name="TEST12">S!#REF!</definedName>
    <definedName name="TEST13">S!#REF!</definedName>
    <definedName name="TEST14">S!#REF!</definedName>
    <definedName name="TEST15">S!#REF!</definedName>
    <definedName name="TEST18">S!#REF!</definedName>
    <definedName name="TEST19">S!#REF!</definedName>
    <definedName name="TEST2">S!#REF!</definedName>
    <definedName name="TEST20">S!#REF!</definedName>
    <definedName name="TEST21">S!#REF!</definedName>
    <definedName name="TEST3">S!#REF!</definedName>
    <definedName name="TEST4">S!#REF!</definedName>
    <definedName name="TEST5">S!#REF!</definedName>
    <definedName name="TEST6">S!#REF!</definedName>
    <definedName name="TEST7">S!#REF!</definedName>
    <definedName name="TEST8">S!#REF!</definedName>
    <definedName name="TEST9">S!#REF!</definedName>
    <definedName name="ThruFlo1" localSheetId="3">[1]WS!$G$56</definedName>
    <definedName name="ThruFlo1">WS!$G$63</definedName>
    <definedName name="ThruFlo10" localSheetId="3">[1]FR!$G$67</definedName>
    <definedName name="ThruFlo10">FR!$G$77</definedName>
    <definedName name="ThruFlo12" localSheetId="3">[1]WBF!$G$55</definedName>
    <definedName name="ThruFlo12">WBF!#REF!</definedName>
    <definedName name="ThruFlo2" localSheetId="3">[1]SR!$G$44</definedName>
    <definedName name="ThruFlo2">SR!$G$88</definedName>
    <definedName name="ThruFlo3" localSheetId="3">[1]PR!$G$61</definedName>
    <definedName name="ThruFlo3">PR!$G$90</definedName>
    <definedName name="ThruFlo4" localSheetId="3">[1]NR!$G$57</definedName>
    <definedName name="ThruFlo4">NR!$G$122</definedName>
    <definedName name="ThruFlo5" localSheetId="3">[1]CS!$G$66</definedName>
    <definedName name="ThruFlo5">CS!#REF!</definedName>
    <definedName name="ThruFlo6" localSheetId="3">[1]OE!$G$63</definedName>
    <definedName name="ThruFlo6">OE!$G$91</definedName>
    <definedName name="ThruFlo8" localSheetId="3">[1]INV!$G$69</definedName>
    <definedName name="ThruFlo8">INV!$G$118</definedName>
    <definedName name="ThruFlo9" localSheetId="3">[1]FA!$G$58</definedName>
    <definedName name="ThruFlo9">FA!$G$87</definedName>
    <definedName name="ThruFlow13" localSheetId="3">[1]WBN!$G$50</definedName>
    <definedName name="ThruFlow13">WBN!#REF!</definedName>
    <definedName name="Tidal" localSheetId="3">#REF!</definedName>
    <definedName name="Tidal">#REF!</definedName>
    <definedName name="tidal0">POL!#REF!</definedName>
    <definedName name="Tidal1" localSheetId="3">[1]WS!$D$2</definedName>
    <definedName name="Tidal1">WS!#REF!</definedName>
    <definedName name="Tidal10" localSheetId="3">[1]FR!$D$2</definedName>
    <definedName name="Tidal10">FR!#REF!</definedName>
    <definedName name="Tidal11" localSheetId="3">[1]AM!$D$2</definedName>
    <definedName name="Tidal11">AM!#REF!</definedName>
    <definedName name="Tidal12" localSheetId="3">[1]WBF!$D$2</definedName>
    <definedName name="Tidal12">WBF!#REF!</definedName>
    <definedName name="Tidal13" localSheetId="3">[1]WBN!$D$2</definedName>
    <definedName name="Tidal13">WBN!#REF!</definedName>
    <definedName name="Tidal14" localSheetId="3">[1]SBM!$D$2</definedName>
    <definedName name="Tidal14">SBM!#REF!</definedName>
    <definedName name="Tidal2" localSheetId="3">[1]SR!$D$2</definedName>
    <definedName name="Tidal2">SR!#REF!</definedName>
    <definedName name="Tidal3" localSheetId="3">[1]PR!$D$2</definedName>
    <definedName name="Tidal3">PR!#REF!</definedName>
    <definedName name="Tidal4" localSheetId="3">[1]NR!$D$2</definedName>
    <definedName name="Tidal4">NR!#REF!</definedName>
    <definedName name="Tidal5">CS!#REF!</definedName>
    <definedName name="Tidal6" localSheetId="3">[1]OE!$D$2</definedName>
    <definedName name="Tidal6">OE!#REF!</definedName>
    <definedName name="Tidal7" localSheetId="3">[1]T!$D$2</definedName>
    <definedName name="Tidal7">WC!#REF!</definedName>
    <definedName name="Tidal8" localSheetId="3">[1]INV!$D$2</definedName>
    <definedName name="Tidal8">INV!#REF!</definedName>
    <definedName name="Tidal9" localSheetId="3">[1]FA!$D$2</definedName>
    <definedName name="Tidal9">FA!#REF!</definedName>
    <definedName name="TidalNTconn13" localSheetId="3">[1]WBN!#REF!</definedName>
    <definedName name="TidalNTconn13">WBN!#REF!</definedName>
    <definedName name="TidalPD" localSheetId="3">[1]PD!$D$2</definedName>
    <definedName name="TidalPD">PH!$D$61</definedName>
    <definedName name="TidalProx_S">Sen!#REF!</definedName>
    <definedName name="TidalProx1">WS!#REF!</definedName>
    <definedName name="TidalProx10">FR!#REF!</definedName>
    <definedName name="TidalProx11">AM!#REF!</definedName>
    <definedName name="TidalProx12" localSheetId="3">[1]WBF!$G$141</definedName>
    <definedName name="TidalProx12">WBF!$G$25</definedName>
    <definedName name="TidalProx13">WBN!#REF!</definedName>
    <definedName name="TidalProx14">SBM!#REF!</definedName>
    <definedName name="TidalProx3">PR!#REF!</definedName>
    <definedName name="TidalProx4">NR!#REF!</definedName>
    <definedName name="TidalProx5" localSheetId="3">[1]CS!$G$131</definedName>
    <definedName name="TidalProx5">CS!#REF!</definedName>
    <definedName name="TidalProx6">OE!#REF!</definedName>
    <definedName name="TidalProx8">INV!$G$3</definedName>
    <definedName name="TidalProx9">FA!$G$3</definedName>
    <definedName name="TidalProxPD">PH!#REF!</definedName>
    <definedName name="TidalProxPU">PU!$G$16</definedName>
    <definedName name="TidalProxS">#REF!</definedName>
    <definedName name="TidalW" localSheetId="3">#REF!</definedName>
    <definedName name="TidalW">#REF!</definedName>
    <definedName name="TideProx2">SR!#REF!</definedName>
    <definedName name="TideProx7">#REF!</definedName>
    <definedName name="TnonTconn10">FR!#REF!</definedName>
    <definedName name="TnonTpd" localSheetId="3">[1]PD!$G$9</definedName>
    <definedName name="TnonTpd">PH!#REF!</definedName>
    <definedName name="TooSmall">F!$D$146</definedName>
    <definedName name="TooSteep">F!$D$239</definedName>
    <definedName name="TooSteep12" localSheetId="3">[1]WBF!$D$97</definedName>
    <definedName name="TooSteep12">WBF!$D$124</definedName>
    <definedName name="TooSteep13">WBN!$D$146</definedName>
    <definedName name="ToxData10">FR!$G$3</definedName>
    <definedName name="ToxData2">SR!$G$107</definedName>
    <definedName name="ToxData9">FA!$G$9</definedName>
    <definedName name="Toxic" localSheetId="3">[1]STR!$G$6</definedName>
    <definedName name="Toxic">STR!$G$80</definedName>
    <definedName name="Toxic0">POL!$G$82</definedName>
    <definedName name="Toxic11">AM!$G$44</definedName>
    <definedName name="ToxicData">STR!$G$17</definedName>
    <definedName name="ToxicIn11">AM!$G$189</definedName>
    <definedName name="ToxicIn9">FA!$G$115</definedName>
    <definedName name="toxics13" localSheetId="3">[1]WBN!$G$186</definedName>
    <definedName name="toxics13">WBN!$G$32</definedName>
    <definedName name="ToxOnsite">STR!$D$18</definedName>
    <definedName name="ToxUp2">SR!$G$102</definedName>
    <definedName name="TprobUp" localSheetId="3">[1]T!$D$39</definedName>
    <definedName name="TprobUp">WC!#REF!</definedName>
    <definedName name="Transport1" localSheetId="3">[1]WS!$G$92</definedName>
    <definedName name="Transport1">WS!$G$89</definedName>
    <definedName name="Transport3" localSheetId="3">[1]PR!$G$124</definedName>
    <definedName name="Transport3">PR!$G$127</definedName>
    <definedName name="Transport4" localSheetId="3">[1]NR!$G$124</definedName>
    <definedName name="Transport4">NR!$G$183</definedName>
    <definedName name="TransportSS" localSheetId="3">[1]SR!$G$98</definedName>
    <definedName name="TransportSS">SR!$G$121</definedName>
    <definedName name="TreeCanop4">NR!$G$40</definedName>
    <definedName name="TreeCovS">Sen!$G$76</definedName>
    <definedName name="TreeDBHs">Sen!$G$77</definedName>
    <definedName name="TreeForm13">WBN!$G$48</definedName>
    <definedName name="TreeForm5" localSheetId="3">[1]CS!$G$88</definedName>
    <definedName name="TreeForm5">CS!$G$16</definedName>
    <definedName name="TreeForm6" localSheetId="3">[1]OE!#REF!</definedName>
    <definedName name="TreeForm6">OE!#REF!</definedName>
    <definedName name="TreeFrag_S" localSheetId="3">[1]Sen!#REF!</definedName>
    <definedName name="TreeFrag_S">Sen!#REF!</definedName>
    <definedName name="TreeFrag14" localSheetId="3">[1]SBM!#REF!</definedName>
    <definedName name="TreeFrag14">SBM!#REF!</definedName>
    <definedName name="Trees13">WBN!$G$48</definedName>
    <definedName name="TreeTyp13">WBN!$G$48</definedName>
    <definedName name="TreeTypes14" localSheetId="3">[1]SBM!$G$41</definedName>
    <definedName name="TreeTypes14">SBM!$G$66</definedName>
    <definedName name="TreeVar11" localSheetId="3">[1]AM!$G$80</definedName>
    <definedName name="TreeVar11">AM!$G$76</definedName>
    <definedName name="TreeVar8" localSheetId="3">[1]INV!#REF!</definedName>
    <definedName name="TreeVar8">INV!#REF!</definedName>
    <definedName name="TurbExceed">SR!#REF!</definedName>
    <definedName name="TurbExceedSS">SR!#REF!</definedName>
    <definedName name="Turbid15" localSheetId="3">[1]PD!$D$170</definedName>
    <definedName name="Turbid15">PH!#REF!</definedName>
    <definedName name="TurbUp2" localSheetId="3">[1]SR!$D$109</definedName>
    <definedName name="TurbUp2">SR!#REF!</definedName>
    <definedName name="Unbrow">SBM!#REF!</definedName>
    <definedName name="Unbrowsed">PH!#REF!</definedName>
    <definedName name="Undercut10" localSheetId="3">[1]FR!$G$73</definedName>
    <definedName name="Undercut10">FR!#REF!</definedName>
    <definedName name="Undercut11" localSheetId="3">[1]AM!$G$54</definedName>
    <definedName name="Undercut11">AM!#REF!</definedName>
    <definedName name="Undercut2" localSheetId="3">[1]SR!$G$139</definedName>
    <definedName name="Undercut2">SR!#REF!</definedName>
    <definedName name="Undercut9" localSheetId="3">[1]FA!$G$64</definedName>
    <definedName name="Undercut9">FA!#REF!</definedName>
    <definedName name="Unif1" localSheetId="3">[1]WS!#REF!</definedName>
    <definedName name="Unif1">WS!#REF!</definedName>
    <definedName name="Unif11" localSheetId="3">[1]AM!#REF!</definedName>
    <definedName name="Unif11">AM!#REF!</definedName>
    <definedName name="Unif14">SBM!$G$146</definedName>
    <definedName name="UniPatch8">INV!#REF!</definedName>
    <definedName name="UniqPatch">WBF!#REF!</definedName>
    <definedName name="UniqPatch11" localSheetId="3">[1]AM!$G$228</definedName>
    <definedName name="UniqPatch11">AM!#REF!</definedName>
    <definedName name="UniqPatch12">WBF!#REF!</definedName>
    <definedName name="UniqPatch12a">WBF!#REF!</definedName>
    <definedName name="UniqPatch13">WBN!#REF!</definedName>
    <definedName name="UniqPatch14">SBM!#REF!</definedName>
    <definedName name="UniqPatchPD" localSheetId="3">[1]PD!$G$174</definedName>
    <definedName name="UniqPatchPD">PH!#REF!</definedName>
    <definedName name="UniqVegF">Sen!#REF!</definedName>
    <definedName name="Unprotec">STR!#REF!</definedName>
    <definedName name="UpEdge_S">Sen!$G$45</definedName>
    <definedName name="UpEdge14" localSheetId="3">[1]SBM!$G$62</definedName>
    <definedName name="UpEdge14">SBM!$G$55</definedName>
    <definedName name="UpEdgeShape4" localSheetId="3">[1]NR!$G$80</definedName>
    <definedName name="UpEdgeShape4">NR!$G$3</definedName>
    <definedName name="UpErodible" localSheetId="3">#REF!</definedName>
    <definedName name="UpErodible">#REF!</definedName>
    <definedName name="UpExceed2">SR!#REF!</definedName>
    <definedName name="UpExceedDist" localSheetId="3">#REF!</definedName>
    <definedName name="UpExceedDist">#REF!</definedName>
    <definedName name="UpNitrate" localSheetId="3">#REF!</definedName>
    <definedName name="UpNitrate">#REF!</definedName>
    <definedName name="UpPhos" localSheetId="3">#REF!</definedName>
    <definedName name="UpPhos">#REF!</definedName>
    <definedName name="UpPollute" localSheetId="3">#REF!</definedName>
    <definedName name="UpPollute">#REF!</definedName>
    <definedName name="UpStorage" localSheetId="3">#REF!</definedName>
    <definedName name="UpStorage">#REF!</definedName>
    <definedName name="UpStore1" localSheetId="3">[1]WS!$G$88</definedName>
    <definedName name="UpStore1">WS!#REF!</definedName>
    <definedName name="UpStore3" localSheetId="3">[1]PR!$G$120</definedName>
    <definedName name="UpStore3">PR!#REF!</definedName>
    <definedName name="UpStore4" localSheetId="3">[1]NR!$G$120</definedName>
    <definedName name="UpStore4">NR!#REF!</definedName>
    <definedName name="UpStoreSS" localSheetId="3">[1]SR!$G$94</definedName>
    <definedName name="UpStoreSS">SR!#REF!</definedName>
    <definedName name="UpThermo" localSheetId="3">#REF!</definedName>
    <definedName name="UpThermo">#REF!</definedName>
    <definedName name="UpTransport" localSheetId="3">#REF!</definedName>
    <definedName name="UpTransport">#REF!</definedName>
    <definedName name="UpTurbid" localSheetId="3">#REF!</definedName>
    <definedName name="UpTurbid">#REF!</definedName>
    <definedName name="UpWQdis2" localSheetId="3">[1]SR!#REF!</definedName>
    <definedName name="UpWQdis2">SR!#REF!</definedName>
    <definedName name="VegClear" localSheetId="3">[1]STR!$G$9</definedName>
    <definedName name="VegClear">STR!#REF!</definedName>
    <definedName name="VegGap11" localSheetId="3">[1]AM!#REF!</definedName>
    <definedName name="VegGap11">AM!#REF!</definedName>
    <definedName name="VegGap14" localSheetId="3">[1]SBM!$G$54</definedName>
    <definedName name="VegGap14">SBM!#REF!</definedName>
    <definedName name="VegGaps8" localSheetId="3">[1]INV!$G$100</definedName>
    <definedName name="VegGaps8">INV!#REF!</definedName>
    <definedName name="VegPct5k15">PH!$G$26</definedName>
    <definedName name="VegPctScape_S">Sen!$G$24</definedName>
    <definedName name="VegWabs3" localSheetId="3">[1]PR!$G$67</definedName>
    <definedName name="VegWabs3">PR!$G$69</definedName>
    <definedName name="VegWrel3" localSheetId="3">[1]PR!$G$147</definedName>
    <definedName name="VegWrel3">PR!#REF!</definedName>
    <definedName name="Visib12">WBF!$G$151</definedName>
    <definedName name="Visibility" localSheetId="3">[1]PU!$G$2</definedName>
    <definedName name="Visibility">PU!$G$27</definedName>
    <definedName name="VisibWet">STR!$G$49</definedName>
    <definedName name="Vremove6" localSheetId="3">[1]OE!$G$116</definedName>
    <definedName name="Vremove6">OE!#REF!</definedName>
    <definedName name="VscoreSRM">SBM!$G$173</definedName>
    <definedName name="VscoreWBF">WBF!$G$165</definedName>
    <definedName name="VscoreWBN">WBN!$G$182</definedName>
    <definedName name="Vwidth11">AM!$G$144</definedName>
    <definedName name="Vwidth14">SBM!$G$122</definedName>
    <definedName name="VwidthAbs_S" localSheetId="3">[1]Sen!$G$40</definedName>
    <definedName name="VwidthAbs_S">Sen!$G$139</definedName>
    <definedName name="VwidthAbs13" localSheetId="3">[1]WBN!$G$56</definedName>
    <definedName name="VwidthAbs13">WBN!$G$116</definedName>
    <definedName name="VwidthAbs4" localSheetId="3">[1]NR!$G$63</definedName>
    <definedName name="VwidthAbs4">NR!$G$101</definedName>
    <definedName name="VwidthAbs5" localSheetId="3">[1]CS!$G$75</definedName>
    <definedName name="VwidthAbs5">CS!$G$78</definedName>
    <definedName name="VwidthAbs6" localSheetId="3">[1]OE!$G$72</definedName>
    <definedName name="VwidthAbs6">OE!$G$70</definedName>
    <definedName name="VwidthRel_S" localSheetId="3">[1]Sen!$G$37</definedName>
    <definedName name="VwidthRel_S">Sen!#REF!</definedName>
    <definedName name="VwidthRel4" localSheetId="3">[1]NR!$G$148</definedName>
    <definedName name="VwidthRel4">NR!#REF!</definedName>
    <definedName name="VwidthRel5" localSheetId="3">[1]CS!$G$72</definedName>
    <definedName name="VwidthRel5">CS!#REF!</definedName>
    <definedName name="VwidthRel6" localSheetId="3">[1]OE!$G$69</definedName>
    <definedName name="VwidthRel6">OE!#REF!</definedName>
    <definedName name="WarmInflo7">WC!$D$70</definedName>
    <definedName name="Warmth1">WS!$G$19</definedName>
    <definedName name="warmth10">FR!$G$8</definedName>
    <definedName name="warmth12">WBF!$G$37</definedName>
    <definedName name="Warmth2">SR!$G$15</definedName>
    <definedName name="Warmth3">PR!$G$15</definedName>
    <definedName name="Warmth4">NR!$G$27</definedName>
    <definedName name="Warmth5">CS!$G$3</definedName>
    <definedName name="Warmth6">OE!$G$10</definedName>
    <definedName name="Warmth7">WC!$G$56</definedName>
    <definedName name="warmth8">INV!$G$13</definedName>
    <definedName name="WatEdgeSlope2">SR!$G$68</definedName>
    <definedName name="Water0">POL!#REF!</definedName>
    <definedName name="Water10">FR!$D$33</definedName>
    <definedName name="Water11">AM!$D$112</definedName>
    <definedName name="Water12">WBF!$D$72</definedName>
    <definedName name="Water13">WBN!$D$69</definedName>
    <definedName name="Water14">SBM!$D$109</definedName>
    <definedName name="Water15">PH!$D$113</definedName>
    <definedName name="Water1a">WS!#REF!</definedName>
    <definedName name="Water2">SFS!#REF!</definedName>
    <definedName name="Water2a">SR!#REF!</definedName>
    <definedName name="Water3">PR!$D$38</definedName>
    <definedName name="Water4">NR!$D$64</definedName>
    <definedName name="Water7">WC!$D$7</definedName>
    <definedName name="Water7w">#REF!</definedName>
    <definedName name="Water8">INV!$D$63</definedName>
    <definedName name="Water9">FA!$D$35</definedName>
    <definedName name="Waterscape11">AM!$G$203</definedName>
    <definedName name="Wave2" localSheetId="3">[1]SR!$G$146</definedName>
    <definedName name="Wave2">SR!#REF!</definedName>
    <definedName name="Waves" localSheetId="3">[1]STR!$G$15</definedName>
    <definedName name="Waves">STR!#REF!</definedName>
    <definedName name="Waves15" localSheetId="3">[1]PD!$G$105</definedName>
    <definedName name="Waves15">PH!#REF!</definedName>
    <definedName name="WBFscore10">AM!$G$194</definedName>
    <definedName name="WBFscores" localSheetId="3">[1]FR!$D$112</definedName>
    <definedName name="WBFscores">FR!$D$130</definedName>
    <definedName name="WBFsiteS">Sen!#REF!</definedName>
    <definedName name="WbirdF" localSheetId="3">[1]INV!$G$162</definedName>
    <definedName name="WbirdF">INV!$G$149</definedName>
    <definedName name="WbirdFeed" localSheetId="3">[1]FA!$G$124</definedName>
    <definedName name="WbirdFeed">FA!$G$139</definedName>
    <definedName name="WbirdFeed10">FR!$G$130</definedName>
    <definedName name="WbirdNest" localSheetId="3">[1]INV!$G$163</definedName>
    <definedName name="WbirdNest">INV!$G$150</definedName>
    <definedName name="WBN4a">WBN!#REF!</definedName>
    <definedName name="WBNsiteS">Sen!$G$66</definedName>
    <definedName name="WeedSource" localSheetId="3">[1]STR!$G$35</definedName>
    <definedName name="WeedSource">STR!$G$22</definedName>
    <definedName name="WeedSourcePD" localSheetId="3">[1]PD!$G$130</definedName>
    <definedName name="WeedSourcePD">PH!$G$108</definedName>
    <definedName name="WellWater" localSheetId="3">#REF!</definedName>
    <definedName name="WellWater">#REF!</definedName>
    <definedName name="WetDistrib13" localSheetId="3">[1]WBN!#REF!</definedName>
    <definedName name="WetDistrib13">WBN!#REF!</definedName>
    <definedName name="WetIntercept">SR!$G$154</definedName>
    <definedName name="WetPct0">POL!#REF!</definedName>
    <definedName name="WetPctCA2">SR!$G$3</definedName>
    <definedName name="WetPctCA4">NR!$G$11</definedName>
    <definedName name="WetSize_S">Sen!$G$3</definedName>
    <definedName name="Wetter" localSheetId="3">[1]STR!$G$2</definedName>
    <definedName name="Wetter">STR!$G$75</definedName>
    <definedName name="wetter1">WS!#REF!</definedName>
    <definedName name="Wetter5">CS!$G$116</definedName>
    <definedName name="WetterEx">STR!$G$76</definedName>
    <definedName name="Wettype10">FR!$G$21</definedName>
    <definedName name="Wettype11">AM!$G$66</definedName>
    <definedName name="Wettype12">WBF!$G$49</definedName>
    <definedName name="Wettype13">WBN!$G$43</definedName>
    <definedName name="Wettype2">SFS!$G$7</definedName>
    <definedName name="Wettype4">NR!$G$34</definedName>
    <definedName name="Wettype5">CS!$G$10</definedName>
    <definedName name="Wettype6">OE!$G$18</definedName>
    <definedName name="Wettype8">INV!$G$26</definedName>
    <definedName name="Wettype9">FA!$G$24</definedName>
    <definedName name="WetTypeDiv11">AM!$G$71</definedName>
    <definedName name="WetTypeDiv12">WBF!$G$54</definedName>
    <definedName name="WetTypeDiv14">SBM!$G$60</definedName>
    <definedName name="WettypePD">PH!$G$62</definedName>
    <definedName name="WettypeS">Sen!$G$71</definedName>
    <definedName name="wetuniq" localSheetId="3">[1]POL!$G$118</definedName>
    <definedName name="wetuniq">POL!#REF!</definedName>
    <definedName name="WidthAbs2" localSheetId="3">[1]SR!$G$50</definedName>
    <definedName name="WidthAbs2">SR!$G$61</definedName>
    <definedName name="WidthPD">PH!$G$137</definedName>
    <definedName name="WoodAbove10">FR!$G$67</definedName>
    <definedName name="WoodAbove11">AM!$G$155</definedName>
    <definedName name="WoodAbove12" localSheetId="3">[1]WBF!#REF!</definedName>
    <definedName name="WoodAbove12">WBF!#REF!</definedName>
    <definedName name="WoodAbove14" localSheetId="3">[1]SBM!$G$22</definedName>
    <definedName name="WoodAbove14">SBM!#REF!</definedName>
    <definedName name="WoodAbove9" localSheetId="3">[1]FA!$G$76</definedName>
    <definedName name="WoodAbove9">FA!$G$77</definedName>
    <definedName name="WoodDown11" localSheetId="3">[1]AM!$G$101</definedName>
    <definedName name="WoodDown11">AM!$G$90</definedName>
    <definedName name="WoodDown14" localSheetId="3">[1]SBM!$G$69</definedName>
    <definedName name="WoodDown14">SBM!$G$84</definedName>
    <definedName name="WoodDown8" localSheetId="3">[1]INV!$G$108</definedName>
    <definedName name="WoodDown8">INV!$G$42</definedName>
    <definedName name="WoodHerbMix11">AM!$G$85</definedName>
    <definedName name="WoodHerbMix15">PH!$G$69</definedName>
    <definedName name="WoodHerbMix8">INV!$G$37</definedName>
    <definedName name="WoodPatt14">SBM!$G$75</definedName>
    <definedName name="WoodSpDom15">PH!$G$74</definedName>
    <definedName name="WoodTypes_S" localSheetId="3">[1]Sen!#REF!</definedName>
    <definedName name="WoodTypes_S">Sen!#REF!</definedName>
    <definedName name="WoodWaterEdge7">WC!#REF!</definedName>
    <definedName name="woody">F!#REF!</definedName>
    <definedName name="Woody12">WBF!#REF!</definedName>
    <definedName name="Woody13">WBN!#REF!</definedName>
    <definedName name="Woody14" localSheetId="3">[1]SBM!$G$37</definedName>
    <definedName name="Woody14">SBM!$G$75</definedName>
    <definedName name="woodydbh0" localSheetId="3">[1]POL!$G$42</definedName>
    <definedName name="woodydbh0">POL!$G$24</definedName>
    <definedName name="WoodyEdge14" localSheetId="3">[1]SBM!$G$31</definedName>
    <definedName name="WoodyEdge14">SBM!#REF!</definedName>
    <definedName name="WoodyHtDiv14">SBM!$G$65</definedName>
    <definedName name="WoodyHtDiv15">PH!$G$67</definedName>
    <definedName name="WoodyHtForm0">POL!$G$17</definedName>
    <definedName name="woodynn0" localSheetId="3">[1]POL!$G$36</definedName>
    <definedName name="woodynn0">POL!#REF!</definedName>
    <definedName name="woodypct0">POL!#REF!</definedName>
    <definedName name="WoodyPct14" localSheetId="3">[1]SBM!$G$25</definedName>
    <definedName name="WoodyPct14">SBM!#REF!</definedName>
    <definedName name="WoodyPct5" localSheetId="3">[1]CS!$G$82</definedName>
    <definedName name="WoodyPct5">CS!#REF!</definedName>
    <definedName name="WoodySens2_C" localSheetId="3">[1]CQ!$G$65</definedName>
    <definedName name="WoodySens2_C">EC!#REF!</definedName>
    <definedName name="WoodySens2_S" localSheetId="3">[1]Sen!$G$86</definedName>
    <definedName name="WoodySens2_S">Sen!$G$91</definedName>
    <definedName name="WoodyTyp4">NR!$G$39</definedName>
    <definedName name="WoodyUniq">AM!$G$192</definedName>
    <definedName name="WoodyUniq0">POL!$G$85</definedName>
    <definedName name="WoodyUniq14">SBM!$G$161</definedName>
    <definedName name="WoodyUniq20">PH!$G$207</definedName>
    <definedName name="WQdisDown4" localSheetId="3">[1]NR!$G$132</definedName>
    <definedName name="WQdisDown4">NR!#REF!</definedName>
    <definedName name="WQdistUp7" localSheetId="3">[1]T!#REF!</definedName>
    <definedName name="WQdistUp7">WC!#REF!</definedName>
    <definedName name="WQdown4">NR!#REF!</definedName>
    <definedName name="WQdown7">WC!#REF!</definedName>
    <definedName name="WQdownDis" localSheetId="3">[1]STR!#REF!</definedName>
    <definedName name="WQdownDis">STR!#REF!</definedName>
    <definedName name="WQdownDis11" localSheetId="3">[1]AM!#REF!</definedName>
    <definedName name="WQdownDis11">AM!#REF!</definedName>
    <definedName name="WQdownDis12" localSheetId="3">[1]WBF!#REF!</definedName>
    <definedName name="WQdownDis12">WBF!#REF!</definedName>
    <definedName name="WQdownDis13" localSheetId="3">[1]WBN!#REF!</definedName>
    <definedName name="WQdownDis13">WBN!#REF!</definedName>
    <definedName name="WQdownDis7" localSheetId="3">[1]T!$G$42</definedName>
    <definedName name="WQdownDis7">WC!#REF!</definedName>
    <definedName name="WQdownDis8" localSheetId="3">[1]INV!#REF!</definedName>
    <definedName name="WQdownDis8">INV!#REF!</definedName>
    <definedName name="WQdownDis9" localSheetId="3">[1]FA!$G$115</definedName>
    <definedName name="WQdownDis9">FA!#REF!</definedName>
    <definedName name="WQNdisUp4" localSheetId="3">[1]NR!#REF!</definedName>
    <definedName name="WQNdisUp4">NR!#REF!</definedName>
    <definedName name="WQprobDownS" localSheetId="3">[1]STR!#REF!</definedName>
    <definedName name="WQprobDownS">STR!#REF!</definedName>
    <definedName name="WQprobUpS" localSheetId="3">[1]STR!$G$62</definedName>
    <definedName name="WQprobUpS">STR!#REF!</definedName>
    <definedName name="WQstress">STR!$G$86</definedName>
    <definedName name="WQup11" localSheetId="3">[1]AM!$G$220</definedName>
    <definedName name="WQup11">AM!#REF!</definedName>
    <definedName name="WQup4">NR!#REF!</definedName>
    <definedName name="WQup7">WC!#REF!</definedName>
    <definedName name="WQup9" localSheetId="3">[1]FA!$G$107</definedName>
    <definedName name="WQup9">FA!#REF!</definedName>
    <definedName name="WQupDis" localSheetId="3">[1]STR!#REF!</definedName>
    <definedName name="WQupDis">STR!#REF!</definedName>
    <definedName name="WQupDis11" localSheetId="3">[1]AM!#REF!</definedName>
    <definedName name="WQupDis11">AM!#REF!</definedName>
    <definedName name="WQupDis12" localSheetId="3">[1]WBF!#REF!</definedName>
    <definedName name="WQupDis12">WBF!#REF!</definedName>
    <definedName name="WQupDis13" localSheetId="3">[1]WBN!#REF!</definedName>
    <definedName name="WQupDis13">WBN!#REF!</definedName>
    <definedName name="WQupdis8" localSheetId="3">[1]INV!#REF!</definedName>
    <definedName name="WQupdis8">INV!#REF!</definedName>
    <definedName name="WQupDis9" localSheetId="3">[1]FA!#REF!</definedName>
    <definedName name="WQupDis9">FA!#REF!</definedName>
    <definedName name="Wscape">WBN!$G$177</definedName>
    <definedName name="Wscape14">SBM!$G$169</definedName>
    <definedName name="Z_B8E02330_2419_4DE6_AD01_7ACC7A5D18DD_.wvu.Cols" localSheetId="4" hidden="1">Scores!$I:$I,Scores!#REF!</definedName>
    <definedName name="Z_B8E02330_2419_4DE6_AD01_7ACC7A5D18DD_.wvu.PrintArea" localSheetId="2" hidden="1">F!$A$2:$D$305</definedName>
    <definedName name="Z_B8E02330_2419_4DE6_AD01_7ACC7A5D18DD_.wvu.PrintArea" localSheetId="1" hidden="1">OF!$A$3:$D$146</definedName>
    <definedName name="Z_B8E02330_2419_4DE6_AD01_7ACC7A5D18DD_.wvu.PrintArea" localSheetId="3" hidden="1">S!$A$2:$F$142</definedName>
    <definedName name="Z_B8E02330_2419_4DE6_AD01_7ACC7A5D18DD_.wvu.PrintArea" localSheetId="4" hidden="1">Scores!$A$1:$K$28</definedName>
  </definedNames>
  <calcPr calcId="125725"/>
  <customWorkbookViews>
    <customWorkbookView name="Paul Adamus - Personal View" guid="{B8E02330-2419-4DE6-AD01-7ACC7A5D18DD}" mergeInterval="0" personalView="1" maximized="1" xWindow="1" yWindow="1" windowWidth="1020" windowHeight="490" tabRatio="1000" activeSheetId="3"/>
  </customWorkbookViews>
</workbook>
</file>

<file path=xl/calcChain.xml><?xml version="1.0" encoding="utf-8"?>
<calcChain xmlns="http://schemas.openxmlformats.org/spreadsheetml/2006/main">
  <c r="D157" i="23"/>
  <c r="D156"/>
  <c r="D152"/>
  <c r="D162" i="18"/>
  <c r="D127" i="15"/>
  <c r="D128"/>
  <c r="D198" i="11"/>
  <c r="D197"/>
  <c r="M37" i="5" l="1"/>
  <c r="M36"/>
  <c r="M35"/>
  <c r="M34"/>
  <c r="M33"/>
  <c r="M32"/>
  <c r="M31"/>
  <c r="M29"/>
  <c r="M28"/>
  <c r="M27"/>
  <c r="M26"/>
  <c r="M25"/>
  <c r="M24"/>
  <c r="M23"/>
  <c r="M22"/>
  <c r="M21"/>
  <c r="M20"/>
  <c r="M19"/>
  <c r="M18"/>
  <c r="M17"/>
  <c r="M14"/>
  <c r="M13"/>
  <c r="M12"/>
  <c r="M11"/>
  <c r="M10"/>
  <c r="M9"/>
  <c r="J35"/>
  <c r="J34"/>
  <c r="J33"/>
  <c r="J32"/>
  <c r="J31"/>
  <c r="J25"/>
  <c r="J24"/>
  <c r="J23"/>
  <c r="J22"/>
  <c r="J21"/>
  <c r="J20"/>
  <c r="J19"/>
  <c r="J18"/>
  <c r="J17"/>
  <c r="J16"/>
  <c r="J15"/>
  <c r="J14"/>
  <c r="J13"/>
  <c r="J12"/>
  <c r="J11"/>
  <c r="J10"/>
  <c r="J9"/>
  <c r="B11" i="22" l="1"/>
  <c r="C11"/>
  <c r="F79" i="4"/>
  <c r="F64"/>
  <c r="F49"/>
  <c r="F33"/>
  <c r="F18"/>
  <c r="D131" i="11" l="1"/>
  <c r="D136" i="10"/>
  <c r="D135"/>
  <c r="F141" i="4"/>
  <c r="F142" s="1"/>
  <c r="F124"/>
  <c r="F123"/>
  <c r="F106"/>
  <c r="F105"/>
  <c r="F93"/>
  <c r="F92"/>
  <c r="F80"/>
  <c r="F65"/>
  <c r="F50"/>
  <c r="F34"/>
  <c r="F19"/>
  <c r="D23" i="22" l="1"/>
  <c r="F23" s="1"/>
  <c r="D22"/>
  <c r="F22" s="1"/>
  <c r="D21"/>
  <c r="F21" s="1"/>
  <c r="D20"/>
  <c r="F20" s="1"/>
  <c r="D19"/>
  <c r="F19" s="1"/>
  <c r="D18"/>
  <c r="F18" s="1"/>
  <c r="C23"/>
  <c r="C22"/>
  <c r="C21"/>
  <c r="C20"/>
  <c r="C19"/>
  <c r="C18"/>
  <c r="C17"/>
  <c r="A17"/>
  <c r="B17"/>
  <c r="G18" l="1"/>
  <c r="G17" s="1"/>
  <c r="D163" i="11"/>
  <c r="G163" s="1"/>
  <c r="C163"/>
  <c r="A163"/>
  <c r="B163"/>
  <c r="D22" i="27"/>
  <c r="G22" s="1"/>
  <c r="A22"/>
  <c r="B22"/>
  <c r="C22"/>
  <c r="C3" i="13"/>
  <c r="A183" i="18"/>
  <c r="A70" i="15"/>
  <c r="A142" i="20"/>
  <c r="B142"/>
  <c r="D146"/>
  <c r="D145"/>
  <c r="D144"/>
  <c r="D143"/>
  <c r="C146"/>
  <c r="C145"/>
  <c r="C144"/>
  <c r="C143"/>
  <c r="C142"/>
  <c r="D127" i="19"/>
  <c r="D126"/>
  <c r="D125"/>
  <c r="D124"/>
  <c r="C127"/>
  <c r="C126"/>
  <c r="C125"/>
  <c r="C124"/>
  <c r="C123"/>
  <c r="A123"/>
  <c r="B123"/>
  <c r="D105" i="14"/>
  <c r="D104"/>
  <c r="D103"/>
  <c r="D102"/>
  <c r="C105"/>
  <c r="C104"/>
  <c r="C103"/>
  <c r="C102"/>
  <c r="A101"/>
  <c r="B101"/>
  <c r="C101"/>
  <c r="D103" i="13"/>
  <c r="D102"/>
  <c r="D101"/>
  <c r="D100"/>
  <c r="C103"/>
  <c r="C102"/>
  <c r="C101"/>
  <c r="C100"/>
  <c r="A99"/>
  <c r="B99"/>
  <c r="C99"/>
  <c r="D140" i="11"/>
  <c r="D139"/>
  <c r="D138"/>
  <c r="D137"/>
  <c r="A136"/>
  <c r="B136"/>
  <c r="C140"/>
  <c r="C139"/>
  <c r="C138"/>
  <c r="C137"/>
  <c r="C136"/>
  <c r="D104" i="10"/>
  <c r="F104" s="1"/>
  <c r="D103"/>
  <c r="F103" s="1"/>
  <c r="D102"/>
  <c r="F102" s="1"/>
  <c r="D101"/>
  <c r="A100"/>
  <c r="B100"/>
  <c r="C104"/>
  <c r="C103"/>
  <c r="C102"/>
  <c r="C101"/>
  <c r="C100"/>
  <c r="F101"/>
  <c r="D98" i="9"/>
  <c r="D97"/>
  <c r="D96"/>
  <c r="D95"/>
  <c r="C98"/>
  <c r="C97"/>
  <c r="C96"/>
  <c r="C95"/>
  <c r="C94"/>
  <c r="A94"/>
  <c r="B94"/>
  <c r="A73" i="8"/>
  <c r="B73"/>
  <c r="D77"/>
  <c r="D76"/>
  <c r="D75"/>
  <c r="D74"/>
  <c r="C77"/>
  <c r="C76"/>
  <c r="C75"/>
  <c r="C74"/>
  <c r="C73"/>
  <c r="G100" i="10" l="1"/>
  <c r="D200" i="23"/>
  <c r="D16" i="24"/>
  <c r="G16" s="1"/>
  <c r="D80" i="8"/>
  <c r="D79"/>
  <c r="G79" s="1"/>
  <c r="D65" i="18"/>
  <c r="G65" s="1"/>
  <c r="D25" i="15"/>
  <c r="G25" s="1"/>
  <c r="D20" i="17"/>
  <c r="G20" s="1"/>
  <c r="D23" i="16"/>
  <c r="G23" s="1"/>
  <c r="D17" i="14"/>
  <c r="G17" s="1"/>
  <c r="D25" i="27"/>
  <c r="G25" s="1"/>
  <c r="D24"/>
  <c r="G24" s="1"/>
  <c r="D23"/>
  <c r="G23" s="1"/>
  <c r="G56" l="1"/>
  <c r="G155" i="18"/>
  <c r="G114" i="15"/>
  <c r="G67" i="17"/>
  <c r="G77" i="16"/>
  <c r="C14" l="1"/>
  <c r="C48" i="18" l="1"/>
  <c r="A99" i="9" l="1"/>
  <c r="B99"/>
  <c r="C99"/>
  <c r="D99"/>
  <c r="G99" s="1"/>
  <c r="C91"/>
  <c r="C151" i="25" l="1"/>
  <c r="D53" i="23"/>
  <c r="G53" s="1"/>
  <c r="C53"/>
  <c r="A53"/>
  <c r="B53"/>
  <c r="C80" i="8"/>
  <c r="B80"/>
  <c r="A80"/>
  <c r="C45" i="19"/>
  <c r="D48" i="21" l="1"/>
  <c r="G48" s="1"/>
  <c r="D35" i="18"/>
  <c r="G35" s="1"/>
  <c r="A203" i="23"/>
  <c r="C203"/>
  <c r="D203"/>
  <c r="G203" s="1"/>
  <c r="B203"/>
  <c r="A202"/>
  <c r="C202"/>
  <c r="D202"/>
  <c r="G202" s="1"/>
  <c r="B202"/>
  <c r="D64" i="21"/>
  <c r="D63"/>
  <c r="D62"/>
  <c r="D61"/>
  <c r="B60"/>
  <c r="A60"/>
  <c r="C64"/>
  <c r="C63"/>
  <c r="C62"/>
  <c r="C61"/>
  <c r="C60"/>
  <c r="B54" i="19"/>
  <c r="A54"/>
  <c r="D58"/>
  <c r="D57"/>
  <c r="D56"/>
  <c r="D55"/>
  <c r="C58"/>
  <c r="C57"/>
  <c r="C56"/>
  <c r="C55"/>
  <c r="C54"/>
  <c r="B71" i="18"/>
  <c r="A71"/>
  <c r="D75"/>
  <c r="D74"/>
  <c r="D73"/>
  <c r="D72"/>
  <c r="C75"/>
  <c r="C74"/>
  <c r="C73"/>
  <c r="C72"/>
  <c r="C71"/>
  <c r="A31" i="15"/>
  <c r="B31"/>
  <c r="D35"/>
  <c r="D34"/>
  <c r="D33"/>
  <c r="D32"/>
  <c r="C35"/>
  <c r="C34"/>
  <c r="C33"/>
  <c r="C32"/>
  <c r="C31"/>
  <c r="G60" i="21" l="1"/>
  <c r="G71" i="18"/>
  <c r="G54" i="19"/>
  <c r="G31" i="15"/>
  <c r="D7" i="26"/>
  <c r="C7"/>
  <c r="D130" i="18" l="1"/>
  <c r="F130" s="1"/>
  <c r="C130"/>
  <c r="D129"/>
  <c r="F129" s="1"/>
  <c r="C129"/>
  <c r="D25" i="23"/>
  <c r="F25" s="1"/>
  <c r="D24"/>
  <c r="F24" s="1"/>
  <c r="D23"/>
  <c r="F23" s="1"/>
  <c r="D22"/>
  <c r="D21"/>
  <c r="F21" s="1"/>
  <c r="D20"/>
  <c r="F20" s="1"/>
  <c r="D19"/>
  <c r="F19" s="1"/>
  <c r="D17"/>
  <c r="D16"/>
  <c r="F16" s="1"/>
  <c r="D15"/>
  <c r="F15" s="1"/>
  <c r="D14"/>
  <c r="F14" s="1"/>
  <c r="D13"/>
  <c r="D12"/>
  <c r="D11"/>
  <c r="F11" s="1"/>
  <c r="D154"/>
  <c r="G153" s="1"/>
  <c r="D70"/>
  <c r="F70" s="1"/>
  <c r="D71"/>
  <c r="F71" s="1"/>
  <c r="D72"/>
  <c r="F72" s="1"/>
  <c r="D73"/>
  <c r="F73" s="1"/>
  <c r="F22"/>
  <c r="G200"/>
  <c r="A3" i="22"/>
  <c r="D10"/>
  <c r="F10" s="1"/>
  <c r="D9"/>
  <c r="F9" s="1"/>
  <c r="D8"/>
  <c r="F8" s="1"/>
  <c r="D7"/>
  <c r="F7" s="1"/>
  <c r="D6"/>
  <c r="F6" s="1"/>
  <c r="D5"/>
  <c r="F5" s="1"/>
  <c r="D4"/>
  <c r="F4" s="1"/>
  <c r="C10"/>
  <c r="C9"/>
  <c r="C8"/>
  <c r="C7"/>
  <c r="C6"/>
  <c r="C5"/>
  <c r="C4"/>
  <c r="C3"/>
  <c r="B3"/>
  <c r="D44"/>
  <c r="F44" s="1"/>
  <c r="D45"/>
  <c r="F45" s="1"/>
  <c r="D46"/>
  <c r="F46" s="1"/>
  <c r="D47"/>
  <c r="F47" s="1"/>
  <c r="D62"/>
  <c r="F62" s="1"/>
  <c r="D63"/>
  <c r="F63" s="1"/>
  <c r="D64"/>
  <c r="F64" s="1"/>
  <c r="D65"/>
  <c r="F65" s="1"/>
  <c r="D59"/>
  <c r="F59" s="1"/>
  <c r="D60"/>
  <c r="F60" s="1"/>
  <c r="D42"/>
  <c r="F42" s="1"/>
  <c r="D67"/>
  <c r="F67" s="1"/>
  <c r="D68"/>
  <c r="F68" s="1"/>
  <c r="D69"/>
  <c r="F69" s="1"/>
  <c r="D70"/>
  <c r="F70" s="1"/>
  <c r="D71"/>
  <c r="F71" s="1"/>
  <c r="D53"/>
  <c r="F53" s="1"/>
  <c r="D54"/>
  <c r="F54" s="1"/>
  <c r="D55"/>
  <c r="F55" s="1"/>
  <c r="D56"/>
  <c r="F56" s="1"/>
  <c r="D57"/>
  <c r="F57" s="1"/>
  <c r="D25"/>
  <c r="D26"/>
  <c r="D27"/>
  <c r="D28"/>
  <c r="D29"/>
  <c r="D30"/>
  <c r="D31"/>
  <c r="D32"/>
  <c r="F25"/>
  <c r="F26"/>
  <c r="F27"/>
  <c r="F28"/>
  <c r="F29"/>
  <c r="F30"/>
  <c r="F31"/>
  <c r="F32"/>
  <c r="D34"/>
  <c r="F34" s="1"/>
  <c r="D35"/>
  <c r="F35" s="1"/>
  <c r="D36"/>
  <c r="F36" s="1"/>
  <c r="D38"/>
  <c r="F38" s="1"/>
  <c r="D39"/>
  <c r="F39" s="1"/>
  <c r="D49"/>
  <c r="F49" s="1"/>
  <c r="D50"/>
  <c r="F50" s="1"/>
  <c r="D51"/>
  <c r="F51" s="1"/>
  <c r="D81"/>
  <c r="G81" s="1"/>
  <c r="D82"/>
  <c r="G82" s="1"/>
  <c r="D12"/>
  <c r="F12" s="1"/>
  <c r="D13"/>
  <c r="F13" s="1"/>
  <c r="D14"/>
  <c r="F14" s="1"/>
  <c r="D15"/>
  <c r="F15" s="1"/>
  <c r="D16"/>
  <c r="F16" s="1"/>
  <c r="D73"/>
  <c r="F73" s="1"/>
  <c r="D74"/>
  <c r="F74" s="1"/>
  <c r="D75"/>
  <c r="F75" s="1"/>
  <c r="D76"/>
  <c r="F76" s="1"/>
  <c r="D77"/>
  <c r="F77" s="1"/>
  <c r="D79"/>
  <c r="G78" s="1"/>
  <c r="D41"/>
  <c r="F41" s="1"/>
  <c r="B40"/>
  <c r="A40"/>
  <c r="C42"/>
  <c r="C41"/>
  <c r="C40"/>
  <c r="D80"/>
  <c r="F80" s="1"/>
  <c r="B78"/>
  <c r="A78"/>
  <c r="C80"/>
  <c r="C79"/>
  <c r="C78"/>
  <c r="C77"/>
  <c r="C76"/>
  <c r="C75"/>
  <c r="C74"/>
  <c r="C73"/>
  <c r="C72"/>
  <c r="A72"/>
  <c r="B72"/>
  <c r="A82"/>
  <c r="C82"/>
  <c r="B82"/>
  <c r="G67" i="20"/>
  <c r="D168" i="11"/>
  <c r="D173"/>
  <c r="D180"/>
  <c r="F180" s="1"/>
  <c r="D181"/>
  <c r="F181" s="1"/>
  <c r="D182"/>
  <c r="F182" s="1"/>
  <c r="D209"/>
  <c r="F209" s="1"/>
  <c r="D210"/>
  <c r="F210" s="1"/>
  <c r="D211"/>
  <c r="F211" s="1"/>
  <c r="D212"/>
  <c r="F212" s="1"/>
  <c r="D206"/>
  <c r="F206" s="1"/>
  <c r="D207"/>
  <c r="F207" s="1"/>
  <c r="D184"/>
  <c r="F184" s="1"/>
  <c r="D185"/>
  <c r="F185" s="1"/>
  <c r="D186"/>
  <c r="F186" s="1"/>
  <c r="D196"/>
  <c r="D217"/>
  <c r="G217" s="1"/>
  <c r="D188"/>
  <c r="F188" s="1"/>
  <c r="D189"/>
  <c r="F189" s="1"/>
  <c r="D190"/>
  <c r="F190" s="1"/>
  <c r="D191"/>
  <c r="F191" s="1"/>
  <c r="D192"/>
  <c r="F192" s="1"/>
  <c r="D151"/>
  <c r="F151" s="1"/>
  <c r="D152"/>
  <c r="F152" s="1"/>
  <c r="D153"/>
  <c r="F153" s="1"/>
  <c r="D154"/>
  <c r="F154" s="1"/>
  <c r="D155"/>
  <c r="F155" s="1"/>
  <c r="D157"/>
  <c r="F157" s="1"/>
  <c r="D158"/>
  <c r="F158" s="1"/>
  <c r="D159"/>
  <c r="F159" s="1"/>
  <c r="D160"/>
  <c r="F160" s="1"/>
  <c r="D161"/>
  <c r="F161" s="1"/>
  <c r="D162"/>
  <c r="F162" s="1"/>
  <c r="D200"/>
  <c r="F200" s="1"/>
  <c r="D201"/>
  <c r="F201" s="1"/>
  <c r="D202"/>
  <c r="F202" s="1"/>
  <c r="D203"/>
  <c r="F203" s="1"/>
  <c r="D204"/>
  <c r="F204" s="1"/>
  <c r="D175"/>
  <c r="F175" s="1"/>
  <c r="D176"/>
  <c r="F176" s="1"/>
  <c r="D177"/>
  <c r="F177" s="1"/>
  <c r="D178"/>
  <c r="F178" s="1"/>
  <c r="D214"/>
  <c r="F214" s="1"/>
  <c r="D215"/>
  <c r="F215" s="1"/>
  <c r="D216"/>
  <c r="F216" s="1"/>
  <c r="D193"/>
  <c r="G193" s="1"/>
  <c r="D96" i="16"/>
  <c r="D88" i="17"/>
  <c r="D84"/>
  <c r="C91"/>
  <c r="D94" i="16"/>
  <c r="D129" i="11"/>
  <c r="D130"/>
  <c r="D95" i="16"/>
  <c r="A93"/>
  <c r="B93"/>
  <c r="C96"/>
  <c r="C95"/>
  <c r="C94"/>
  <c r="C93"/>
  <c r="D43"/>
  <c r="F43" s="1"/>
  <c r="D44"/>
  <c r="F44" s="1"/>
  <c r="D45"/>
  <c r="F45" s="1"/>
  <c r="D46"/>
  <c r="F46" s="1"/>
  <c r="D47"/>
  <c r="F47" s="1"/>
  <c r="D89" i="11"/>
  <c r="F89" s="1"/>
  <c r="D90"/>
  <c r="F90" s="1"/>
  <c r="D91"/>
  <c r="F91" s="1"/>
  <c r="D92"/>
  <c r="F92" s="1"/>
  <c r="D93"/>
  <c r="F93" s="1"/>
  <c r="D123"/>
  <c r="F123" s="1"/>
  <c r="D124"/>
  <c r="F124" s="1"/>
  <c r="D125"/>
  <c r="F125" s="1"/>
  <c r="D126"/>
  <c r="F126" s="1"/>
  <c r="D127"/>
  <c r="F127" s="1"/>
  <c r="D109"/>
  <c r="F109" s="1"/>
  <c r="D110"/>
  <c r="F110" s="1"/>
  <c r="D111"/>
  <c r="F111" s="1"/>
  <c r="D21"/>
  <c r="F21" s="1"/>
  <c r="D22"/>
  <c r="F22" s="1"/>
  <c r="D23"/>
  <c r="F23" s="1"/>
  <c r="D24"/>
  <c r="F24" s="1"/>
  <c r="D25"/>
  <c r="F25" s="1"/>
  <c r="D26"/>
  <c r="F26" s="1"/>
  <c r="D46"/>
  <c r="F46" s="1"/>
  <c r="D47"/>
  <c r="F47" s="1"/>
  <c r="D48"/>
  <c r="F48" s="1"/>
  <c r="D49"/>
  <c r="F49" s="1"/>
  <c r="D8"/>
  <c r="F8" s="1"/>
  <c r="D9"/>
  <c r="F9" s="1"/>
  <c r="D10"/>
  <c r="F10" s="1"/>
  <c r="D12"/>
  <c r="F12" s="1"/>
  <c r="D13"/>
  <c r="F13" s="1"/>
  <c r="D14"/>
  <c r="F14" s="1"/>
  <c r="D15"/>
  <c r="F15" s="1"/>
  <c r="A7"/>
  <c r="D195"/>
  <c r="C198"/>
  <c r="C197"/>
  <c r="C196"/>
  <c r="C195"/>
  <c r="B194"/>
  <c r="A194"/>
  <c r="C194"/>
  <c r="B156"/>
  <c r="A156"/>
  <c r="C162"/>
  <c r="C161"/>
  <c r="C160"/>
  <c r="C159"/>
  <c r="C158"/>
  <c r="C157"/>
  <c r="C156"/>
  <c r="D117" i="10"/>
  <c r="D112"/>
  <c r="D148"/>
  <c r="F148" s="1"/>
  <c r="D149"/>
  <c r="F149" s="1"/>
  <c r="D150"/>
  <c r="F150" s="1"/>
  <c r="D151"/>
  <c r="F151" s="1"/>
  <c r="D107"/>
  <c r="G107" s="1"/>
  <c r="D119"/>
  <c r="F119" s="1"/>
  <c r="D120"/>
  <c r="F120" s="1"/>
  <c r="D121"/>
  <c r="F121" s="1"/>
  <c r="D122"/>
  <c r="F122" s="1"/>
  <c r="D128"/>
  <c r="F128" s="1"/>
  <c r="D129"/>
  <c r="F129" s="1"/>
  <c r="D130"/>
  <c r="F130" s="1"/>
  <c r="D138"/>
  <c r="F138" s="1"/>
  <c r="D139"/>
  <c r="F139" s="1"/>
  <c r="D140"/>
  <c r="F140" s="1"/>
  <c r="D124"/>
  <c r="F124" s="1"/>
  <c r="D125"/>
  <c r="F125" s="1"/>
  <c r="D126"/>
  <c r="F126" s="1"/>
  <c r="D142"/>
  <c r="F142" s="1"/>
  <c r="D143"/>
  <c r="F143" s="1"/>
  <c r="D144"/>
  <c r="F144" s="1"/>
  <c r="D145"/>
  <c r="F145" s="1"/>
  <c r="D146"/>
  <c r="F146" s="1"/>
  <c r="D131"/>
  <c r="D152"/>
  <c r="G152" s="1"/>
  <c r="D172" i="11"/>
  <c r="D171"/>
  <c r="D170"/>
  <c r="D167"/>
  <c r="D166"/>
  <c r="D165"/>
  <c r="B169"/>
  <c r="A169"/>
  <c r="C173"/>
  <c r="C172"/>
  <c r="C171"/>
  <c r="C170"/>
  <c r="C169"/>
  <c r="C168"/>
  <c r="C167"/>
  <c r="C166"/>
  <c r="C165"/>
  <c r="C164"/>
  <c r="A164"/>
  <c r="B164"/>
  <c r="D116" i="10"/>
  <c r="D115"/>
  <c r="D114"/>
  <c r="D111"/>
  <c r="D110"/>
  <c r="D109"/>
  <c r="A113"/>
  <c r="B113"/>
  <c r="C117"/>
  <c r="C116"/>
  <c r="C115"/>
  <c r="C114"/>
  <c r="C113"/>
  <c r="C112"/>
  <c r="C111"/>
  <c r="C110"/>
  <c r="C109"/>
  <c r="C108"/>
  <c r="A108"/>
  <c r="B108"/>
  <c r="D55" i="16"/>
  <c r="F55" s="1"/>
  <c r="D56"/>
  <c r="F56" s="1"/>
  <c r="D57"/>
  <c r="F57" s="1"/>
  <c r="D58"/>
  <c r="F58" s="1"/>
  <c r="D59"/>
  <c r="F59" s="1"/>
  <c r="D36"/>
  <c r="F36" s="1"/>
  <c r="D37"/>
  <c r="F37" s="1"/>
  <c r="D38"/>
  <c r="F38" s="1"/>
  <c r="D39"/>
  <c r="F39" s="1"/>
  <c r="D40"/>
  <c r="F40" s="1"/>
  <c r="D41"/>
  <c r="F41" s="1"/>
  <c r="D61"/>
  <c r="F61" s="1"/>
  <c r="D62"/>
  <c r="F62" s="1"/>
  <c r="D63"/>
  <c r="F63" s="1"/>
  <c r="D64"/>
  <c r="F64" s="1"/>
  <c r="D65"/>
  <c r="F65" s="1"/>
  <c r="D74"/>
  <c r="F74" s="1"/>
  <c r="D75"/>
  <c r="F75" s="1"/>
  <c r="D76"/>
  <c r="F76" s="1"/>
  <c r="D88"/>
  <c r="F88" s="1"/>
  <c r="D89"/>
  <c r="F89" s="1"/>
  <c r="D90"/>
  <c r="F90" s="1"/>
  <c r="D91"/>
  <c r="F91" s="1"/>
  <c r="D92"/>
  <c r="F92" s="1"/>
  <c r="D19"/>
  <c r="F19" s="1"/>
  <c r="D20"/>
  <c r="F20" s="1"/>
  <c r="D82"/>
  <c r="F82" s="1"/>
  <c r="D83"/>
  <c r="F83" s="1"/>
  <c r="D84"/>
  <c r="F84" s="1"/>
  <c r="D85"/>
  <c r="F85" s="1"/>
  <c r="D86"/>
  <c r="F86" s="1"/>
  <c r="D25"/>
  <c r="F25" s="1"/>
  <c r="D26"/>
  <c r="F26" s="1"/>
  <c r="D27"/>
  <c r="F27" s="1"/>
  <c r="D28"/>
  <c r="F28" s="1"/>
  <c r="D67"/>
  <c r="F67" s="1"/>
  <c r="D68"/>
  <c r="F68" s="1"/>
  <c r="D69"/>
  <c r="F69" s="1"/>
  <c r="D70"/>
  <c r="F70" s="1"/>
  <c r="D71"/>
  <c r="F71" s="1"/>
  <c r="D72"/>
  <c r="F72" s="1"/>
  <c r="D49"/>
  <c r="F49" s="1"/>
  <c r="D50"/>
  <c r="F50" s="1"/>
  <c r="D51"/>
  <c r="F51" s="1"/>
  <c r="D52"/>
  <c r="F52" s="1"/>
  <c r="D53"/>
  <c r="F53" s="1"/>
  <c r="D98"/>
  <c r="F98" s="1"/>
  <c r="D99"/>
  <c r="F99" s="1"/>
  <c r="D100"/>
  <c r="F100" s="1"/>
  <c r="D102"/>
  <c r="F102" s="1"/>
  <c r="D103"/>
  <c r="F103" s="1"/>
  <c r="D104"/>
  <c r="F104" s="1"/>
  <c r="D4"/>
  <c r="F4" s="1"/>
  <c r="D5"/>
  <c r="F5" s="1"/>
  <c r="D6"/>
  <c r="F6" s="1"/>
  <c r="D7"/>
  <c r="F7" s="1"/>
  <c r="D8"/>
  <c r="F8" s="1"/>
  <c r="D30"/>
  <c r="F30" s="1"/>
  <c r="D31"/>
  <c r="F31" s="1"/>
  <c r="D32"/>
  <c r="F32" s="1"/>
  <c r="D33"/>
  <c r="F33" s="1"/>
  <c r="D34"/>
  <c r="F34" s="1"/>
  <c r="D106"/>
  <c r="F106" s="1"/>
  <c r="D107"/>
  <c r="F107" s="1"/>
  <c r="D108"/>
  <c r="F108" s="1"/>
  <c r="D109"/>
  <c r="F109" s="1"/>
  <c r="D110"/>
  <c r="F110" s="1"/>
  <c r="D112"/>
  <c r="F112" s="1"/>
  <c r="D113"/>
  <c r="F113" s="1"/>
  <c r="D15"/>
  <c r="F15" s="1"/>
  <c r="D16"/>
  <c r="F16" s="1"/>
  <c r="D17"/>
  <c r="F17" s="1"/>
  <c r="D115"/>
  <c r="G115" s="1"/>
  <c r="D116"/>
  <c r="G116" s="1"/>
  <c r="D114"/>
  <c r="G114" s="1"/>
  <c r="D13"/>
  <c r="G70" i="12"/>
  <c r="D47"/>
  <c r="F47" s="1"/>
  <c r="D46"/>
  <c r="F46" s="1"/>
  <c r="D45"/>
  <c r="F45" s="1"/>
  <c r="C47"/>
  <c r="C46"/>
  <c r="C45"/>
  <c r="C44"/>
  <c r="A44"/>
  <c r="B44"/>
  <c r="D38" i="31"/>
  <c r="F38" s="1"/>
  <c r="D37"/>
  <c r="F37" s="1"/>
  <c r="D36"/>
  <c r="F36" s="1"/>
  <c r="C38"/>
  <c r="C37"/>
  <c r="C36"/>
  <c r="C35"/>
  <c r="A35"/>
  <c r="B35"/>
  <c r="D84" i="8"/>
  <c r="F84" s="1"/>
  <c r="D83"/>
  <c r="F83" s="1"/>
  <c r="D82"/>
  <c r="F82" s="1"/>
  <c r="C84"/>
  <c r="C83"/>
  <c r="C82"/>
  <c r="C81"/>
  <c r="A81"/>
  <c r="B81"/>
  <c r="F74"/>
  <c r="F75"/>
  <c r="F76"/>
  <c r="F77"/>
  <c r="D62"/>
  <c r="D60"/>
  <c r="F60" s="1"/>
  <c r="D64"/>
  <c r="F64" s="1"/>
  <c r="D65"/>
  <c r="F65" s="1"/>
  <c r="D66"/>
  <c r="F66" s="1"/>
  <c r="D67"/>
  <c r="F67" s="1"/>
  <c r="D68"/>
  <c r="F68" s="1"/>
  <c r="D13"/>
  <c r="F13" s="1"/>
  <c r="D14"/>
  <c r="F14" s="1"/>
  <c r="D15"/>
  <c r="F15" s="1"/>
  <c r="D16"/>
  <c r="F16" s="1"/>
  <c r="D17"/>
  <c r="F17" s="1"/>
  <c r="D18"/>
  <c r="F18" s="1"/>
  <c r="D48"/>
  <c r="F48" s="1"/>
  <c r="D49"/>
  <c r="F49" s="1"/>
  <c r="D50"/>
  <c r="F50" s="1"/>
  <c r="D51"/>
  <c r="F51" s="1"/>
  <c r="D52"/>
  <c r="F52" s="1"/>
  <c r="D31"/>
  <c r="F31" s="1"/>
  <c r="D32"/>
  <c r="F32" s="1"/>
  <c r="D33"/>
  <c r="F33" s="1"/>
  <c r="D34"/>
  <c r="F34" s="1"/>
  <c r="D35"/>
  <c r="F35" s="1"/>
  <c r="D72"/>
  <c r="F72" s="1"/>
  <c r="D70"/>
  <c r="F70" s="1"/>
  <c r="D71"/>
  <c r="F71" s="1"/>
  <c r="D4"/>
  <c r="F4" s="1"/>
  <c r="D5"/>
  <c r="F5" s="1"/>
  <c r="D6"/>
  <c r="F6" s="1"/>
  <c r="D7"/>
  <c r="F7" s="1"/>
  <c r="C4"/>
  <c r="D65" i="21"/>
  <c r="G65" s="1"/>
  <c r="D88"/>
  <c r="F88" s="1"/>
  <c r="D89"/>
  <c r="G87" s="1"/>
  <c r="D76"/>
  <c r="F76" s="1"/>
  <c r="D77"/>
  <c r="F77" s="1"/>
  <c r="D78"/>
  <c r="F78" s="1"/>
  <c r="D79"/>
  <c r="F79" s="1"/>
  <c r="D67"/>
  <c r="D68"/>
  <c r="F68" s="1"/>
  <c r="D69"/>
  <c r="D70"/>
  <c r="F70" s="1"/>
  <c r="D71"/>
  <c r="F71" s="1"/>
  <c r="D72"/>
  <c r="F72" s="1"/>
  <c r="D73"/>
  <c r="D74"/>
  <c r="F74" s="1"/>
  <c r="F67"/>
  <c r="F69"/>
  <c r="F73"/>
  <c r="A150" i="19"/>
  <c r="B150"/>
  <c r="C150"/>
  <c r="D150"/>
  <c r="G150" s="1"/>
  <c r="A149"/>
  <c r="B149"/>
  <c r="C149"/>
  <c r="D149"/>
  <c r="G149" s="1"/>
  <c r="D99" i="10"/>
  <c r="D98"/>
  <c r="A105"/>
  <c r="D46"/>
  <c r="F46" s="1"/>
  <c r="D47"/>
  <c r="F47" s="1"/>
  <c r="D48"/>
  <c r="F48" s="1"/>
  <c r="D49"/>
  <c r="F49" s="1"/>
  <c r="D50"/>
  <c r="F50" s="1"/>
  <c r="D42" i="20"/>
  <c r="G42" s="1"/>
  <c r="C42"/>
  <c r="A42"/>
  <c r="B42"/>
  <c r="C151" i="19"/>
  <c r="D171" i="20"/>
  <c r="G171" s="1"/>
  <c r="G182" s="1"/>
  <c r="C171"/>
  <c r="C7" i="9"/>
  <c r="D42" i="25"/>
  <c r="F42" s="1"/>
  <c r="D41"/>
  <c r="F41" s="1"/>
  <c r="D44"/>
  <c r="C44"/>
  <c r="D43"/>
  <c r="F43" s="1"/>
  <c r="C43"/>
  <c r="C42"/>
  <c r="C41"/>
  <c r="D40"/>
  <c r="F40" s="1"/>
  <c r="C40"/>
  <c r="D30" i="19"/>
  <c r="F30" s="1"/>
  <c r="D31"/>
  <c r="F31" s="1"/>
  <c r="C31"/>
  <c r="C30"/>
  <c r="D29"/>
  <c r="F29" s="1"/>
  <c r="C29"/>
  <c r="D28"/>
  <c r="F28" s="1"/>
  <c r="C28"/>
  <c r="D27"/>
  <c r="F27" s="1"/>
  <c r="C27"/>
  <c r="D23"/>
  <c r="F23" s="1"/>
  <c r="D22"/>
  <c r="F22" s="1"/>
  <c r="D24"/>
  <c r="F24" s="1"/>
  <c r="C24"/>
  <c r="C23"/>
  <c r="C22"/>
  <c r="D21"/>
  <c r="F21" s="1"/>
  <c r="C21"/>
  <c r="D20"/>
  <c r="F20" s="1"/>
  <c r="C20"/>
  <c r="C25" i="23"/>
  <c r="D22" i="21"/>
  <c r="F22" s="1"/>
  <c r="D21"/>
  <c r="F21" s="1"/>
  <c r="D25"/>
  <c r="F25" s="1"/>
  <c r="D24"/>
  <c r="D23"/>
  <c r="F23" s="1"/>
  <c r="D20"/>
  <c r="F20" s="1"/>
  <c r="D19"/>
  <c r="F19" s="1"/>
  <c r="C25"/>
  <c r="C24"/>
  <c r="C23"/>
  <c r="C22"/>
  <c r="C21"/>
  <c r="C20"/>
  <c r="C19"/>
  <c r="D15" i="18"/>
  <c r="F15" s="1"/>
  <c r="D14"/>
  <c r="F14" s="1"/>
  <c r="D18"/>
  <c r="F18" s="1"/>
  <c r="C18"/>
  <c r="D17"/>
  <c r="C17"/>
  <c r="D16"/>
  <c r="F16" s="1"/>
  <c r="C16"/>
  <c r="C15"/>
  <c r="C14"/>
  <c r="D13"/>
  <c r="F13" s="1"/>
  <c r="C13"/>
  <c r="D9" i="25"/>
  <c r="F9" s="1"/>
  <c r="C9"/>
  <c r="D8"/>
  <c r="F8" s="1"/>
  <c r="C8"/>
  <c r="D7"/>
  <c r="C7"/>
  <c r="D6"/>
  <c r="F6" s="1"/>
  <c r="C6"/>
  <c r="D5"/>
  <c r="C5"/>
  <c r="C48" i="21"/>
  <c r="C36" i="18"/>
  <c r="C4"/>
  <c r="D186" i="23"/>
  <c r="F186" s="1"/>
  <c r="D185"/>
  <c r="F185" s="1"/>
  <c r="D184"/>
  <c r="F184" s="1"/>
  <c r="D183"/>
  <c r="F183" s="1"/>
  <c r="C186"/>
  <c r="C185"/>
  <c r="C184"/>
  <c r="C183"/>
  <c r="B182"/>
  <c r="A182"/>
  <c r="C182"/>
  <c r="D155"/>
  <c r="D151"/>
  <c r="D150"/>
  <c r="B149"/>
  <c r="A149"/>
  <c r="B153"/>
  <c r="A153"/>
  <c r="C157"/>
  <c r="C156"/>
  <c r="C155"/>
  <c r="C154"/>
  <c r="C153"/>
  <c r="C152"/>
  <c r="C151"/>
  <c r="C150"/>
  <c r="C149"/>
  <c r="D138" i="21"/>
  <c r="F138" s="1"/>
  <c r="D139"/>
  <c r="F139" s="1"/>
  <c r="D140"/>
  <c r="F140" s="1"/>
  <c r="D141"/>
  <c r="F141" s="1"/>
  <c r="D142"/>
  <c r="F142" s="1"/>
  <c r="C142"/>
  <c r="C141"/>
  <c r="C140"/>
  <c r="C139"/>
  <c r="C138"/>
  <c r="C137"/>
  <c r="A137"/>
  <c r="B137"/>
  <c r="D17"/>
  <c r="F17" s="1"/>
  <c r="D16"/>
  <c r="F16" s="1"/>
  <c r="D15"/>
  <c r="F15" s="1"/>
  <c r="D14"/>
  <c r="F14" s="1"/>
  <c r="D13"/>
  <c r="F13" s="1"/>
  <c r="D12"/>
  <c r="F12" s="1"/>
  <c r="D11"/>
  <c r="F11" s="1"/>
  <c r="C17"/>
  <c r="C16"/>
  <c r="C15"/>
  <c r="C14"/>
  <c r="C13"/>
  <c r="C12"/>
  <c r="D160" i="18"/>
  <c r="G159" s="1"/>
  <c r="D161"/>
  <c r="C162"/>
  <c r="C161"/>
  <c r="C160"/>
  <c r="C159"/>
  <c r="A159"/>
  <c r="B159"/>
  <c r="D189"/>
  <c r="G189" s="1"/>
  <c r="C189"/>
  <c r="A189"/>
  <c r="B189"/>
  <c r="D107" i="17"/>
  <c r="G107" s="1"/>
  <c r="C107"/>
  <c r="A107"/>
  <c r="B107"/>
  <c r="B117" i="13"/>
  <c r="C131" i="11"/>
  <c r="C130"/>
  <c r="C129"/>
  <c r="B128"/>
  <c r="A128"/>
  <c r="C128"/>
  <c r="D7" i="20"/>
  <c r="F7" s="1"/>
  <c r="D4"/>
  <c r="F4" s="1"/>
  <c r="D5"/>
  <c r="F5" s="1"/>
  <c r="D6"/>
  <c r="F6" s="1"/>
  <c r="D8"/>
  <c r="F8" s="1"/>
  <c r="D9"/>
  <c r="F9" s="1"/>
  <c r="D110"/>
  <c r="F110" s="1"/>
  <c r="D111"/>
  <c r="F111" s="1"/>
  <c r="D112"/>
  <c r="F112" s="1"/>
  <c r="D113"/>
  <c r="F113" s="1"/>
  <c r="D114"/>
  <c r="F114" s="1"/>
  <c r="D115"/>
  <c r="F115" s="1"/>
  <c r="D62"/>
  <c r="F62" s="1"/>
  <c r="D63"/>
  <c r="F63" s="1"/>
  <c r="D64"/>
  <c r="F64" s="1"/>
  <c r="D65"/>
  <c r="F65" s="1"/>
  <c r="D66"/>
  <c r="F66" s="1"/>
  <c r="D58"/>
  <c r="F58" s="1"/>
  <c r="D59"/>
  <c r="F59" s="1"/>
  <c r="D60"/>
  <c r="F60" s="1"/>
  <c r="D130"/>
  <c r="F130" s="1"/>
  <c r="D131"/>
  <c r="F131" s="1"/>
  <c r="D132"/>
  <c r="F132" s="1"/>
  <c r="D64" i="14"/>
  <c r="F64" s="1"/>
  <c r="D65"/>
  <c r="F65" s="1"/>
  <c r="D66"/>
  <c r="F66" s="1"/>
  <c r="D67"/>
  <c r="F67" s="1"/>
  <c r="D68"/>
  <c r="F68" s="1"/>
  <c r="D69"/>
  <c r="F69" s="1"/>
  <c r="D30"/>
  <c r="F30" s="1"/>
  <c r="D31"/>
  <c r="F31" s="1"/>
  <c r="D32"/>
  <c r="F32" s="1"/>
  <c r="D33"/>
  <c r="F33" s="1"/>
  <c r="D58"/>
  <c r="F58" s="1"/>
  <c r="D59"/>
  <c r="F59" s="1"/>
  <c r="D60"/>
  <c r="F60" s="1"/>
  <c r="D61"/>
  <c r="F61" s="1"/>
  <c r="D62"/>
  <c r="F62" s="1"/>
  <c r="D45"/>
  <c r="F45" s="1"/>
  <c r="D44"/>
  <c r="F44" s="1"/>
  <c r="D43"/>
  <c r="F43" s="1"/>
  <c r="D42"/>
  <c r="F42" s="1"/>
  <c r="D41"/>
  <c r="F41" s="1"/>
  <c r="D88"/>
  <c r="F88" s="1"/>
  <c r="D89"/>
  <c r="F89" s="1"/>
  <c r="D90"/>
  <c r="F90" s="1"/>
  <c r="D92"/>
  <c r="F92" s="1"/>
  <c r="D93"/>
  <c r="F93" s="1"/>
  <c r="D94"/>
  <c r="F94" s="1"/>
  <c r="D95"/>
  <c r="F95" s="1"/>
  <c r="D96"/>
  <c r="F96" s="1"/>
  <c r="D78"/>
  <c r="F78" s="1"/>
  <c r="D79"/>
  <c r="F79" s="1"/>
  <c r="D80"/>
  <c r="F80" s="1"/>
  <c r="D82"/>
  <c r="F82" s="1"/>
  <c r="D83"/>
  <c r="F83" s="1"/>
  <c r="D84"/>
  <c r="F84" s="1"/>
  <c r="D85"/>
  <c r="F85" s="1"/>
  <c r="D86"/>
  <c r="F86" s="1"/>
  <c r="F102"/>
  <c r="F103"/>
  <c r="F104"/>
  <c r="F105"/>
  <c r="D4"/>
  <c r="F4" s="1"/>
  <c r="D5"/>
  <c r="F5" s="1"/>
  <c r="D6"/>
  <c r="F6" s="1"/>
  <c r="D7"/>
  <c r="F7" s="1"/>
  <c r="D8"/>
  <c r="F8" s="1"/>
  <c r="D9"/>
  <c r="F9" s="1"/>
  <c r="D11"/>
  <c r="F11" s="1"/>
  <c r="D12"/>
  <c r="F12" s="1"/>
  <c r="D13"/>
  <c r="F13" s="1"/>
  <c r="D14"/>
  <c r="F14" s="1"/>
  <c r="D15"/>
  <c r="F15" s="1"/>
  <c r="D16"/>
  <c r="F16" s="1"/>
  <c r="D100"/>
  <c r="D98"/>
  <c r="F98" s="1"/>
  <c r="D99"/>
  <c r="F99" s="1"/>
  <c r="D19"/>
  <c r="F19" s="1"/>
  <c r="D20"/>
  <c r="F20" s="1"/>
  <c r="D21"/>
  <c r="F21" s="1"/>
  <c r="D22"/>
  <c r="F22" s="1"/>
  <c r="D47"/>
  <c r="F47" s="1"/>
  <c r="D48"/>
  <c r="F48" s="1"/>
  <c r="D49"/>
  <c r="F49" s="1"/>
  <c r="D50"/>
  <c r="F50" s="1"/>
  <c r="D51"/>
  <c r="F51" s="1"/>
  <c r="D53"/>
  <c r="F53" s="1"/>
  <c r="D54"/>
  <c r="F54" s="1"/>
  <c r="D55"/>
  <c r="F55" s="1"/>
  <c r="D56"/>
  <c r="F56" s="1"/>
  <c r="D24"/>
  <c r="F24" s="1"/>
  <c r="D25"/>
  <c r="F25" s="1"/>
  <c r="D26"/>
  <c r="F26" s="1"/>
  <c r="D27"/>
  <c r="F27" s="1"/>
  <c r="D28"/>
  <c r="F28" s="1"/>
  <c r="D33" i="13"/>
  <c r="F33" s="1"/>
  <c r="D32"/>
  <c r="F32" s="1"/>
  <c r="D34"/>
  <c r="F34" s="1"/>
  <c r="D35"/>
  <c r="F35" s="1"/>
  <c r="D36"/>
  <c r="F36" s="1"/>
  <c r="D117"/>
  <c r="G117" s="1"/>
  <c r="D105"/>
  <c r="F105" s="1"/>
  <c r="D15"/>
  <c r="G15" s="1"/>
  <c r="D4"/>
  <c r="F4" s="1"/>
  <c r="D5"/>
  <c r="F5" s="1"/>
  <c r="D6"/>
  <c r="F6" s="1"/>
  <c r="D7"/>
  <c r="F7" s="1"/>
  <c r="D8"/>
  <c r="F8" s="1"/>
  <c r="D9"/>
  <c r="F9" s="1"/>
  <c r="D11"/>
  <c r="F11" s="1"/>
  <c r="D12"/>
  <c r="F12" s="1"/>
  <c r="D13"/>
  <c r="F13" s="1"/>
  <c r="D14"/>
  <c r="F14" s="1"/>
  <c r="D26"/>
  <c r="F26" s="1"/>
  <c r="D27"/>
  <c r="F27" s="1"/>
  <c r="D28"/>
  <c r="F28" s="1"/>
  <c r="D29"/>
  <c r="F29" s="1"/>
  <c r="D30"/>
  <c r="F30" s="1"/>
  <c r="D79" i="10"/>
  <c r="G79" s="1"/>
  <c r="D53" i="9"/>
  <c r="F53" s="1"/>
  <c r="D52"/>
  <c r="F52" s="1"/>
  <c r="D51"/>
  <c r="F51" s="1"/>
  <c r="D50"/>
  <c r="F50" s="1"/>
  <c r="D49"/>
  <c r="F49" s="1"/>
  <c r="D31" i="12"/>
  <c r="F31" s="1"/>
  <c r="D30"/>
  <c r="F30" s="1"/>
  <c r="D29"/>
  <c r="F29" s="1"/>
  <c r="D28"/>
  <c r="F28" s="1"/>
  <c r="D27"/>
  <c r="F27" s="1"/>
  <c r="D106" i="17"/>
  <c r="G106" s="1"/>
  <c r="D7"/>
  <c r="D101"/>
  <c r="F101" s="1"/>
  <c r="D102"/>
  <c r="F102" s="1"/>
  <c r="D103"/>
  <c r="F103" s="1"/>
  <c r="D104"/>
  <c r="F104" s="1"/>
  <c r="D105"/>
  <c r="F105" s="1"/>
  <c r="D57" i="10"/>
  <c r="F57" s="1"/>
  <c r="D58"/>
  <c r="F58" s="1"/>
  <c r="D59"/>
  <c r="F59" s="1"/>
  <c r="D60"/>
  <c r="F60" s="1"/>
  <c r="D61"/>
  <c r="F61" s="1"/>
  <c r="D52"/>
  <c r="F52" s="1"/>
  <c r="D53"/>
  <c r="F53" s="1"/>
  <c r="D54"/>
  <c r="F54" s="1"/>
  <c r="D55"/>
  <c r="F55" s="1"/>
  <c r="D39"/>
  <c r="F39" s="1"/>
  <c r="D40"/>
  <c r="F40" s="1"/>
  <c r="D41"/>
  <c r="F41" s="1"/>
  <c r="D42"/>
  <c r="F42" s="1"/>
  <c r="D43"/>
  <c r="F43" s="1"/>
  <c r="D44"/>
  <c r="F44" s="1"/>
  <c r="D106" i="21"/>
  <c r="D7"/>
  <c r="F7" s="1"/>
  <c r="D4"/>
  <c r="F4" s="1"/>
  <c r="D5"/>
  <c r="F5" s="1"/>
  <c r="D6"/>
  <c r="F6" s="1"/>
  <c r="D8"/>
  <c r="F8" s="1"/>
  <c r="D9"/>
  <c r="F9" s="1"/>
  <c r="D91"/>
  <c r="F91" s="1"/>
  <c r="D92"/>
  <c r="F92" s="1"/>
  <c r="D93"/>
  <c r="F93" s="1"/>
  <c r="D94"/>
  <c r="F94" s="1"/>
  <c r="D95"/>
  <c r="F95" s="1"/>
  <c r="D56"/>
  <c r="F56" s="1"/>
  <c r="D57"/>
  <c r="F57" s="1"/>
  <c r="D58"/>
  <c r="F58" s="1"/>
  <c r="D49" i="20"/>
  <c r="F49" s="1"/>
  <c r="D50"/>
  <c r="F50" s="1"/>
  <c r="D51"/>
  <c r="F51" s="1"/>
  <c r="D52"/>
  <c r="F52" s="1"/>
  <c r="D53"/>
  <c r="F53" s="1"/>
  <c r="D54"/>
  <c r="F54" s="1"/>
  <c r="D55"/>
  <c r="F55" s="1"/>
  <c r="D56"/>
  <c r="F56" s="1"/>
  <c r="D108"/>
  <c r="F108" s="1"/>
  <c r="D107"/>
  <c r="F107" s="1"/>
  <c r="D106"/>
  <c r="D105"/>
  <c r="F105" s="1"/>
  <c r="D104"/>
  <c r="F104" s="1"/>
  <c r="D106" i="19"/>
  <c r="F106" s="1"/>
  <c r="D104"/>
  <c r="F104" s="1"/>
  <c r="D102"/>
  <c r="F102" s="1"/>
  <c r="D103"/>
  <c r="F103" s="1"/>
  <c r="D105"/>
  <c r="F105" s="1"/>
  <c r="D86"/>
  <c r="F86" s="1"/>
  <c r="D87"/>
  <c r="F87" s="1"/>
  <c r="D88"/>
  <c r="F88" s="1"/>
  <c r="D89"/>
  <c r="F89" s="1"/>
  <c r="D90"/>
  <c r="F90" s="1"/>
  <c r="D81"/>
  <c r="F81" s="1"/>
  <c r="D82"/>
  <c r="F82" s="1"/>
  <c r="D83"/>
  <c r="F83" s="1"/>
  <c r="D84"/>
  <c r="F84" s="1"/>
  <c r="D92"/>
  <c r="F92" s="1"/>
  <c r="D93"/>
  <c r="F93" s="1"/>
  <c r="D94"/>
  <c r="F94" s="1"/>
  <c r="D95"/>
  <c r="F95" s="1"/>
  <c r="D96"/>
  <c r="F96" s="1"/>
  <c r="F98"/>
  <c r="D99"/>
  <c r="F99" s="1"/>
  <c r="D100"/>
  <c r="F100" s="1"/>
  <c r="D73"/>
  <c r="F73" s="1"/>
  <c r="D74"/>
  <c r="F74" s="1"/>
  <c r="D75"/>
  <c r="F75" s="1"/>
  <c r="D76"/>
  <c r="F76" s="1"/>
  <c r="D77"/>
  <c r="F77" s="1"/>
  <c r="D78"/>
  <c r="F78" s="1"/>
  <c r="D47" i="17"/>
  <c r="F47" s="1"/>
  <c r="D48"/>
  <c r="F48" s="1"/>
  <c r="D49"/>
  <c r="F49" s="1"/>
  <c r="D50"/>
  <c r="F50" s="1"/>
  <c r="D51"/>
  <c r="F51" s="1"/>
  <c r="D53"/>
  <c r="F53" s="1"/>
  <c r="D54"/>
  <c r="F54" s="1"/>
  <c r="D55"/>
  <c r="F55" s="1"/>
  <c r="D45"/>
  <c r="F45" s="1"/>
  <c r="D42"/>
  <c r="F42" s="1"/>
  <c r="D43"/>
  <c r="F43" s="1"/>
  <c r="D44"/>
  <c r="F44" s="1"/>
  <c r="D64"/>
  <c r="F64" s="1"/>
  <c r="D65"/>
  <c r="F65" s="1"/>
  <c r="D66"/>
  <c r="F66" s="1"/>
  <c r="D78"/>
  <c r="F78" s="1"/>
  <c r="D79"/>
  <c r="F79" s="1"/>
  <c r="D80"/>
  <c r="F80" s="1"/>
  <c r="D81"/>
  <c r="F81" s="1"/>
  <c r="D82"/>
  <c r="F82" s="1"/>
  <c r="D34"/>
  <c r="F34" s="1"/>
  <c r="D35"/>
  <c r="F35" s="1"/>
  <c r="D36"/>
  <c r="F36" s="1"/>
  <c r="D37"/>
  <c r="F37" s="1"/>
  <c r="D38"/>
  <c r="F38" s="1"/>
  <c r="D39"/>
  <c r="F39" s="1"/>
  <c r="D108" i="19"/>
  <c r="F108" s="1"/>
  <c r="D109"/>
  <c r="F109" s="1"/>
  <c r="D110"/>
  <c r="F110" s="1"/>
  <c r="D111"/>
  <c r="F111" s="1"/>
  <c r="D112"/>
  <c r="F112" s="1"/>
  <c r="D113"/>
  <c r="F113" s="1"/>
  <c r="D65"/>
  <c r="F65" s="1"/>
  <c r="D66"/>
  <c r="F66" s="1"/>
  <c r="D67"/>
  <c r="F67" s="1"/>
  <c r="D68"/>
  <c r="F68" s="1"/>
  <c r="D69"/>
  <c r="F69" s="1"/>
  <c r="D60"/>
  <c r="F60" s="1"/>
  <c r="D61"/>
  <c r="F61" s="1"/>
  <c r="D62"/>
  <c r="F62" s="1"/>
  <c r="D63"/>
  <c r="F63" s="1"/>
  <c r="D115"/>
  <c r="F115" s="1"/>
  <c r="D116"/>
  <c r="F116" s="1"/>
  <c r="D117"/>
  <c r="F117" s="1"/>
  <c r="D4"/>
  <c r="F4" s="1"/>
  <c r="D5"/>
  <c r="F5" s="1"/>
  <c r="D6"/>
  <c r="F6" s="1"/>
  <c r="D7"/>
  <c r="F7" s="1"/>
  <c r="D8"/>
  <c r="F8" s="1"/>
  <c r="D9"/>
  <c r="F9" s="1"/>
  <c r="D50"/>
  <c r="F50" s="1"/>
  <c r="D51"/>
  <c r="F51" s="1"/>
  <c r="D52"/>
  <c r="F52" s="1"/>
  <c r="D53"/>
  <c r="F53" s="1"/>
  <c r="D26"/>
  <c r="F26" s="1"/>
  <c r="D38"/>
  <c r="F38" s="1"/>
  <c r="D39"/>
  <c r="F39" s="1"/>
  <c r="D40"/>
  <c r="F40" s="1"/>
  <c r="D41"/>
  <c r="F41" s="1"/>
  <c r="D42"/>
  <c r="F42" s="1"/>
  <c r="D43"/>
  <c r="F43" s="1"/>
  <c r="D120"/>
  <c r="F120" s="1"/>
  <c r="D121"/>
  <c r="F121" s="1"/>
  <c r="D122"/>
  <c r="F122" s="1"/>
  <c r="D11"/>
  <c r="F11" s="1"/>
  <c r="D12"/>
  <c r="F12" s="1"/>
  <c r="D13"/>
  <c r="F13" s="1"/>
  <c r="D14"/>
  <c r="F14" s="1"/>
  <c r="D15"/>
  <c r="F15" s="1"/>
  <c r="D16"/>
  <c r="F16" s="1"/>
  <c r="D17"/>
  <c r="F17" s="1"/>
  <c r="D19"/>
  <c r="F19" s="1"/>
  <c r="D129"/>
  <c r="F129" s="1"/>
  <c r="D130"/>
  <c r="F130" s="1"/>
  <c r="D131"/>
  <c r="F131" s="1"/>
  <c r="D132"/>
  <c r="F132" s="1"/>
  <c r="D133"/>
  <c r="F133" s="1"/>
  <c r="D134"/>
  <c r="F134" s="1"/>
  <c r="D136"/>
  <c r="D137"/>
  <c r="F137" s="1"/>
  <c r="D138"/>
  <c r="F138" s="1"/>
  <c r="D139"/>
  <c r="F139" s="1"/>
  <c r="D140"/>
  <c r="D36"/>
  <c r="D70"/>
  <c r="G70" s="1"/>
  <c r="D71"/>
  <c r="G71" s="1"/>
  <c r="F124"/>
  <c r="F125"/>
  <c r="F126"/>
  <c r="F127"/>
  <c r="D118"/>
  <c r="G118" s="1"/>
  <c r="D48"/>
  <c r="G44" s="1"/>
  <c r="C39" i="11"/>
  <c r="D92" i="25"/>
  <c r="F92" s="1"/>
  <c r="G91" s="1"/>
  <c r="D93"/>
  <c r="F93" s="1"/>
  <c r="D75" i="23"/>
  <c r="F75" s="1"/>
  <c r="D76"/>
  <c r="F76" s="1"/>
  <c r="D76" i="25"/>
  <c r="G76" s="1"/>
  <c r="C76"/>
  <c r="A76"/>
  <c r="B76"/>
  <c r="D138"/>
  <c r="F138" s="1"/>
  <c r="D137"/>
  <c r="F137" s="1"/>
  <c r="D136"/>
  <c r="F136" s="1"/>
  <c r="D135"/>
  <c r="F135" s="1"/>
  <c r="D134"/>
  <c r="F134" s="1"/>
  <c r="D13" i="26"/>
  <c r="D22"/>
  <c r="F22" s="1"/>
  <c r="D23"/>
  <c r="F23" s="1"/>
  <c r="D24"/>
  <c r="F24" s="1"/>
  <c r="D25"/>
  <c r="F25" s="1"/>
  <c r="D26"/>
  <c r="F26" s="1"/>
  <c r="D9"/>
  <c r="F9" s="1"/>
  <c r="D10"/>
  <c r="F10" s="1"/>
  <c r="D11"/>
  <c r="F11" s="1"/>
  <c r="D12"/>
  <c r="F12" s="1"/>
  <c r="D19"/>
  <c r="F19" s="1"/>
  <c r="D20"/>
  <c r="F20" s="1"/>
  <c r="D15"/>
  <c r="F15" s="1"/>
  <c r="D16"/>
  <c r="F16" s="1"/>
  <c r="D17"/>
  <c r="F17" s="1"/>
  <c r="D4"/>
  <c r="F4" s="1"/>
  <c r="D5"/>
  <c r="F5" s="1"/>
  <c r="D6"/>
  <c r="F6" s="1"/>
  <c r="F7"/>
  <c r="D67" i="23"/>
  <c r="G67" s="1"/>
  <c r="D109"/>
  <c r="F109" s="1"/>
  <c r="D110"/>
  <c r="F110" s="1"/>
  <c r="D111"/>
  <c r="F111" s="1"/>
  <c r="D112"/>
  <c r="F112" s="1"/>
  <c r="D100"/>
  <c r="F100" s="1"/>
  <c r="D101"/>
  <c r="F101" s="1"/>
  <c r="D90"/>
  <c r="F90" s="1"/>
  <c r="D91"/>
  <c r="F91" s="1"/>
  <c r="D92"/>
  <c r="F92" s="1"/>
  <c r="D103"/>
  <c r="F103" s="1"/>
  <c r="D104"/>
  <c r="F104" s="1"/>
  <c r="D105"/>
  <c r="F105" s="1"/>
  <c r="D106"/>
  <c r="F106" s="1"/>
  <c r="D107"/>
  <c r="F107" s="1"/>
  <c r="D68"/>
  <c r="G68" s="1"/>
  <c r="D78"/>
  <c r="F78" s="1"/>
  <c r="D79"/>
  <c r="F79" s="1"/>
  <c r="D80"/>
  <c r="F80" s="1"/>
  <c r="D81"/>
  <c r="F81" s="1"/>
  <c r="D82"/>
  <c r="F82" s="1"/>
  <c r="D94"/>
  <c r="F94" s="1"/>
  <c r="D95"/>
  <c r="F95" s="1"/>
  <c r="D96"/>
  <c r="F96" s="1"/>
  <c r="D97"/>
  <c r="F97" s="1"/>
  <c r="D98"/>
  <c r="F98" s="1"/>
  <c r="D63"/>
  <c r="F63" s="1"/>
  <c r="D64"/>
  <c r="F64" s="1"/>
  <c r="D65"/>
  <c r="F65" s="1"/>
  <c r="D66"/>
  <c r="F66" s="1"/>
  <c r="D84"/>
  <c r="F84" s="1"/>
  <c r="D85"/>
  <c r="F85" s="1"/>
  <c r="D86"/>
  <c r="F86" s="1"/>
  <c r="D87"/>
  <c r="F87" s="1"/>
  <c r="D88"/>
  <c r="F88" s="1"/>
  <c r="D61"/>
  <c r="G61" s="1"/>
  <c r="D114"/>
  <c r="F114" s="1"/>
  <c r="D115"/>
  <c r="F115" s="1"/>
  <c r="D116"/>
  <c r="F116" s="1"/>
  <c r="D117"/>
  <c r="F117" s="1"/>
  <c r="D118"/>
  <c r="F118" s="1"/>
  <c r="D119"/>
  <c r="F119" s="1"/>
  <c r="D7"/>
  <c r="F7" s="1"/>
  <c r="D4"/>
  <c r="F4" s="1"/>
  <c r="D5"/>
  <c r="F5" s="1"/>
  <c r="D6"/>
  <c r="F6" s="1"/>
  <c r="D8"/>
  <c r="F8" s="1"/>
  <c r="D9"/>
  <c r="F9" s="1"/>
  <c r="F12"/>
  <c r="F13"/>
  <c r="F17"/>
  <c r="D145"/>
  <c r="F145" s="1"/>
  <c r="D146"/>
  <c r="F146" s="1"/>
  <c r="D147"/>
  <c r="F147" s="1"/>
  <c r="D127"/>
  <c r="F127" s="1"/>
  <c r="D128"/>
  <c r="F128" s="1"/>
  <c r="D129"/>
  <c r="F129" s="1"/>
  <c r="D130"/>
  <c r="F130" s="1"/>
  <c r="D121"/>
  <c r="F121" s="1"/>
  <c r="D122"/>
  <c r="F122" s="1"/>
  <c r="D123"/>
  <c r="F123" s="1"/>
  <c r="D124"/>
  <c r="F124" s="1"/>
  <c r="D125"/>
  <c r="F125" s="1"/>
  <c r="D148"/>
  <c r="G148" s="1"/>
  <c r="D165"/>
  <c r="F165" s="1"/>
  <c r="D163"/>
  <c r="F163" s="1"/>
  <c r="D164"/>
  <c r="F164" s="1"/>
  <c r="D181"/>
  <c r="D176"/>
  <c r="F176" s="1"/>
  <c r="D177"/>
  <c r="F177" s="1"/>
  <c r="D178"/>
  <c r="F178" s="1"/>
  <c r="D179"/>
  <c r="F179" s="1"/>
  <c r="D180"/>
  <c r="F180" s="1"/>
  <c r="D132"/>
  <c r="F132" s="1"/>
  <c r="D133"/>
  <c r="F133" s="1"/>
  <c r="D134"/>
  <c r="F134" s="1"/>
  <c r="D135"/>
  <c r="F135" s="1"/>
  <c r="D136"/>
  <c r="F136" s="1"/>
  <c r="D159"/>
  <c r="F159" s="1"/>
  <c r="D160"/>
  <c r="F160" s="1"/>
  <c r="D161"/>
  <c r="F161" s="1"/>
  <c r="D167"/>
  <c r="F167" s="1"/>
  <c r="D168"/>
  <c r="F168" s="1"/>
  <c r="D169"/>
  <c r="F169" s="1"/>
  <c r="D170"/>
  <c r="F170" s="1"/>
  <c r="D171"/>
  <c r="F171" s="1"/>
  <c r="D173"/>
  <c r="F173" s="1"/>
  <c r="D174"/>
  <c r="F174" s="1"/>
  <c r="D27"/>
  <c r="F27" s="1"/>
  <c r="D28"/>
  <c r="F28" s="1"/>
  <c r="D29"/>
  <c r="F29" s="1"/>
  <c r="D30"/>
  <c r="F30" s="1"/>
  <c r="D31"/>
  <c r="F31" s="1"/>
  <c r="D46"/>
  <c r="F46" s="1"/>
  <c r="D47"/>
  <c r="F47" s="1"/>
  <c r="D48"/>
  <c r="F48" s="1"/>
  <c r="D49"/>
  <c r="F49" s="1"/>
  <c r="D50"/>
  <c r="F50" s="1"/>
  <c r="D51"/>
  <c r="F51" s="1"/>
  <c r="D52"/>
  <c r="F52" s="1"/>
  <c r="D188"/>
  <c r="F188" s="1"/>
  <c r="D189"/>
  <c r="F189" s="1"/>
  <c r="D190"/>
  <c r="F190" s="1"/>
  <c r="D191"/>
  <c r="F191" s="1"/>
  <c r="D192"/>
  <c r="F192" s="1"/>
  <c r="D193"/>
  <c r="F193" s="1"/>
  <c r="D195"/>
  <c r="F195" s="1"/>
  <c r="D196"/>
  <c r="F196" s="1"/>
  <c r="D197"/>
  <c r="F197" s="1"/>
  <c r="D198"/>
  <c r="F198" s="1"/>
  <c r="D199"/>
  <c r="D201"/>
  <c r="D204"/>
  <c r="G204" s="1"/>
  <c r="D33"/>
  <c r="F33" s="1"/>
  <c r="D34"/>
  <c r="F34" s="1"/>
  <c r="D35"/>
  <c r="F35" s="1"/>
  <c r="D36"/>
  <c r="F36" s="1"/>
  <c r="D37"/>
  <c r="F37" s="1"/>
  <c r="D39"/>
  <c r="F39" s="1"/>
  <c r="D40"/>
  <c r="F40" s="1"/>
  <c r="D41"/>
  <c r="F41" s="1"/>
  <c r="D42"/>
  <c r="F42" s="1"/>
  <c r="D43"/>
  <c r="F43" s="1"/>
  <c r="D44"/>
  <c r="F44" s="1"/>
  <c r="C73"/>
  <c r="C72"/>
  <c r="C71"/>
  <c r="C70"/>
  <c r="A69"/>
  <c r="B69"/>
  <c r="C69"/>
  <c r="C67"/>
  <c r="B67"/>
  <c r="A67"/>
  <c r="D81" i="21"/>
  <c r="F81" s="1"/>
  <c r="D82"/>
  <c r="F82" s="1"/>
  <c r="D83"/>
  <c r="F83" s="1"/>
  <c r="D85"/>
  <c r="D86"/>
  <c r="F86" s="1"/>
  <c r="C65"/>
  <c r="A65"/>
  <c r="B65"/>
  <c r="D38" i="15"/>
  <c r="F38" s="1"/>
  <c r="D39"/>
  <c r="F39" s="1"/>
  <c r="D40"/>
  <c r="F40" s="1"/>
  <c r="D41"/>
  <c r="F41" s="1"/>
  <c r="D86" i="18"/>
  <c r="F86" s="1"/>
  <c r="D87"/>
  <c r="F87" s="1"/>
  <c r="D88"/>
  <c r="F88" s="1"/>
  <c r="D89"/>
  <c r="F89" s="1"/>
  <c r="D41" i="11"/>
  <c r="F41" s="1"/>
  <c r="D42"/>
  <c r="F42" s="1"/>
  <c r="D43"/>
  <c r="F43" s="1"/>
  <c r="D44"/>
  <c r="F44" s="1"/>
  <c r="D77" i="18"/>
  <c r="D78"/>
  <c r="D79"/>
  <c r="D80"/>
  <c r="D81"/>
  <c r="D82"/>
  <c r="D83"/>
  <c r="D84"/>
  <c r="F77"/>
  <c r="F78"/>
  <c r="F79"/>
  <c r="F80"/>
  <c r="F81"/>
  <c r="F82"/>
  <c r="F83"/>
  <c r="F84"/>
  <c r="C38" i="15"/>
  <c r="C41"/>
  <c r="C40"/>
  <c r="C39"/>
  <c r="C37"/>
  <c r="A37"/>
  <c r="B37"/>
  <c r="C44" i="11"/>
  <c r="C43"/>
  <c r="C42"/>
  <c r="C41"/>
  <c r="C40"/>
  <c r="A40"/>
  <c r="B40"/>
  <c r="C89" i="18"/>
  <c r="C88"/>
  <c r="C87"/>
  <c r="C86"/>
  <c r="C85"/>
  <c r="A85"/>
  <c r="B85"/>
  <c r="D110"/>
  <c r="F110" s="1"/>
  <c r="D111"/>
  <c r="F111" s="1"/>
  <c r="D107"/>
  <c r="F107" s="1"/>
  <c r="D108"/>
  <c r="F108" s="1"/>
  <c r="D109"/>
  <c r="F109" s="1"/>
  <c r="C111"/>
  <c r="C110"/>
  <c r="C109"/>
  <c r="C108"/>
  <c r="C107"/>
  <c r="C106"/>
  <c r="A106"/>
  <c r="B106"/>
  <c r="D91"/>
  <c r="G90" s="1"/>
  <c r="D92"/>
  <c r="F92" s="1"/>
  <c r="D17" i="13"/>
  <c r="D18"/>
  <c r="D19"/>
  <c r="D20"/>
  <c r="D21"/>
  <c r="D22"/>
  <c r="D23"/>
  <c r="D24"/>
  <c r="F17"/>
  <c r="F18"/>
  <c r="F19"/>
  <c r="F20"/>
  <c r="F21"/>
  <c r="F22"/>
  <c r="F23"/>
  <c r="F24"/>
  <c r="D136" i="18"/>
  <c r="F136" s="1"/>
  <c r="D135"/>
  <c r="F135" s="1"/>
  <c r="D134"/>
  <c r="F134" s="1"/>
  <c r="D133"/>
  <c r="F133" s="1"/>
  <c r="D132"/>
  <c r="F132" s="1"/>
  <c r="D102" i="15"/>
  <c r="F102" s="1"/>
  <c r="D101"/>
  <c r="F101" s="1"/>
  <c r="D100"/>
  <c r="F100" s="1"/>
  <c r="D99"/>
  <c r="F99" s="1"/>
  <c r="D98"/>
  <c r="F98" s="1"/>
  <c r="D111"/>
  <c r="F111" s="1"/>
  <c r="D112"/>
  <c r="F112" s="1"/>
  <c r="D113"/>
  <c r="F113" s="1"/>
  <c r="D119"/>
  <c r="F119" s="1"/>
  <c r="D120"/>
  <c r="F120" s="1"/>
  <c r="D121"/>
  <c r="F121" s="1"/>
  <c r="D122"/>
  <c r="F122" s="1"/>
  <c r="D123"/>
  <c r="F123" s="1"/>
  <c r="D88"/>
  <c r="F88" s="1"/>
  <c r="D89"/>
  <c r="F89" s="1"/>
  <c r="D90"/>
  <c r="F90" s="1"/>
  <c r="D91"/>
  <c r="F91" s="1"/>
  <c r="D92"/>
  <c r="F92" s="1"/>
  <c r="D14"/>
  <c r="F14" s="1"/>
  <c r="D15"/>
  <c r="F15" s="1"/>
  <c r="D16"/>
  <c r="F16" s="1"/>
  <c r="D17"/>
  <c r="F17" s="1"/>
  <c r="D18"/>
  <c r="F18" s="1"/>
  <c r="D19"/>
  <c r="F19" s="1"/>
  <c r="D36"/>
  <c r="G36" s="1"/>
  <c r="D46"/>
  <c r="F46" s="1"/>
  <c r="D47"/>
  <c r="F47" s="1"/>
  <c r="D48"/>
  <c r="F48" s="1"/>
  <c r="D49"/>
  <c r="F49" s="1"/>
  <c r="D50"/>
  <c r="F50" s="1"/>
  <c r="D43"/>
  <c r="D44"/>
  <c r="F44" s="1"/>
  <c r="D4"/>
  <c r="F4" s="1"/>
  <c r="D5"/>
  <c r="F5" s="1"/>
  <c r="D6"/>
  <c r="F6" s="1"/>
  <c r="D7"/>
  <c r="F7" s="1"/>
  <c r="D8"/>
  <c r="F8" s="1"/>
  <c r="D27"/>
  <c r="F27" s="1"/>
  <c r="D28"/>
  <c r="F28" s="1"/>
  <c r="D29"/>
  <c r="F29" s="1"/>
  <c r="D30"/>
  <c r="F30" s="1"/>
  <c r="B36"/>
  <c r="A36"/>
  <c r="C36"/>
  <c r="D78" i="25"/>
  <c r="F78" s="1"/>
  <c r="D79"/>
  <c r="F79" s="1"/>
  <c r="D80"/>
  <c r="F80" s="1"/>
  <c r="D81"/>
  <c r="F81" s="1"/>
  <c r="D82"/>
  <c r="F82" s="1"/>
  <c r="D83"/>
  <c r="F83" s="1"/>
  <c r="D84"/>
  <c r="F84" s="1"/>
  <c r="D85"/>
  <c r="F85" s="1"/>
  <c r="D87"/>
  <c r="F87" s="1"/>
  <c r="D88"/>
  <c r="F88" s="1"/>
  <c r="D89"/>
  <c r="F89" s="1"/>
  <c r="D90"/>
  <c r="F90" s="1"/>
  <c r="D70" i="13"/>
  <c r="F70" s="1"/>
  <c r="D69"/>
  <c r="F69" s="1"/>
  <c r="D68"/>
  <c r="F68" s="1"/>
  <c r="D67"/>
  <c r="F67" s="1"/>
  <c r="D66"/>
  <c r="F66" s="1"/>
  <c r="C15"/>
  <c r="A15"/>
  <c r="B15"/>
  <c r="A39" i="11"/>
  <c r="B39"/>
  <c r="D43" i="8"/>
  <c r="F43" s="1"/>
  <c r="D44"/>
  <c r="F44" s="1"/>
  <c r="D45"/>
  <c r="F45" s="1"/>
  <c r="D46"/>
  <c r="F46" s="1"/>
  <c r="D105" i="10"/>
  <c r="G105" s="1"/>
  <c r="C105"/>
  <c r="B105"/>
  <c r="C200" i="23"/>
  <c r="A200"/>
  <c r="B200"/>
  <c r="D112" i="13"/>
  <c r="F112" s="1"/>
  <c r="D113"/>
  <c r="F113" s="1"/>
  <c r="D114"/>
  <c r="F114" s="1"/>
  <c r="D115"/>
  <c r="F115" s="1"/>
  <c r="C115"/>
  <c r="C114"/>
  <c r="C113"/>
  <c r="C112"/>
  <c r="C111"/>
  <c r="A111"/>
  <c r="B111"/>
  <c r="D45" i="24"/>
  <c r="F45" s="1"/>
  <c r="D46"/>
  <c r="F46" s="1"/>
  <c r="D47"/>
  <c r="F47" s="1"/>
  <c r="D48"/>
  <c r="F48" s="1"/>
  <c r="C48"/>
  <c r="C47"/>
  <c r="C46"/>
  <c r="C45"/>
  <c r="C44"/>
  <c r="A44"/>
  <c r="B44"/>
  <c r="D164" i="25"/>
  <c r="G160" s="1"/>
  <c r="D163"/>
  <c r="D159"/>
  <c r="D158"/>
  <c r="D162"/>
  <c r="D161"/>
  <c r="D157"/>
  <c r="B160"/>
  <c r="A160"/>
  <c r="C164"/>
  <c r="C163"/>
  <c r="C162"/>
  <c r="C161"/>
  <c r="C160"/>
  <c r="C159"/>
  <c r="C158"/>
  <c r="C157"/>
  <c r="C156"/>
  <c r="A156"/>
  <c r="B156"/>
  <c r="D134" i="10"/>
  <c r="G132" s="1"/>
  <c r="D91" i="17"/>
  <c r="D90"/>
  <c r="A87"/>
  <c r="B87"/>
  <c r="D89"/>
  <c r="C90"/>
  <c r="C89"/>
  <c r="C88"/>
  <c r="C87"/>
  <c r="C136" i="10"/>
  <c r="C135"/>
  <c r="C134"/>
  <c r="D133"/>
  <c r="B132"/>
  <c r="A132"/>
  <c r="C133"/>
  <c r="C132"/>
  <c r="D86" i="17"/>
  <c r="G83" s="1"/>
  <c r="D85"/>
  <c r="A124" i="15"/>
  <c r="B124"/>
  <c r="C128"/>
  <c r="C127"/>
  <c r="D126"/>
  <c r="C126"/>
  <c r="D125"/>
  <c r="G124" s="1"/>
  <c r="C125"/>
  <c r="C124"/>
  <c r="D137" i="20"/>
  <c r="D136"/>
  <c r="D135"/>
  <c r="C137"/>
  <c r="C136"/>
  <c r="C135"/>
  <c r="C134"/>
  <c r="A134"/>
  <c r="B134"/>
  <c r="C86" i="17"/>
  <c r="C85"/>
  <c r="C84"/>
  <c r="C83"/>
  <c r="A83"/>
  <c r="B83"/>
  <c r="D97" i="10"/>
  <c r="C99"/>
  <c r="C98"/>
  <c r="C97"/>
  <c r="C96"/>
  <c r="A96"/>
  <c r="B96"/>
  <c r="D22" i="17"/>
  <c r="F22" s="1"/>
  <c r="D23"/>
  <c r="F23" s="1"/>
  <c r="D24"/>
  <c r="F24" s="1"/>
  <c r="D25"/>
  <c r="F25" s="1"/>
  <c r="D57"/>
  <c r="F57" s="1"/>
  <c r="D58"/>
  <c r="F58" s="1"/>
  <c r="D59"/>
  <c r="F59" s="1"/>
  <c r="D60"/>
  <c r="F60" s="1"/>
  <c r="D61"/>
  <c r="F61" s="1"/>
  <c r="D93"/>
  <c r="F93" s="1"/>
  <c r="D94"/>
  <c r="F94" s="1"/>
  <c r="D95"/>
  <c r="F95" s="1"/>
  <c r="D97"/>
  <c r="F97" s="1"/>
  <c r="D98"/>
  <c r="F98" s="1"/>
  <c r="D99"/>
  <c r="F99" s="1"/>
  <c r="D27"/>
  <c r="F27" s="1"/>
  <c r="D28"/>
  <c r="F28" s="1"/>
  <c r="D29"/>
  <c r="F29" s="1"/>
  <c r="D30"/>
  <c r="F30" s="1"/>
  <c r="D31"/>
  <c r="F31" s="1"/>
  <c r="D32"/>
  <c r="G32" s="1"/>
  <c r="D9"/>
  <c r="F9" s="1"/>
  <c r="D10"/>
  <c r="F10" s="1"/>
  <c r="D11"/>
  <c r="F11" s="1"/>
  <c r="D12"/>
  <c r="F12" s="1"/>
  <c r="D13"/>
  <c r="F13" s="1"/>
  <c r="D14"/>
  <c r="F14" s="1"/>
  <c r="D16"/>
  <c r="F16" s="1"/>
  <c r="D17"/>
  <c r="F17" s="1"/>
  <c r="D18"/>
  <c r="F18" s="1"/>
  <c r="D19"/>
  <c r="F19" s="1"/>
  <c r="D126" i="18"/>
  <c r="F126" s="1"/>
  <c r="D127"/>
  <c r="F127" s="1"/>
  <c r="D128"/>
  <c r="F128" s="1"/>
  <c r="D113"/>
  <c r="F113" s="1"/>
  <c r="D114"/>
  <c r="F114" s="1"/>
  <c r="D115"/>
  <c r="F115" s="1"/>
  <c r="D116"/>
  <c r="F116" s="1"/>
  <c r="D117"/>
  <c r="F117" s="1"/>
  <c r="D118"/>
  <c r="F118" s="1"/>
  <c r="D121"/>
  <c r="F121" s="1"/>
  <c r="D122"/>
  <c r="F122" s="1"/>
  <c r="D123"/>
  <c r="F123" s="1"/>
  <c r="D124"/>
  <c r="F124" s="1"/>
  <c r="D166"/>
  <c r="F166" s="1"/>
  <c r="D164"/>
  <c r="F164" s="1"/>
  <c r="D165"/>
  <c r="F165" s="1"/>
  <c r="D138"/>
  <c r="F138" s="1"/>
  <c r="D139"/>
  <c r="F139" s="1"/>
  <c r="D140"/>
  <c r="F140" s="1"/>
  <c r="D141"/>
  <c r="F141" s="1"/>
  <c r="D142"/>
  <c r="F142" s="1"/>
  <c r="D143"/>
  <c r="F143" s="1"/>
  <c r="D152"/>
  <c r="F152" s="1"/>
  <c r="D153"/>
  <c r="F153" s="1"/>
  <c r="D154"/>
  <c r="F154" s="1"/>
  <c r="D94"/>
  <c r="F94" s="1"/>
  <c r="D95"/>
  <c r="F95" s="1"/>
  <c r="D96"/>
  <c r="F96" s="1"/>
  <c r="D97"/>
  <c r="F97" s="1"/>
  <c r="D99"/>
  <c r="F99" s="1"/>
  <c r="D100"/>
  <c r="F100" s="1"/>
  <c r="D101"/>
  <c r="F101" s="1"/>
  <c r="D103"/>
  <c r="F103" s="1"/>
  <c r="D67"/>
  <c r="F67" s="1"/>
  <c r="D68"/>
  <c r="F68" s="1"/>
  <c r="D69"/>
  <c r="F69" s="1"/>
  <c r="D70"/>
  <c r="F70" s="1"/>
  <c r="D50"/>
  <c r="F50" s="1"/>
  <c r="D51"/>
  <c r="F51" s="1"/>
  <c r="D52"/>
  <c r="F52" s="1"/>
  <c r="D168"/>
  <c r="F168" s="1"/>
  <c r="D169"/>
  <c r="F169" s="1"/>
  <c r="D170"/>
  <c r="F170" s="1"/>
  <c r="D171"/>
  <c r="F171" s="1"/>
  <c r="D172"/>
  <c r="F172" s="1"/>
  <c r="D174"/>
  <c r="F174" s="1"/>
  <c r="D175"/>
  <c r="F175" s="1"/>
  <c r="D12"/>
  <c r="F12" s="1"/>
  <c r="F17"/>
  <c r="D20"/>
  <c r="F20" s="1"/>
  <c r="D21"/>
  <c r="F21" s="1"/>
  <c r="D22"/>
  <c r="F22" s="1"/>
  <c r="D23"/>
  <c r="F23" s="1"/>
  <c r="D24"/>
  <c r="D4"/>
  <c r="F4" s="1"/>
  <c r="D5"/>
  <c r="F5" s="1"/>
  <c r="D6"/>
  <c r="F6" s="1"/>
  <c r="D7"/>
  <c r="F7" s="1"/>
  <c r="D8"/>
  <c r="F8" s="1"/>
  <c r="D9"/>
  <c r="F9" s="1"/>
  <c r="D10"/>
  <c r="F10" s="1"/>
  <c r="D177"/>
  <c r="F177" s="1"/>
  <c r="D178"/>
  <c r="F178" s="1"/>
  <c r="D179"/>
  <c r="F179" s="1"/>
  <c r="D180"/>
  <c r="F180" s="1"/>
  <c r="D181"/>
  <c r="F181" s="1"/>
  <c r="D182"/>
  <c r="F182" s="1"/>
  <c r="D184"/>
  <c r="D185"/>
  <c r="F185" s="1"/>
  <c r="D186"/>
  <c r="F186" s="1"/>
  <c r="D187"/>
  <c r="F187" s="1"/>
  <c r="D188"/>
  <c r="D29"/>
  <c r="F29" s="1"/>
  <c r="D30"/>
  <c r="F30" s="1"/>
  <c r="D31"/>
  <c r="F31" s="1"/>
  <c r="D32"/>
  <c r="F32" s="1"/>
  <c r="D33"/>
  <c r="F33" s="1"/>
  <c r="D34"/>
  <c r="F34" s="1"/>
  <c r="D48"/>
  <c r="D64"/>
  <c r="G60" s="1"/>
  <c r="D54"/>
  <c r="F54" s="1"/>
  <c r="D55"/>
  <c r="F55" s="1"/>
  <c r="D56"/>
  <c r="F56" s="1"/>
  <c r="D57"/>
  <c r="F57" s="1"/>
  <c r="D58"/>
  <c r="F58" s="1"/>
  <c r="D59"/>
  <c r="F59" s="1"/>
  <c r="D37"/>
  <c r="F37" s="1"/>
  <c r="D38"/>
  <c r="F38" s="1"/>
  <c r="D39"/>
  <c r="F39" s="1"/>
  <c r="D40"/>
  <c r="F40" s="1"/>
  <c r="D41"/>
  <c r="F41" s="1"/>
  <c r="D42"/>
  <c r="F42" s="1"/>
  <c r="D43"/>
  <c r="F43" s="1"/>
  <c r="D44" i="20"/>
  <c r="F44" s="1"/>
  <c r="D45"/>
  <c r="F45" s="1"/>
  <c r="D46"/>
  <c r="F46" s="1"/>
  <c r="D47"/>
  <c r="F47" s="1"/>
  <c r="D68"/>
  <c r="G68" s="1"/>
  <c r="D26"/>
  <c r="D30"/>
  <c r="F30" s="1"/>
  <c r="D31"/>
  <c r="F31" s="1"/>
  <c r="D139"/>
  <c r="F139" s="1"/>
  <c r="D140"/>
  <c r="F140" s="1"/>
  <c r="D141"/>
  <c r="F141" s="1"/>
  <c r="D18"/>
  <c r="F18" s="1"/>
  <c r="D19"/>
  <c r="F19" s="1"/>
  <c r="D20"/>
  <c r="F20" s="1"/>
  <c r="D21"/>
  <c r="F21" s="1"/>
  <c r="D22"/>
  <c r="F22" s="1"/>
  <c r="D23"/>
  <c r="F23" s="1"/>
  <c r="D24"/>
  <c r="F24" s="1"/>
  <c r="D83"/>
  <c r="F83" s="1"/>
  <c r="D84"/>
  <c r="F84" s="1"/>
  <c r="D85"/>
  <c r="F85" s="1"/>
  <c r="D86"/>
  <c r="F86" s="1"/>
  <c r="D87"/>
  <c r="F87" s="1"/>
  <c r="D79"/>
  <c r="F79" s="1"/>
  <c r="D80"/>
  <c r="F80" s="1"/>
  <c r="D81"/>
  <c r="F81" s="1"/>
  <c r="F106"/>
  <c r="D70"/>
  <c r="F70" s="1"/>
  <c r="D71"/>
  <c r="F71" s="1"/>
  <c r="D72"/>
  <c r="F72" s="1"/>
  <c r="D73"/>
  <c r="F73" s="1"/>
  <c r="D74"/>
  <c r="F74" s="1"/>
  <c r="D75"/>
  <c r="F75" s="1"/>
  <c r="D89"/>
  <c r="F89" s="1"/>
  <c r="D90"/>
  <c r="F90" s="1"/>
  <c r="D91"/>
  <c r="F91" s="1"/>
  <c r="D92"/>
  <c r="F92" s="1"/>
  <c r="D94"/>
  <c r="F94" s="1"/>
  <c r="D95"/>
  <c r="F95" s="1"/>
  <c r="D96"/>
  <c r="F96" s="1"/>
  <c r="D97"/>
  <c r="F97" s="1"/>
  <c r="D98"/>
  <c r="F98" s="1"/>
  <c r="D100"/>
  <c r="F100" s="1"/>
  <c r="D101"/>
  <c r="F101" s="1"/>
  <c r="D102"/>
  <c r="F102" s="1"/>
  <c r="D41"/>
  <c r="G37" s="1"/>
  <c r="F143"/>
  <c r="F144"/>
  <c r="F145"/>
  <c r="F146"/>
  <c r="D157"/>
  <c r="F157" s="1"/>
  <c r="D158"/>
  <c r="F158" s="1"/>
  <c r="D159"/>
  <c r="F159" s="1"/>
  <c r="D160"/>
  <c r="F160" s="1"/>
  <c r="D161"/>
  <c r="F161" s="1"/>
  <c r="D162"/>
  <c r="F162" s="1"/>
  <c r="D164"/>
  <c r="F164" s="1"/>
  <c r="D165"/>
  <c r="F165" s="1"/>
  <c r="D166"/>
  <c r="F166" s="1"/>
  <c r="D167"/>
  <c r="F167" s="1"/>
  <c r="D168"/>
  <c r="D36"/>
  <c r="D154"/>
  <c r="F154" s="1"/>
  <c r="D155"/>
  <c r="F155" s="1"/>
  <c r="D148"/>
  <c r="F148" s="1"/>
  <c r="D149"/>
  <c r="F149" s="1"/>
  <c r="D150"/>
  <c r="F150" s="1"/>
  <c r="D151"/>
  <c r="F151" s="1"/>
  <c r="D152"/>
  <c r="F152" s="1"/>
  <c r="D11"/>
  <c r="F11" s="1"/>
  <c r="D12"/>
  <c r="F12" s="1"/>
  <c r="D13"/>
  <c r="F13" s="1"/>
  <c r="D14"/>
  <c r="F14" s="1"/>
  <c r="D15"/>
  <c r="F15" s="1"/>
  <c r="D16"/>
  <c r="F16" s="1"/>
  <c r="D97" i="21"/>
  <c r="F97" s="1"/>
  <c r="D98"/>
  <c r="F98" s="1"/>
  <c r="D99"/>
  <c r="F99" s="1"/>
  <c r="D100"/>
  <c r="F100" s="1"/>
  <c r="D102"/>
  <c r="F102" s="1"/>
  <c r="D103"/>
  <c r="F103" s="1"/>
  <c r="D104"/>
  <c r="F104" s="1"/>
  <c r="D146"/>
  <c r="G146" s="1"/>
  <c r="D144"/>
  <c r="F144" s="1"/>
  <c r="D145"/>
  <c r="F145" s="1"/>
  <c r="F24"/>
  <c r="D27"/>
  <c r="F27" s="1"/>
  <c r="D28"/>
  <c r="F28" s="1"/>
  <c r="D29"/>
  <c r="F29" s="1"/>
  <c r="D30"/>
  <c r="F30" s="1"/>
  <c r="D31"/>
  <c r="F31" s="1"/>
  <c r="D59"/>
  <c r="G59" s="1"/>
  <c r="D110"/>
  <c r="F110" s="1"/>
  <c r="D111"/>
  <c r="F111" s="1"/>
  <c r="D112"/>
  <c r="F112" s="1"/>
  <c r="D113"/>
  <c r="F113" s="1"/>
  <c r="D114"/>
  <c r="F114" s="1"/>
  <c r="D115"/>
  <c r="F115" s="1"/>
  <c r="D118"/>
  <c r="F118" s="1"/>
  <c r="D119"/>
  <c r="F119" s="1"/>
  <c r="D120"/>
  <c r="F120" s="1"/>
  <c r="D121"/>
  <c r="F121" s="1"/>
  <c r="D134"/>
  <c r="F134" s="1"/>
  <c r="D135"/>
  <c r="F135" s="1"/>
  <c r="D136"/>
  <c r="F136" s="1"/>
  <c r="D130"/>
  <c r="F130" s="1"/>
  <c r="D131"/>
  <c r="F131" s="1"/>
  <c r="D132"/>
  <c r="F132" s="1"/>
  <c r="D50"/>
  <c r="F50" s="1"/>
  <c r="D51"/>
  <c r="F51" s="1"/>
  <c r="D52"/>
  <c r="F52" s="1"/>
  <c r="D53"/>
  <c r="F53" s="1"/>
  <c r="D54"/>
  <c r="F54" s="1"/>
  <c r="D148"/>
  <c r="F148" s="1"/>
  <c r="D149"/>
  <c r="F149" s="1"/>
  <c r="D150"/>
  <c r="F150" s="1"/>
  <c r="D151"/>
  <c r="F151" s="1"/>
  <c r="D152"/>
  <c r="F152" s="1"/>
  <c r="D153"/>
  <c r="F153" s="1"/>
  <c r="D155"/>
  <c r="F155" s="1"/>
  <c r="D156"/>
  <c r="F156" s="1"/>
  <c r="D157"/>
  <c r="F157" s="1"/>
  <c r="D158"/>
  <c r="F158" s="1"/>
  <c r="D36"/>
  <c r="F36" s="1"/>
  <c r="D37"/>
  <c r="F37" s="1"/>
  <c r="D38"/>
  <c r="F38" s="1"/>
  <c r="D39"/>
  <c r="F39" s="1"/>
  <c r="D40"/>
  <c r="F40" s="1"/>
  <c r="D42"/>
  <c r="F42" s="1"/>
  <c r="D43"/>
  <c r="F43" s="1"/>
  <c r="D44"/>
  <c r="F44" s="1"/>
  <c r="D45"/>
  <c r="F45" s="1"/>
  <c r="D46"/>
  <c r="F46" s="1"/>
  <c r="D47"/>
  <c r="F47" s="1"/>
  <c r="D63" i="12"/>
  <c r="G63" s="1"/>
  <c r="D65"/>
  <c r="F65" s="1"/>
  <c r="D66"/>
  <c r="F66" s="1"/>
  <c r="D67"/>
  <c r="F67" s="1"/>
  <c r="D68"/>
  <c r="F68" s="1"/>
  <c r="D69"/>
  <c r="F69" s="1"/>
  <c r="D4"/>
  <c r="F4" s="1"/>
  <c r="D5"/>
  <c r="F5" s="1"/>
  <c r="D6"/>
  <c r="F6" s="1"/>
  <c r="D49"/>
  <c r="F49" s="1"/>
  <c r="D50"/>
  <c r="F50" s="1"/>
  <c r="D51"/>
  <c r="F51" s="1"/>
  <c r="D57"/>
  <c r="F57" s="1"/>
  <c r="D58"/>
  <c r="F58" s="1"/>
  <c r="D59"/>
  <c r="F59" s="1"/>
  <c r="D60"/>
  <c r="F60" s="1"/>
  <c r="D61"/>
  <c r="F61" s="1"/>
  <c r="D62"/>
  <c r="F62" s="1"/>
  <c r="D72" i="11"/>
  <c r="F72" s="1"/>
  <c r="D73"/>
  <c r="F73" s="1"/>
  <c r="D74"/>
  <c r="F74" s="1"/>
  <c r="D75"/>
  <c r="F75" s="1"/>
  <c r="D76"/>
  <c r="F76" s="1"/>
  <c r="C10"/>
  <c r="C9"/>
  <c r="C8"/>
  <c r="C7"/>
  <c r="B7"/>
  <c r="D79" i="24"/>
  <c r="G79"/>
  <c r="D10"/>
  <c r="F10" s="1"/>
  <c r="D11"/>
  <c r="F11" s="1"/>
  <c r="D12"/>
  <c r="F12" s="1"/>
  <c r="D13"/>
  <c r="F13" s="1"/>
  <c r="D14"/>
  <c r="F14" s="1"/>
  <c r="D15"/>
  <c r="F15" s="1"/>
  <c r="D75"/>
  <c r="G75" s="1"/>
  <c r="D76"/>
  <c r="G76" s="1"/>
  <c r="D77"/>
  <c r="G77" s="1"/>
  <c r="D78"/>
  <c r="G78" s="1"/>
  <c r="D42"/>
  <c r="F42" s="1"/>
  <c r="D43"/>
  <c r="F43" s="1"/>
  <c r="D80"/>
  <c r="G80" s="1"/>
  <c r="D21"/>
  <c r="D81"/>
  <c r="G81" s="1"/>
  <c r="D82"/>
  <c r="G82" s="1"/>
  <c r="D83"/>
  <c r="G83" s="1"/>
  <c r="D28"/>
  <c r="F28" s="1"/>
  <c r="D29"/>
  <c r="F29" s="1"/>
  <c r="D30"/>
  <c r="F30" s="1"/>
  <c r="D36"/>
  <c r="F36" s="1"/>
  <c r="D37"/>
  <c r="F37" s="1"/>
  <c r="D38"/>
  <c r="F38" s="1"/>
  <c r="D39"/>
  <c r="F39" s="1"/>
  <c r="D40"/>
  <c r="F40" s="1"/>
  <c r="D23"/>
  <c r="F23" s="1"/>
  <c r="D24"/>
  <c r="F24" s="1"/>
  <c r="D25"/>
  <c r="F25" s="1"/>
  <c r="D26"/>
  <c r="F26" s="1"/>
  <c r="D59"/>
  <c r="F59" s="1"/>
  <c r="D60"/>
  <c r="F60" s="1"/>
  <c r="D61"/>
  <c r="F61" s="1"/>
  <c r="D62"/>
  <c r="F62" s="1"/>
  <c r="D64"/>
  <c r="F64" s="1"/>
  <c r="D65"/>
  <c r="F65" s="1"/>
  <c r="D66"/>
  <c r="F66" s="1"/>
  <c r="D67"/>
  <c r="F67" s="1"/>
  <c r="D68"/>
  <c r="F68" s="1"/>
  <c r="D69"/>
  <c r="F69" s="1"/>
  <c r="D71"/>
  <c r="F71" s="1"/>
  <c r="D72"/>
  <c r="F72" s="1"/>
  <c r="D73"/>
  <c r="F73" s="1"/>
  <c r="D74"/>
  <c r="F74" s="1"/>
  <c r="D50"/>
  <c r="F50" s="1"/>
  <c r="D51"/>
  <c r="F51" s="1"/>
  <c r="D52"/>
  <c r="F52" s="1"/>
  <c r="D54"/>
  <c r="F54" s="1"/>
  <c r="D55"/>
  <c r="F55" s="1"/>
  <c r="D56"/>
  <c r="F56" s="1"/>
  <c r="D57"/>
  <c r="F57" s="1"/>
  <c r="D4"/>
  <c r="F4" s="1"/>
  <c r="D5"/>
  <c r="F5" s="1"/>
  <c r="D6"/>
  <c r="F6" s="1"/>
  <c r="D7"/>
  <c r="F7" s="1"/>
  <c r="D8"/>
  <c r="F8" s="1"/>
  <c r="D147" i="25"/>
  <c r="F147" s="1"/>
  <c r="D148"/>
  <c r="F148" s="1"/>
  <c r="D149"/>
  <c r="F149" s="1"/>
  <c r="D150"/>
  <c r="F150" s="1"/>
  <c r="D151"/>
  <c r="F151" s="1"/>
  <c r="D121"/>
  <c r="F121" s="1"/>
  <c r="D122"/>
  <c r="F122" s="1"/>
  <c r="D123"/>
  <c r="F123" s="1"/>
  <c r="D124"/>
  <c r="F124" s="1"/>
  <c r="D125"/>
  <c r="F125" s="1"/>
  <c r="D126"/>
  <c r="F126" s="1"/>
  <c r="D128"/>
  <c r="F128" s="1"/>
  <c r="D129"/>
  <c r="F129" s="1"/>
  <c r="D130"/>
  <c r="F130" s="1"/>
  <c r="D131"/>
  <c r="F131" s="1"/>
  <c r="D132"/>
  <c r="F132" s="1"/>
  <c r="D153"/>
  <c r="F153" s="1"/>
  <c r="D154"/>
  <c r="F154" s="1"/>
  <c r="D155"/>
  <c r="F155" s="1"/>
  <c r="D176"/>
  <c r="F176" s="1"/>
  <c r="D177"/>
  <c r="F177" s="1"/>
  <c r="D178"/>
  <c r="F178" s="1"/>
  <c r="D179"/>
  <c r="F179" s="1"/>
  <c r="D106"/>
  <c r="F106" s="1"/>
  <c r="D107"/>
  <c r="F107" s="1"/>
  <c r="D108"/>
  <c r="F108" s="1"/>
  <c r="D109"/>
  <c r="F109" s="1"/>
  <c r="D110"/>
  <c r="F110" s="1"/>
  <c r="D166"/>
  <c r="F166" s="1"/>
  <c r="D167"/>
  <c r="F167" s="1"/>
  <c r="D168"/>
  <c r="F168" s="1"/>
  <c r="D55"/>
  <c r="F55" s="1"/>
  <c r="D56"/>
  <c r="F56" s="1"/>
  <c r="D57"/>
  <c r="F57" s="1"/>
  <c r="D58"/>
  <c r="F58" s="1"/>
  <c r="G53"/>
  <c r="D115"/>
  <c r="F115" s="1"/>
  <c r="D117"/>
  <c r="F117" s="1"/>
  <c r="D118"/>
  <c r="F118" s="1"/>
  <c r="D119"/>
  <c r="F119" s="1"/>
  <c r="D101"/>
  <c r="F101" s="1"/>
  <c r="D102"/>
  <c r="F102" s="1"/>
  <c r="D103"/>
  <c r="F103" s="1"/>
  <c r="D104"/>
  <c r="F104" s="1"/>
  <c r="D46"/>
  <c r="F46" s="1"/>
  <c r="D47"/>
  <c r="F47" s="1"/>
  <c r="D48"/>
  <c r="F48" s="1"/>
  <c r="D4"/>
  <c r="F4" s="1"/>
  <c r="F5"/>
  <c r="F7"/>
  <c r="D70"/>
  <c r="D67"/>
  <c r="F67" s="1"/>
  <c r="D68"/>
  <c r="F68" s="1"/>
  <c r="D69"/>
  <c r="F69" s="1"/>
  <c r="D72"/>
  <c r="F72" s="1"/>
  <c r="D73"/>
  <c r="F73" s="1"/>
  <c r="D74"/>
  <c r="F74" s="1"/>
  <c r="D75"/>
  <c r="F75" s="1"/>
  <c r="D95"/>
  <c r="F95" s="1"/>
  <c r="D96"/>
  <c r="F96" s="1"/>
  <c r="D97"/>
  <c r="F97" s="1"/>
  <c r="D98"/>
  <c r="F98" s="1"/>
  <c r="D99"/>
  <c r="F99" s="1"/>
  <c r="D186"/>
  <c r="D181"/>
  <c r="F181" s="1"/>
  <c r="D182"/>
  <c r="F182" s="1"/>
  <c r="D183"/>
  <c r="F183" s="1"/>
  <c r="D184"/>
  <c r="F184" s="1"/>
  <c r="D185"/>
  <c r="F185" s="1"/>
  <c r="D112"/>
  <c r="F112" s="1"/>
  <c r="D113"/>
  <c r="F113" s="1"/>
  <c r="D170"/>
  <c r="F170" s="1"/>
  <c r="D171"/>
  <c r="F171" s="1"/>
  <c r="D172"/>
  <c r="F172" s="1"/>
  <c r="D173"/>
  <c r="F173" s="1"/>
  <c r="D174"/>
  <c r="F174" s="1"/>
  <c r="D50"/>
  <c r="F50" s="1"/>
  <c r="D51"/>
  <c r="F51" s="1"/>
  <c r="D52"/>
  <c r="F52" s="1"/>
  <c r="D17"/>
  <c r="F17" s="1"/>
  <c r="D18"/>
  <c r="F18" s="1"/>
  <c r="D19"/>
  <c r="F19" s="1"/>
  <c r="D20"/>
  <c r="F20" s="1"/>
  <c r="D21"/>
  <c r="F21" s="1"/>
  <c r="D22"/>
  <c r="F22" s="1"/>
  <c r="D23"/>
  <c r="F23" s="1"/>
  <c r="D11"/>
  <c r="F11" s="1"/>
  <c r="D12"/>
  <c r="F12" s="1"/>
  <c r="D13"/>
  <c r="F13" s="1"/>
  <c r="D14"/>
  <c r="F14" s="1"/>
  <c r="D15"/>
  <c r="F15" s="1"/>
  <c r="D25"/>
  <c r="F25" s="1"/>
  <c r="D26"/>
  <c r="F26" s="1"/>
  <c r="D27"/>
  <c r="F27" s="1"/>
  <c r="D28"/>
  <c r="F28" s="1"/>
  <c r="D29"/>
  <c r="F29" s="1"/>
  <c r="D31"/>
  <c r="F31" s="1"/>
  <c r="D32"/>
  <c r="F32" s="1"/>
  <c r="D33"/>
  <c r="F33" s="1"/>
  <c r="D34"/>
  <c r="F34" s="1"/>
  <c r="D35"/>
  <c r="F35" s="1"/>
  <c r="D36"/>
  <c r="F36" s="1"/>
  <c r="D37"/>
  <c r="F37" s="1"/>
  <c r="D39"/>
  <c r="F39" s="1"/>
  <c r="F44"/>
  <c r="D65"/>
  <c r="D60"/>
  <c r="F60" s="1"/>
  <c r="D61"/>
  <c r="F61" s="1"/>
  <c r="D62"/>
  <c r="F62" s="1"/>
  <c r="D63"/>
  <c r="F63" s="1"/>
  <c r="D64"/>
  <c r="F64" s="1"/>
  <c r="D32" i="27"/>
  <c r="F32" s="1"/>
  <c r="D33"/>
  <c r="F33" s="1"/>
  <c r="D34"/>
  <c r="F34" s="1"/>
  <c r="D35"/>
  <c r="F35" s="1"/>
  <c r="D28"/>
  <c r="F28" s="1"/>
  <c r="D29"/>
  <c r="F29" s="1"/>
  <c r="D30"/>
  <c r="F30" s="1"/>
  <c r="D41"/>
  <c r="F41" s="1"/>
  <c r="D42"/>
  <c r="F42" s="1"/>
  <c r="D43"/>
  <c r="F43" s="1"/>
  <c r="D44"/>
  <c r="F44" s="1"/>
  <c r="D45"/>
  <c r="F45" s="1"/>
  <c r="D46"/>
  <c r="D48"/>
  <c r="F48" s="1"/>
  <c r="D49"/>
  <c r="F49" s="1"/>
  <c r="D50"/>
  <c r="F50" s="1"/>
  <c r="D51"/>
  <c r="F51" s="1"/>
  <c r="D21"/>
  <c r="F21" s="1"/>
  <c r="D17"/>
  <c r="F17" s="1"/>
  <c r="D18"/>
  <c r="F18" s="1"/>
  <c r="D19"/>
  <c r="F19" s="1"/>
  <c r="D20"/>
  <c r="F20" s="1"/>
  <c r="D10"/>
  <c r="F10" s="1"/>
  <c r="D11"/>
  <c r="F11" s="1"/>
  <c r="D12"/>
  <c r="F12" s="1"/>
  <c r="D13"/>
  <c r="F13" s="1"/>
  <c r="D14"/>
  <c r="F14" s="1"/>
  <c r="D15"/>
  <c r="F15" s="1"/>
  <c r="D4"/>
  <c r="F4" s="1"/>
  <c r="D5"/>
  <c r="F5" s="1"/>
  <c r="D6"/>
  <c r="F6" s="1"/>
  <c r="D7"/>
  <c r="F7" s="1"/>
  <c r="D8"/>
  <c r="F8" s="1"/>
  <c r="D37"/>
  <c r="D38"/>
  <c r="D39"/>
  <c r="D52"/>
  <c r="D53"/>
  <c r="D26"/>
  <c r="G26" s="1"/>
  <c r="D55" i="23"/>
  <c r="F55" s="1"/>
  <c r="D56"/>
  <c r="F56" s="1"/>
  <c r="D57"/>
  <c r="F57" s="1"/>
  <c r="D58"/>
  <c r="F58" s="1"/>
  <c r="D59"/>
  <c r="F59" s="1"/>
  <c r="D60"/>
  <c r="F60" s="1"/>
  <c r="D72" i="15"/>
  <c r="F72" s="1"/>
  <c r="D73"/>
  <c r="F73" s="1"/>
  <c r="D74"/>
  <c r="F74" s="1"/>
  <c r="D75"/>
  <c r="F75" s="1"/>
  <c r="D64"/>
  <c r="F64" s="1"/>
  <c r="D65"/>
  <c r="F65" s="1"/>
  <c r="D66"/>
  <c r="F66" s="1"/>
  <c r="D67"/>
  <c r="F67" s="1"/>
  <c r="D68"/>
  <c r="F68" s="1"/>
  <c r="D69"/>
  <c r="F69" s="1"/>
  <c r="D77"/>
  <c r="F77" s="1"/>
  <c r="D78"/>
  <c r="F78" s="1"/>
  <c r="D79"/>
  <c r="F79" s="1"/>
  <c r="D80"/>
  <c r="F80" s="1"/>
  <c r="D81"/>
  <c r="F81" s="1"/>
  <c r="D83"/>
  <c r="F83" s="1"/>
  <c r="D84"/>
  <c r="F84" s="1"/>
  <c r="D85"/>
  <c r="F85" s="1"/>
  <c r="D86"/>
  <c r="F86" s="1"/>
  <c r="D132"/>
  <c r="F132" s="1"/>
  <c r="D130"/>
  <c r="F130" s="1"/>
  <c r="D131"/>
  <c r="F131" s="1"/>
  <c r="D134"/>
  <c r="F134" s="1"/>
  <c r="D135"/>
  <c r="F135" s="1"/>
  <c r="D136"/>
  <c r="F136" s="1"/>
  <c r="D137"/>
  <c r="F137" s="1"/>
  <c r="D138"/>
  <c r="F138" s="1"/>
  <c r="D140"/>
  <c r="F140" s="1"/>
  <c r="D141"/>
  <c r="F141" s="1"/>
  <c r="D10"/>
  <c r="F10" s="1"/>
  <c r="D11"/>
  <c r="F11" s="1"/>
  <c r="D12"/>
  <c r="F12" s="1"/>
  <c r="D94"/>
  <c r="F94" s="1"/>
  <c r="D95"/>
  <c r="F95" s="1"/>
  <c r="D96"/>
  <c r="F96" s="1"/>
  <c r="D52"/>
  <c r="F52" s="1"/>
  <c r="D53"/>
  <c r="F53" s="1"/>
  <c r="D54"/>
  <c r="F54" s="1"/>
  <c r="D55"/>
  <c r="F55" s="1"/>
  <c r="D57"/>
  <c r="F57" s="1"/>
  <c r="D58"/>
  <c r="F58" s="1"/>
  <c r="D59"/>
  <c r="F59" s="1"/>
  <c r="D61"/>
  <c r="F61" s="1"/>
  <c r="D62"/>
  <c r="F62" s="1"/>
  <c r="D104"/>
  <c r="F104" s="1"/>
  <c r="D105"/>
  <c r="F105" s="1"/>
  <c r="D106"/>
  <c r="F106" s="1"/>
  <c r="D107"/>
  <c r="F107" s="1"/>
  <c r="D108"/>
  <c r="F108" s="1"/>
  <c r="D109"/>
  <c r="F109" s="1"/>
  <c r="D143"/>
  <c r="G143" s="1"/>
  <c r="D144"/>
  <c r="D142"/>
  <c r="G142" s="1"/>
  <c r="D24"/>
  <c r="F24" s="1"/>
  <c r="G20" s="1"/>
  <c r="D35" i="14"/>
  <c r="F35" s="1"/>
  <c r="D36"/>
  <c r="F36" s="1"/>
  <c r="D37"/>
  <c r="F37" s="1"/>
  <c r="D38"/>
  <c r="F38" s="1"/>
  <c r="D39"/>
  <c r="F39" s="1"/>
  <c r="D112"/>
  <c r="D107"/>
  <c r="F107" s="1"/>
  <c r="D108"/>
  <c r="F108" s="1"/>
  <c r="D109"/>
  <c r="F109" s="1"/>
  <c r="D110"/>
  <c r="F110" s="1"/>
  <c r="D111"/>
  <c r="F111" s="1"/>
  <c r="D86" i="13"/>
  <c r="F86" s="1"/>
  <c r="D87"/>
  <c r="F87" s="1"/>
  <c r="D88"/>
  <c r="F88" s="1"/>
  <c r="D89"/>
  <c r="F89" s="1"/>
  <c r="D90"/>
  <c r="F90" s="1"/>
  <c r="F100"/>
  <c r="F101"/>
  <c r="F102"/>
  <c r="F103"/>
  <c r="D92"/>
  <c r="F92" s="1"/>
  <c r="D93"/>
  <c r="F93" s="1"/>
  <c r="D94"/>
  <c r="F94" s="1"/>
  <c r="D60"/>
  <c r="F60" s="1"/>
  <c r="D61"/>
  <c r="F61" s="1"/>
  <c r="D62"/>
  <c r="F62" s="1"/>
  <c r="D63"/>
  <c r="F63" s="1"/>
  <c r="D64"/>
  <c r="F64" s="1"/>
  <c r="D38"/>
  <c r="F38" s="1"/>
  <c r="D39"/>
  <c r="F39" s="1"/>
  <c r="D40"/>
  <c r="F40" s="1"/>
  <c r="D41"/>
  <c r="F41" s="1"/>
  <c r="D49"/>
  <c r="F49" s="1"/>
  <c r="D50"/>
  <c r="F50" s="1"/>
  <c r="D51"/>
  <c r="F51" s="1"/>
  <c r="D52"/>
  <c r="F52" s="1"/>
  <c r="D53"/>
  <c r="F53" s="1"/>
  <c r="D55"/>
  <c r="F55" s="1"/>
  <c r="D56"/>
  <c r="F56" s="1"/>
  <c r="D57"/>
  <c r="F57" s="1"/>
  <c r="D58"/>
  <c r="F58" s="1"/>
  <c r="D96"/>
  <c r="F96" s="1"/>
  <c r="D97"/>
  <c r="F97" s="1"/>
  <c r="D98"/>
  <c r="F98" s="1"/>
  <c r="D44"/>
  <c r="F44" s="1"/>
  <c r="D45"/>
  <c r="F45" s="1"/>
  <c r="D46"/>
  <c r="F46" s="1"/>
  <c r="D47"/>
  <c r="F47" s="1"/>
  <c r="D116"/>
  <c r="G116" s="1"/>
  <c r="D117" i="11"/>
  <c r="F117" s="1"/>
  <c r="D65"/>
  <c r="F65" s="1"/>
  <c r="D66"/>
  <c r="F66" s="1"/>
  <c r="D67"/>
  <c r="F67" s="1"/>
  <c r="D68"/>
  <c r="F68" s="1"/>
  <c r="D69"/>
  <c r="F69" s="1"/>
  <c r="D70"/>
  <c r="F70" s="1"/>
  <c r="D78"/>
  <c r="F78" s="1"/>
  <c r="D79"/>
  <c r="F79" s="1"/>
  <c r="D80"/>
  <c r="F80" s="1"/>
  <c r="D81"/>
  <c r="F81" s="1"/>
  <c r="D82"/>
  <c r="F82" s="1"/>
  <c r="D84"/>
  <c r="F84" s="1"/>
  <c r="D85"/>
  <c r="F85" s="1"/>
  <c r="D86"/>
  <c r="F86" s="1"/>
  <c r="D87"/>
  <c r="F87" s="1"/>
  <c r="D4"/>
  <c r="F4" s="1"/>
  <c r="D5"/>
  <c r="F5" s="1"/>
  <c r="D6"/>
  <c r="F6" s="1"/>
  <c r="D55"/>
  <c r="D51"/>
  <c r="F51" s="1"/>
  <c r="D52"/>
  <c r="F52" s="1"/>
  <c r="D53"/>
  <c r="F53" s="1"/>
  <c r="D113"/>
  <c r="F113" s="1"/>
  <c r="D114"/>
  <c r="F114" s="1"/>
  <c r="D115"/>
  <c r="F115" s="1"/>
  <c r="D116"/>
  <c r="F116" s="1"/>
  <c r="F137"/>
  <c r="F138"/>
  <c r="F139"/>
  <c r="F140"/>
  <c r="D119"/>
  <c r="F119" s="1"/>
  <c r="D120"/>
  <c r="F120" s="1"/>
  <c r="D121"/>
  <c r="F121" s="1"/>
  <c r="D17"/>
  <c r="F17" s="1"/>
  <c r="D18"/>
  <c r="F18" s="1"/>
  <c r="D19"/>
  <c r="F19" s="1"/>
  <c r="D133"/>
  <c r="F133" s="1"/>
  <c r="D134"/>
  <c r="F134" s="1"/>
  <c r="D135"/>
  <c r="F135" s="1"/>
  <c r="D28"/>
  <c r="F28" s="1"/>
  <c r="D29"/>
  <c r="F29" s="1"/>
  <c r="D30"/>
  <c r="F30" s="1"/>
  <c r="D31"/>
  <c r="F31" s="1"/>
  <c r="D32"/>
  <c r="F32" s="1"/>
  <c r="D33"/>
  <c r="F33" s="1"/>
  <c r="D59"/>
  <c r="F59" s="1"/>
  <c r="D60"/>
  <c r="F60" s="1"/>
  <c r="D61"/>
  <c r="F61" s="1"/>
  <c r="D62"/>
  <c r="F62" s="1"/>
  <c r="D63"/>
  <c r="F63" s="1"/>
  <c r="D35"/>
  <c r="F35" s="1"/>
  <c r="D36"/>
  <c r="F36" s="1"/>
  <c r="D37"/>
  <c r="F37" s="1"/>
  <c r="D38"/>
  <c r="F38" s="1"/>
  <c r="D147"/>
  <c r="D142"/>
  <c r="F142" s="1"/>
  <c r="D143"/>
  <c r="F143" s="1"/>
  <c r="D144"/>
  <c r="F144" s="1"/>
  <c r="D145"/>
  <c r="F145" s="1"/>
  <c r="D146"/>
  <c r="F146" s="1"/>
  <c r="D95"/>
  <c r="F95" s="1"/>
  <c r="D96"/>
  <c r="F96" s="1"/>
  <c r="D97"/>
  <c r="F97" s="1"/>
  <c r="D98"/>
  <c r="F98" s="1"/>
  <c r="D99"/>
  <c r="F99" s="1"/>
  <c r="D100"/>
  <c r="F100" s="1"/>
  <c r="D148"/>
  <c r="G148" s="1"/>
  <c r="D85" i="10"/>
  <c r="F85" s="1"/>
  <c r="D32"/>
  <c r="F32" s="1"/>
  <c r="D33"/>
  <c r="F33" s="1"/>
  <c r="D34"/>
  <c r="F34" s="1"/>
  <c r="D35"/>
  <c r="F35" s="1"/>
  <c r="D36"/>
  <c r="F36" s="1"/>
  <c r="D87"/>
  <c r="F87" s="1"/>
  <c r="D88"/>
  <c r="F88" s="1"/>
  <c r="D89"/>
  <c r="F89" s="1"/>
  <c r="D37"/>
  <c r="G37" s="1"/>
  <c r="D9"/>
  <c r="F9" s="1"/>
  <c r="D10"/>
  <c r="F10" s="1"/>
  <c r="D11"/>
  <c r="F11" s="1"/>
  <c r="D12"/>
  <c r="F12" s="1"/>
  <c r="D13"/>
  <c r="F13" s="1"/>
  <c r="D14"/>
  <c r="F14" s="1"/>
  <c r="D28"/>
  <c r="F28" s="1"/>
  <c r="D29"/>
  <c r="F29" s="1"/>
  <c r="D30"/>
  <c r="F30" s="1"/>
  <c r="D23"/>
  <c r="F23" s="1"/>
  <c r="D24"/>
  <c r="F24" s="1"/>
  <c r="D25"/>
  <c r="F25" s="1"/>
  <c r="D26"/>
  <c r="F26" s="1"/>
  <c r="D4"/>
  <c r="F4" s="1"/>
  <c r="D5"/>
  <c r="F5" s="1"/>
  <c r="D6"/>
  <c r="F6" s="1"/>
  <c r="D7"/>
  <c r="F7" s="1"/>
  <c r="D91"/>
  <c r="F91" s="1"/>
  <c r="D92"/>
  <c r="F92" s="1"/>
  <c r="D93"/>
  <c r="F93" s="1"/>
  <c r="D94"/>
  <c r="F94" s="1"/>
  <c r="D95"/>
  <c r="F95" s="1"/>
  <c r="D63"/>
  <c r="F63" s="1"/>
  <c r="D64"/>
  <c r="F64" s="1"/>
  <c r="D65"/>
  <c r="F65" s="1"/>
  <c r="D66"/>
  <c r="F66" s="1"/>
  <c r="D67"/>
  <c r="F67" s="1"/>
  <c r="D68"/>
  <c r="F68" s="1"/>
  <c r="D76"/>
  <c r="F76" s="1"/>
  <c r="D77"/>
  <c r="F77" s="1"/>
  <c r="D78"/>
  <c r="F78" s="1"/>
  <c r="D16"/>
  <c r="F16" s="1"/>
  <c r="D17"/>
  <c r="F17" s="1"/>
  <c r="D18"/>
  <c r="F18" s="1"/>
  <c r="D19"/>
  <c r="F19" s="1"/>
  <c r="D20"/>
  <c r="F20" s="1"/>
  <c r="D21"/>
  <c r="F21" s="1"/>
  <c r="D83" i="9"/>
  <c r="F83" s="1"/>
  <c r="D79"/>
  <c r="F79" s="1"/>
  <c r="D80"/>
  <c r="F80" s="1"/>
  <c r="D81"/>
  <c r="F81" s="1"/>
  <c r="D82"/>
  <c r="F82" s="1"/>
  <c r="D19" i="31"/>
  <c r="F19" s="1"/>
  <c r="D20"/>
  <c r="F20" s="1"/>
  <c r="D21"/>
  <c r="F21" s="1"/>
  <c r="D22"/>
  <c r="F22" s="1"/>
  <c r="D23"/>
  <c r="F23" s="1"/>
  <c r="D9" i="9"/>
  <c r="F9" s="1"/>
  <c r="D10"/>
  <c r="F10" s="1"/>
  <c r="D11"/>
  <c r="F11" s="1"/>
  <c r="D12"/>
  <c r="F12" s="1"/>
  <c r="D13"/>
  <c r="F13" s="1"/>
  <c r="D14"/>
  <c r="F14" s="1"/>
  <c r="D38"/>
  <c r="F38" s="1"/>
  <c r="D39"/>
  <c r="F39" s="1"/>
  <c r="D40"/>
  <c r="F40" s="1"/>
  <c r="D41"/>
  <c r="F41" s="1"/>
  <c r="D32"/>
  <c r="F32" s="1"/>
  <c r="D33"/>
  <c r="F33" s="1"/>
  <c r="D34"/>
  <c r="F34" s="1"/>
  <c r="D35"/>
  <c r="F35" s="1"/>
  <c r="D36"/>
  <c r="F36" s="1"/>
  <c r="D28"/>
  <c r="F28" s="1"/>
  <c r="D29"/>
  <c r="F29" s="1"/>
  <c r="D30"/>
  <c r="F30" s="1"/>
  <c r="D23"/>
  <c r="F23" s="1"/>
  <c r="D24"/>
  <c r="F24" s="1"/>
  <c r="D25"/>
  <c r="F25" s="1"/>
  <c r="D26"/>
  <c r="F26" s="1"/>
  <c r="D4"/>
  <c r="F4" s="1"/>
  <c r="D5"/>
  <c r="F5" s="1"/>
  <c r="D6"/>
  <c r="F6" s="1"/>
  <c r="D7"/>
  <c r="F7" s="1"/>
  <c r="F95"/>
  <c r="F96"/>
  <c r="F97"/>
  <c r="F98"/>
  <c r="D89"/>
  <c r="F89" s="1"/>
  <c r="D90"/>
  <c r="F90" s="1"/>
  <c r="D91"/>
  <c r="F91" s="1"/>
  <c r="D92"/>
  <c r="F92" s="1"/>
  <c r="D93"/>
  <c r="F93" s="1"/>
  <c r="D75"/>
  <c r="F75" s="1"/>
  <c r="D76"/>
  <c r="F76" s="1"/>
  <c r="D77"/>
  <c r="F77" s="1"/>
  <c r="D55"/>
  <c r="F55" s="1"/>
  <c r="D56"/>
  <c r="F56" s="1"/>
  <c r="D57"/>
  <c r="F57" s="1"/>
  <c r="D58"/>
  <c r="F58" s="1"/>
  <c r="D59"/>
  <c r="F59" s="1"/>
  <c r="D60"/>
  <c r="F60" s="1"/>
  <c r="D40" i="12"/>
  <c r="F40" s="1"/>
  <c r="D41"/>
  <c r="F41" s="1"/>
  <c r="D42"/>
  <c r="F42" s="1"/>
  <c r="D15"/>
  <c r="F15" s="1"/>
  <c r="D16"/>
  <c r="F16" s="1"/>
  <c r="D17"/>
  <c r="F17" s="1"/>
  <c r="D18"/>
  <c r="F18" s="1"/>
  <c r="D19"/>
  <c r="F19" s="1"/>
  <c r="D33"/>
  <c r="F33" s="1"/>
  <c r="D34"/>
  <c r="F34" s="1"/>
  <c r="D35"/>
  <c r="F35" s="1"/>
  <c r="D36"/>
  <c r="F36" s="1"/>
  <c r="D37"/>
  <c r="F37" s="1"/>
  <c r="D38"/>
  <c r="F38" s="1"/>
  <c r="D21"/>
  <c r="F21" s="1"/>
  <c r="D22"/>
  <c r="F22" s="1"/>
  <c r="D23"/>
  <c r="F23" s="1"/>
  <c r="D24"/>
  <c r="F24" s="1"/>
  <c r="D25"/>
  <c r="F25" s="1"/>
  <c r="D8"/>
  <c r="F8" s="1"/>
  <c r="D9"/>
  <c r="F9" s="1"/>
  <c r="D10"/>
  <c r="F10" s="1"/>
  <c r="D11"/>
  <c r="F11" s="1"/>
  <c r="D12"/>
  <c r="F12" s="1"/>
  <c r="D13"/>
  <c r="F13" s="1"/>
  <c r="D25" i="31"/>
  <c r="F25" s="1"/>
  <c r="D26"/>
  <c r="F26" s="1"/>
  <c r="D27"/>
  <c r="F27" s="1"/>
  <c r="D28"/>
  <c r="F28" s="1"/>
  <c r="D29"/>
  <c r="F29" s="1"/>
  <c r="D13"/>
  <c r="F13" s="1"/>
  <c r="D14"/>
  <c r="F14" s="1"/>
  <c r="D15"/>
  <c r="F15" s="1"/>
  <c r="D16"/>
  <c r="F16" s="1"/>
  <c r="D17"/>
  <c r="F17" s="1"/>
  <c r="D4"/>
  <c r="F4" s="1"/>
  <c r="D5"/>
  <c r="F5" s="1"/>
  <c r="D6"/>
  <c r="F6" s="1"/>
  <c r="D8"/>
  <c r="F8" s="1"/>
  <c r="D9"/>
  <c r="F9" s="1"/>
  <c r="D10"/>
  <c r="F10" s="1"/>
  <c r="D11"/>
  <c r="F11" s="1"/>
  <c r="D31"/>
  <c r="F31" s="1"/>
  <c r="D32"/>
  <c r="F32" s="1"/>
  <c r="D33"/>
  <c r="F33" s="1"/>
  <c r="D37" i="8"/>
  <c r="F37" s="1"/>
  <c r="D38"/>
  <c r="F38" s="1"/>
  <c r="D39"/>
  <c r="F39" s="1"/>
  <c r="D40"/>
  <c r="F40" s="1"/>
  <c r="D41"/>
  <c r="F41" s="1"/>
  <c r="D54"/>
  <c r="F54" s="1"/>
  <c r="D55"/>
  <c r="F55" s="1"/>
  <c r="D56"/>
  <c r="F56" s="1"/>
  <c r="D57"/>
  <c r="F57" s="1"/>
  <c r="D58"/>
  <c r="F58" s="1"/>
  <c r="C52" i="25"/>
  <c r="C51"/>
  <c r="C50"/>
  <c r="B49"/>
  <c r="A49"/>
  <c r="C49"/>
  <c r="A66"/>
  <c r="B66"/>
  <c r="C70"/>
  <c r="C69"/>
  <c r="C68"/>
  <c r="C67"/>
  <c r="C66"/>
  <c r="C29"/>
  <c r="C28"/>
  <c r="C27"/>
  <c r="C26"/>
  <c r="C25"/>
  <c r="A24"/>
  <c r="B24"/>
  <c r="C24"/>
  <c r="C4"/>
  <c r="C3"/>
  <c r="A3"/>
  <c r="B3"/>
  <c r="C23"/>
  <c r="C22"/>
  <c r="C21"/>
  <c r="C20"/>
  <c r="C19"/>
  <c r="C18"/>
  <c r="C17"/>
  <c r="C37"/>
  <c r="C36"/>
  <c r="C35"/>
  <c r="C34"/>
  <c r="C33"/>
  <c r="C32"/>
  <c r="C31"/>
  <c r="C6" i="26"/>
  <c r="C5"/>
  <c r="C4"/>
  <c r="C3"/>
  <c r="A3"/>
  <c r="B3"/>
  <c r="D208" i="23"/>
  <c r="G208" s="1"/>
  <c r="D206"/>
  <c r="G206" s="1"/>
  <c r="D207"/>
  <c r="G207" s="1"/>
  <c r="A208"/>
  <c r="B208"/>
  <c r="C208"/>
  <c r="C207"/>
  <c r="B207"/>
  <c r="A207"/>
  <c r="C206"/>
  <c r="A206"/>
  <c r="B206"/>
  <c r="C3"/>
  <c r="C52"/>
  <c r="C51"/>
  <c r="C50"/>
  <c r="C49"/>
  <c r="C48"/>
  <c r="C47"/>
  <c r="A26"/>
  <c r="B26"/>
  <c r="C31"/>
  <c r="C30"/>
  <c r="C29"/>
  <c r="C28"/>
  <c r="C27"/>
  <c r="C26"/>
  <c r="B10"/>
  <c r="A10"/>
  <c r="C17"/>
  <c r="C16"/>
  <c r="C15"/>
  <c r="C14"/>
  <c r="C13"/>
  <c r="C12"/>
  <c r="C11"/>
  <c r="C10"/>
  <c r="C24"/>
  <c r="C23"/>
  <c r="C22"/>
  <c r="C21"/>
  <c r="C20"/>
  <c r="C19"/>
  <c r="C18"/>
  <c r="A18"/>
  <c r="B18"/>
  <c r="A3"/>
  <c r="B3"/>
  <c r="C9"/>
  <c r="C8"/>
  <c r="C7"/>
  <c r="C6"/>
  <c r="C5"/>
  <c r="C4"/>
  <c r="C16" i="22"/>
  <c r="C15"/>
  <c r="C14"/>
  <c r="C13"/>
  <c r="C12"/>
  <c r="A11"/>
  <c r="D84"/>
  <c r="G84" s="1"/>
  <c r="D85"/>
  <c r="G85" s="1"/>
  <c r="D86"/>
  <c r="G86" s="1"/>
  <c r="D162" i="21"/>
  <c r="G162" s="1"/>
  <c r="C162"/>
  <c r="A86" i="22"/>
  <c r="B86"/>
  <c r="C86"/>
  <c r="C85"/>
  <c r="B85"/>
  <c r="A85"/>
  <c r="B84"/>
  <c r="A84"/>
  <c r="C84"/>
  <c r="D163" i="21"/>
  <c r="G163" s="1"/>
  <c r="D160"/>
  <c r="G160" s="1"/>
  <c r="D161"/>
  <c r="G161" s="1"/>
  <c r="A162"/>
  <c r="B162"/>
  <c r="A161"/>
  <c r="A160"/>
  <c r="C161"/>
  <c r="C160"/>
  <c r="B161"/>
  <c r="B160"/>
  <c r="C9"/>
  <c r="C8"/>
  <c r="C7"/>
  <c r="C6"/>
  <c r="C5"/>
  <c r="C4"/>
  <c r="C3"/>
  <c r="A3"/>
  <c r="B3"/>
  <c r="C9" i="20"/>
  <c r="C8"/>
  <c r="C7"/>
  <c r="C6"/>
  <c r="C5"/>
  <c r="C4"/>
  <c r="C3"/>
  <c r="A3"/>
  <c r="B3"/>
  <c r="C9" i="19"/>
  <c r="C8"/>
  <c r="C7"/>
  <c r="C6"/>
  <c r="C5"/>
  <c r="C3"/>
  <c r="B3"/>
  <c r="A3"/>
  <c r="C4"/>
  <c r="D142"/>
  <c r="G142" s="1"/>
  <c r="D144"/>
  <c r="F144" s="1"/>
  <c r="D145"/>
  <c r="F145" s="1"/>
  <c r="D146"/>
  <c r="F146" s="1"/>
  <c r="D147"/>
  <c r="F147" s="1"/>
  <c r="D148"/>
  <c r="F148" s="1"/>
  <c r="G155"/>
  <c r="D152"/>
  <c r="F152" s="1"/>
  <c r="D153"/>
  <c r="F153" s="1"/>
  <c r="D154"/>
  <c r="F154" s="1"/>
  <c r="A171" i="20"/>
  <c r="D170"/>
  <c r="G170" s="1"/>
  <c r="D193" i="18"/>
  <c r="G193" s="1"/>
  <c r="D191"/>
  <c r="G191" s="1"/>
  <c r="D192"/>
  <c r="G192" s="1"/>
  <c r="C193"/>
  <c r="A193"/>
  <c r="B193"/>
  <c r="B171" i="20"/>
  <c r="A170"/>
  <c r="B170"/>
  <c r="C170"/>
  <c r="C31"/>
  <c r="C30"/>
  <c r="D29"/>
  <c r="C29"/>
  <c r="D28"/>
  <c r="C28"/>
  <c r="D27"/>
  <c r="C27"/>
  <c r="C24"/>
  <c r="C23"/>
  <c r="C22"/>
  <c r="C21"/>
  <c r="C20"/>
  <c r="C19"/>
  <c r="D155" i="19"/>
  <c r="A155"/>
  <c r="B155"/>
  <c r="C155"/>
  <c r="A151"/>
  <c r="B151"/>
  <c r="C154"/>
  <c r="C153"/>
  <c r="C152"/>
  <c r="A142"/>
  <c r="B142"/>
  <c r="C142"/>
  <c r="C10" i="18"/>
  <c r="C9"/>
  <c r="C8"/>
  <c r="C7"/>
  <c r="C6"/>
  <c r="C5"/>
  <c r="D20" i="8"/>
  <c r="F20" s="1"/>
  <c r="D21"/>
  <c r="F21" s="1"/>
  <c r="D22"/>
  <c r="F22" s="1"/>
  <c r="D23"/>
  <c r="F23" s="1"/>
  <c r="D24"/>
  <c r="F24" s="1"/>
  <c r="D25"/>
  <c r="F25" s="1"/>
  <c r="D16" i="9"/>
  <c r="F16" s="1"/>
  <c r="D17"/>
  <c r="F17" s="1"/>
  <c r="D18"/>
  <c r="F18" s="1"/>
  <c r="D19"/>
  <c r="F19" s="1"/>
  <c r="D20"/>
  <c r="F20" s="1"/>
  <c r="D21"/>
  <c r="F21" s="1"/>
  <c r="C43" i="18"/>
  <c r="C42"/>
  <c r="C41"/>
  <c r="C40"/>
  <c r="C39"/>
  <c r="C38"/>
  <c r="C11" i="19"/>
  <c r="C17"/>
  <c r="C16"/>
  <c r="C15"/>
  <c r="C14"/>
  <c r="C13"/>
  <c r="C12"/>
  <c r="C192" i="18"/>
  <c r="B192"/>
  <c r="A192"/>
  <c r="C191"/>
  <c r="A191"/>
  <c r="B191"/>
  <c r="A213" i="11"/>
  <c r="B213"/>
  <c r="C216"/>
  <c r="C215"/>
  <c r="C214"/>
  <c r="C213"/>
  <c r="A208"/>
  <c r="A205"/>
  <c r="A199"/>
  <c r="B208"/>
  <c r="B205"/>
  <c r="B199"/>
  <c r="C212"/>
  <c r="C211"/>
  <c r="C210"/>
  <c r="C209"/>
  <c r="C208"/>
  <c r="C207"/>
  <c r="C206"/>
  <c r="C205"/>
  <c r="C204"/>
  <c r="C203"/>
  <c r="C202"/>
  <c r="C201"/>
  <c r="C200"/>
  <c r="C199"/>
  <c r="D110" i="17"/>
  <c r="F110" s="1"/>
  <c r="D111"/>
  <c r="F111" s="1"/>
  <c r="D112"/>
  <c r="F112" s="1"/>
  <c r="D113"/>
  <c r="F113" s="1"/>
  <c r="D114"/>
  <c r="F114" s="1"/>
  <c r="D116"/>
  <c r="F116" s="1"/>
  <c r="D117"/>
  <c r="F117" s="1"/>
  <c r="D118"/>
  <c r="F118" s="1"/>
  <c r="D119"/>
  <c r="F119" s="1"/>
  <c r="D120"/>
  <c r="F120" s="1"/>
  <c r="D121"/>
  <c r="F121" s="1"/>
  <c r="D138" i="16"/>
  <c r="D129" i="17" s="1"/>
  <c r="D123"/>
  <c r="F123" s="1"/>
  <c r="D124"/>
  <c r="F124" s="1"/>
  <c r="D125"/>
  <c r="F125" s="1"/>
  <c r="D126"/>
  <c r="F126" s="1"/>
  <c r="D127"/>
  <c r="F127" s="1"/>
  <c r="D128"/>
  <c r="F128" s="1"/>
  <c r="A122"/>
  <c r="B122"/>
  <c r="C128"/>
  <c r="C127"/>
  <c r="C126"/>
  <c r="C125"/>
  <c r="C124"/>
  <c r="C123"/>
  <c r="C122"/>
  <c r="A129"/>
  <c r="B129"/>
  <c r="C129"/>
  <c r="D119" i="16"/>
  <c r="F119" s="1"/>
  <c r="D120"/>
  <c r="F120" s="1"/>
  <c r="D121"/>
  <c r="F121" s="1"/>
  <c r="D122"/>
  <c r="F122" s="1"/>
  <c r="D123"/>
  <c r="F123" s="1"/>
  <c r="D125"/>
  <c r="F125" s="1"/>
  <c r="D126"/>
  <c r="F126" s="1"/>
  <c r="D127"/>
  <c r="F127" s="1"/>
  <c r="D128"/>
  <c r="F128" s="1"/>
  <c r="D129"/>
  <c r="F129" s="1"/>
  <c r="D130"/>
  <c r="F130" s="1"/>
  <c r="D132"/>
  <c r="F132" s="1"/>
  <c r="D133"/>
  <c r="F133" s="1"/>
  <c r="D134"/>
  <c r="F134" s="1"/>
  <c r="D135"/>
  <c r="F135" s="1"/>
  <c r="D136"/>
  <c r="F136" s="1"/>
  <c r="D137"/>
  <c r="F137" s="1"/>
  <c r="A138"/>
  <c r="B138"/>
  <c r="C138"/>
  <c r="A131"/>
  <c r="B131"/>
  <c r="C137"/>
  <c r="C136"/>
  <c r="C135"/>
  <c r="C134"/>
  <c r="C133"/>
  <c r="C132"/>
  <c r="C131"/>
  <c r="A147" i="10"/>
  <c r="B147"/>
  <c r="C151"/>
  <c r="C150"/>
  <c r="C149"/>
  <c r="C148"/>
  <c r="C147"/>
  <c r="D139" i="9"/>
  <c r="F139" s="1"/>
  <c r="D140"/>
  <c r="F140" s="1"/>
  <c r="D141"/>
  <c r="F141" s="1"/>
  <c r="D142"/>
  <c r="F142" s="1"/>
  <c r="D143"/>
  <c r="F143" s="1"/>
  <c r="A141" i="10"/>
  <c r="B141"/>
  <c r="C146"/>
  <c r="C145"/>
  <c r="C144"/>
  <c r="C143"/>
  <c r="C142"/>
  <c r="C141"/>
  <c r="C139"/>
  <c r="D145" i="9"/>
  <c r="F145" s="1"/>
  <c r="D146"/>
  <c r="F146" s="1"/>
  <c r="D147"/>
  <c r="F147" s="1"/>
  <c r="D148"/>
  <c r="F148" s="1"/>
  <c r="D133"/>
  <c r="F133" s="1"/>
  <c r="D134"/>
  <c r="F134" s="1"/>
  <c r="D135"/>
  <c r="F135" s="1"/>
  <c r="D136"/>
  <c r="F136" s="1"/>
  <c r="D137"/>
  <c r="G137" s="1"/>
  <c r="D118"/>
  <c r="F118" s="1"/>
  <c r="D119"/>
  <c r="F119" s="1"/>
  <c r="D120"/>
  <c r="F120" s="1"/>
  <c r="D149"/>
  <c r="G149" s="1"/>
  <c r="D101"/>
  <c r="G101" s="1"/>
  <c r="D113"/>
  <c r="F113" s="1"/>
  <c r="D114"/>
  <c r="F114" s="1"/>
  <c r="D115"/>
  <c r="F115" s="1"/>
  <c r="D116"/>
  <c r="F116" s="1"/>
  <c r="D122"/>
  <c r="F122" s="1"/>
  <c r="D123"/>
  <c r="F123" s="1"/>
  <c r="D124"/>
  <c r="F124" s="1"/>
  <c r="D111"/>
  <c r="D106"/>
  <c r="G125"/>
  <c r="A144"/>
  <c r="A138"/>
  <c r="B144"/>
  <c r="C148"/>
  <c r="C147"/>
  <c r="C146"/>
  <c r="C145"/>
  <c r="C144"/>
  <c r="C143"/>
  <c r="C142"/>
  <c r="C141"/>
  <c r="C140"/>
  <c r="C139"/>
  <c r="B138"/>
  <c r="C138"/>
  <c r="D86" i="8"/>
  <c r="F86" s="1"/>
  <c r="D87"/>
  <c r="F87" s="1"/>
  <c r="D88"/>
  <c r="F88" s="1"/>
  <c r="D90"/>
  <c r="F90" s="1"/>
  <c r="D91"/>
  <c r="F91" s="1"/>
  <c r="D92"/>
  <c r="F92" s="1"/>
  <c r="D9"/>
  <c r="F9" s="1"/>
  <c r="D10"/>
  <c r="F10" s="1"/>
  <c r="D11"/>
  <c r="F11" s="1"/>
  <c r="A58" i="24"/>
  <c r="A53"/>
  <c r="A49"/>
  <c r="B58"/>
  <c r="B53"/>
  <c r="B49"/>
  <c r="C62"/>
  <c r="C61"/>
  <c r="C60"/>
  <c r="C59"/>
  <c r="C58"/>
  <c r="C57"/>
  <c r="C56"/>
  <c r="C55"/>
  <c r="C54"/>
  <c r="C53"/>
  <c r="C52"/>
  <c r="C51"/>
  <c r="C50"/>
  <c r="C49"/>
  <c r="A70"/>
  <c r="B70"/>
  <c r="C74"/>
  <c r="C73"/>
  <c r="C72"/>
  <c r="C71"/>
  <c r="C70"/>
  <c r="C69"/>
  <c r="C68"/>
  <c r="C67"/>
  <c r="C66"/>
  <c r="C65"/>
  <c r="C64"/>
  <c r="A63"/>
  <c r="B63"/>
  <c r="C63"/>
  <c r="A41"/>
  <c r="A35"/>
  <c r="B41"/>
  <c r="B35"/>
  <c r="C43"/>
  <c r="C42"/>
  <c r="C41"/>
  <c r="C40"/>
  <c r="C39"/>
  <c r="C38"/>
  <c r="C37"/>
  <c r="C36"/>
  <c r="C35"/>
  <c r="C179" i="25"/>
  <c r="C178"/>
  <c r="C177"/>
  <c r="C176"/>
  <c r="C175"/>
  <c r="A175"/>
  <c r="B175"/>
  <c r="C186"/>
  <c r="C185"/>
  <c r="C184"/>
  <c r="C183"/>
  <c r="C182"/>
  <c r="C181"/>
  <c r="C180"/>
  <c r="A180"/>
  <c r="B180"/>
  <c r="A169"/>
  <c r="B169"/>
  <c r="C174"/>
  <c r="C173"/>
  <c r="C172"/>
  <c r="C171"/>
  <c r="C170"/>
  <c r="C169"/>
  <c r="C181" i="23"/>
  <c r="C180"/>
  <c r="C179"/>
  <c r="C178"/>
  <c r="C177"/>
  <c r="C176"/>
  <c r="C175"/>
  <c r="A175"/>
  <c r="B175"/>
  <c r="A172"/>
  <c r="B172"/>
  <c r="C174"/>
  <c r="C173"/>
  <c r="C172"/>
  <c r="C171"/>
  <c r="C170"/>
  <c r="C169"/>
  <c r="C168"/>
  <c r="C167"/>
  <c r="A166"/>
  <c r="B166"/>
  <c r="C166"/>
  <c r="A194"/>
  <c r="A187"/>
  <c r="B194"/>
  <c r="B187"/>
  <c r="A188" i="18"/>
  <c r="B188"/>
  <c r="C188"/>
  <c r="A140" i="19"/>
  <c r="B140"/>
  <c r="C140"/>
  <c r="C168" i="20"/>
  <c r="A168"/>
  <c r="B168"/>
  <c r="A199" i="23"/>
  <c r="B199"/>
  <c r="C199"/>
  <c r="C198"/>
  <c r="C197"/>
  <c r="C196"/>
  <c r="C195"/>
  <c r="C194"/>
  <c r="C193"/>
  <c r="C192"/>
  <c r="C191"/>
  <c r="C190"/>
  <c r="C189"/>
  <c r="C188"/>
  <c r="C187"/>
  <c r="C81" i="22"/>
  <c r="A81"/>
  <c r="B81"/>
  <c r="C146" i="21"/>
  <c r="A146"/>
  <c r="B146"/>
  <c r="A143"/>
  <c r="C145"/>
  <c r="C144"/>
  <c r="C143"/>
  <c r="A147"/>
  <c r="B147"/>
  <c r="C158"/>
  <c r="C157"/>
  <c r="C156"/>
  <c r="C155"/>
  <c r="C154"/>
  <c r="C153"/>
  <c r="C152"/>
  <c r="C151"/>
  <c r="C150"/>
  <c r="C149"/>
  <c r="C148"/>
  <c r="A154"/>
  <c r="B154"/>
  <c r="C147"/>
  <c r="B143"/>
  <c r="A153" i="20"/>
  <c r="B153"/>
  <c r="A147"/>
  <c r="B147"/>
  <c r="C155"/>
  <c r="C154"/>
  <c r="C153"/>
  <c r="C152"/>
  <c r="C151"/>
  <c r="C150"/>
  <c r="C149"/>
  <c r="C148"/>
  <c r="C147"/>
  <c r="A156"/>
  <c r="B156"/>
  <c r="C167"/>
  <c r="C166"/>
  <c r="C165"/>
  <c r="C164"/>
  <c r="C163"/>
  <c r="C162"/>
  <c r="C161"/>
  <c r="C160"/>
  <c r="C159"/>
  <c r="C158"/>
  <c r="C157"/>
  <c r="A163"/>
  <c r="B163"/>
  <c r="C156"/>
  <c r="C139" i="19"/>
  <c r="C138"/>
  <c r="C137"/>
  <c r="C136"/>
  <c r="C135"/>
  <c r="C134"/>
  <c r="C133"/>
  <c r="C132"/>
  <c r="C131"/>
  <c r="C130"/>
  <c r="C129"/>
  <c r="A135"/>
  <c r="B135"/>
  <c r="A128"/>
  <c r="B128"/>
  <c r="C128"/>
  <c r="B183" i="18"/>
  <c r="C187"/>
  <c r="C186"/>
  <c r="C185"/>
  <c r="C184"/>
  <c r="C183"/>
  <c r="A176"/>
  <c r="C182"/>
  <c r="C181"/>
  <c r="C180"/>
  <c r="C179"/>
  <c r="C178"/>
  <c r="C177"/>
  <c r="C176"/>
  <c r="B176"/>
  <c r="C175"/>
  <c r="C174"/>
  <c r="C173"/>
  <c r="C172"/>
  <c r="C171"/>
  <c r="C170"/>
  <c r="C169"/>
  <c r="C168"/>
  <c r="A173"/>
  <c r="B173"/>
  <c r="A167"/>
  <c r="B167"/>
  <c r="C167"/>
  <c r="A139" i="15"/>
  <c r="B139"/>
  <c r="C141"/>
  <c r="C140"/>
  <c r="C139"/>
  <c r="C138"/>
  <c r="C137"/>
  <c r="C136"/>
  <c r="C135"/>
  <c r="C134"/>
  <c r="A133"/>
  <c r="B133"/>
  <c r="C133"/>
  <c r="A100" i="17"/>
  <c r="B100"/>
  <c r="C105"/>
  <c r="C104"/>
  <c r="C103"/>
  <c r="C102"/>
  <c r="C101"/>
  <c r="C100"/>
  <c r="A111" i="16"/>
  <c r="B111"/>
  <c r="C113"/>
  <c r="C112"/>
  <c r="C111"/>
  <c r="C110"/>
  <c r="C109"/>
  <c r="C108"/>
  <c r="C107"/>
  <c r="C106"/>
  <c r="A105"/>
  <c r="B105"/>
  <c r="C105"/>
  <c r="B116" i="13"/>
  <c r="C147" i="11"/>
  <c r="C146"/>
  <c r="C145"/>
  <c r="C144"/>
  <c r="C143"/>
  <c r="C142"/>
  <c r="C67" i="22"/>
  <c r="D117" i="21"/>
  <c r="F117" s="1"/>
  <c r="C117"/>
  <c r="D78" i="20"/>
  <c r="F78" s="1"/>
  <c r="D77"/>
  <c r="F77" s="1"/>
  <c r="C78"/>
  <c r="C77"/>
  <c r="D80" i="19"/>
  <c r="F80" s="1"/>
  <c r="C80"/>
  <c r="D120" i="18"/>
  <c r="F120" s="1"/>
  <c r="C120"/>
  <c r="D71" i="15"/>
  <c r="F71" s="1"/>
  <c r="C71"/>
  <c r="D41" i="17"/>
  <c r="F41" s="1"/>
  <c r="C41"/>
  <c r="C43" i="16"/>
  <c r="D43" i="13"/>
  <c r="F43" s="1"/>
  <c r="C43"/>
  <c r="C72" i="11"/>
  <c r="C46" i="10"/>
  <c r="D27" i="26"/>
  <c r="G27" s="1"/>
  <c r="D21" i="16"/>
  <c r="F21" s="1"/>
  <c r="D22"/>
  <c r="F22" s="1"/>
  <c r="D72" i="13"/>
  <c r="F72" s="1"/>
  <c r="D73"/>
  <c r="F73" s="1"/>
  <c r="D74"/>
  <c r="F74" s="1"/>
  <c r="D75"/>
  <c r="F75" s="1"/>
  <c r="D76"/>
  <c r="F76" s="1"/>
  <c r="D77"/>
  <c r="F77" s="1"/>
  <c r="D43" i="9"/>
  <c r="F43" s="1"/>
  <c r="D44"/>
  <c r="F44" s="1"/>
  <c r="D45"/>
  <c r="F45" s="1"/>
  <c r="D46"/>
  <c r="F46" s="1"/>
  <c r="D47"/>
  <c r="F47" s="1"/>
  <c r="D172" i="20"/>
  <c r="G172" s="1"/>
  <c r="C112" i="14"/>
  <c r="C111"/>
  <c r="C110"/>
  <c r="C109"/>
  <c r="C108"/>
  <c r="C107"/>
  <c r="C106"/>
  <c r="B106"/>
  <c r="A106"/>
  <c r="D110" i="13"/>
  <c r="D109"/>
  <c r="F109" s="1"/>
  <c r="D108"/>
  <c r="F108" s="1"/>
  <c r="D107"/>
  <c r="F107" s="1"/>
  <c r="D106"/>
  <c r="F106" s="1"/>
  <c r="C110"/>
  <c r="C109"/>
  <c r="C108"/>
  <c r="C107"/>
  <c r="C106"/>
  <c r="C105"/>
  <c r="C104"/>
  <c r="B104"/>
  <c r="A104"/>
  <c r="C141" i="11"/>
  <c r="B141"/>
  <c r="A141"/>
  <c r="A31" i="27"/>
  <c r="B31"/>
  <c r="C35"/>
  <c r="C34"/>
  <c r="C33"/>
  <c r="C32"/>
  <c r="C31"/>
  <c r="C30"/>
  <c r="C29"/>
  <c r="C28"/>
  <c r="A27"/>
  <c r="B27"/>
  <c r="C27"/>
  <c r="A40"/>
  <c r="A47"/>
  <c r="A53"/>
  <c r="A52"/>
  <c r="B53"/>
  <c r="B52"/>
  <c r="B47"/>
  <c r="B40"/>
  <c r="C51"/>
  <c r="C50"/>
  <c r="C49"/>
  <c r="C46"/>
  <c r="C45"/>
  <c r="C44"/>
  <c r="C43"/>
  <c r="C42"/>
  <c r="C53"/>
  <c r="C52"/>
  <c r="C48"/>
  <c r="C47"/>
  <c r="C41"/>
  <c r="C40"/>
  <c r="A36"/>
  <c r="B36"/>
  <c r="C39"/>
  <c r="C38"/>
  <c r="C37"/>
  <c r="C36"/>
  <c r="D62" i="17"/>
  <c r="F62" s="1"/>
  <c r="D143" i="25"/>
  <c r="F143" s="1"/>
  <c r="D145"/>
  <c r="F145" s="1"/>
  <c r="C145"/>
  <c r="D144"/>
  <c r="F144" s="1"/>
  <c r="C144"/>
  <c r="C143"/>
  <c r="D142"/>
  <c r="F142" s="1"/>
  <c r="C142"/>
  <c r="D139" i="23"/>
  <c r="F139" s="1"/>
  <c r="D143"/>
  <c r="F143" s="1"/>
  <c r="C143"/>
  <c r="D142"/>
  <c r="F142" s="1"/>
  <c r="C142"/>
  <c r="D141"/>
  <c r="F141" s="1"/>
  <c r="C141"/>
  <c r="D140"/>
  <c r="F140" s="1"/>
  <c r="C140"/>
  <c r="C139"/>
  <c r="D125" i="21"/>
  <c r="F125" s="1"/>
  <c r="D128"/>
  <c r="F128" s="1"/>
  <c r="C128"/>
  <c r="D127"/>
  <c r="F127" s="1"/>
  <c r="C127"/>
  <c r="D126"/>
  <c r="F126" s="1"/>
  <c r="C126"/>
  <c r="C125"/>
  <c r="D124"/>
  <c r="F124" s="1"/>
  <c r="C124"/>
  <c r="D119" i="20"/>
  <c r="F119" s="1"/>
  <c r="D122"/>
  <c r="F122" s="1"/>
  <c r="C122"/>
  <c r="D121"/>
  <c r="F121" s="1"/>
  <c r="C121"/>
  <c r="D120"/>
  <c r="F120" s="1"/>
  <c r="C120"/>
  <c r="C119"/>
  <c r="D150" i="18"/>
  <c r="F150" s="1"/>
  <c r="C150"/>
  <c r="D149"/>
  <c r="F149" s="1"/>
  <c r="C149"/>
  <c r="D148"/>
  <c r="F148" s="1"/>
  <c r="C148"/>
  <c r="D147"/>
  <c r="F147" s="1"/>
  <c r="C147"/>
  <c r="D73" i="14"/>
  <c r="F73" s="1"/>
  <c r="D76"/>
  <c r="F76" s="1"/>
  <c r="C76"/>
  <c r="D75"/>
  <c r="F75" s="1"/>
  <c r="C75"/>
  <c r="D74"/>
  <c r="F74" s="1"/>
  <c r="C74"/>
  <c r="C73"/>
  <c r="D82" i="13"/>
  <c r="F82" s="1"/>
  <c r="D84"/>
  <c r="F84" s="1"/>
  <c r="C84"/>
  <c r="D83"/>
  <c r="F83" s="1"/>
  <c r="C83"/>
  <c r="C82"/>
  <c r="D81"/>
  <c r="F81" s="1"/>
  <c r="C81"/>
  <c r="D106" i="11"/>
  <c r="F106" s="1"/>
  <c r="D107"/>
  <c r="F107" s="1"/>
  <c r="C107"/>
  <c r="C106"/>
  <c r="D105"/>
  <c r="F105" s="1"/>
  <c r="C105"/>
  <c r="D104"/>
  <c r="F104" s="1"/>
  <c r="C104"/>
  <c r="D103"/>
  <c r="F103" s="1"/>
  <c r="C103"/>
  <c r="D65" i="9"/>
  <c r="F65" s="1"/>
  <c r="D67"/>
  <c r="F67" s="1"/>
  <c r="C67"/>
  <c r="D66"/>
  <c r="F66" s="1"/>
  <c r="C66"/>
  <c r="C65"/>
  <c r="D64"/>
  <c r="F64" s="1"/>
  <c r="C64"/>
  <c r="D63"/>
  <c r="F63" s="1"/>
  <c r="C63"/>
  <c r="C126" i="25"/>
  <c r="C125"/>
  <c r="C124"/>
  <c r="C123"/>
  <c r="C122"/>
  <c r="C119" i="23"/>
  <c r="C118"/>
  <c r="C117"/>
  <c r="C116"/>
  <c r="C115"/>
  <c r="C115" i="21"/>
  <c r="C114"/>
  <c r="C113"/>
  <c r="C112"/>
  <c r="C111"/>
  <c r="C75" i="20"/>
  <c r="C74"/>
  <c r="C73"/>
  <c r="C72"/>
  <c r="C71"/>
  <c r="C78" i="19"/>
  <c r="C77"/>
  <c r="C76"/>
  <c r="C75"/>
  <c r="C74"/>
  <c r="C118" i="18"/>
  <c r="C117"/>
  <c r="C116"/>
  <c r="C115"/>
  <c r="C114"/>
  <c r="C69" i="15"/>
  <c r="C68"/>
  <c r="C67"/>
  <c r="C66"/>
  <c r="C39" i="17"/>
  <c r="C38"/>
  <c r="C37"/>
  <c r="C36"/>
  <c r="C35"/>
  <c r="C41" i="16"/>
  <c r="C40"/>
  <c r="C39"/>
  <c r="C38"/>
  <c r="C37"/>
  <c r="C70" i="11"/>
  <c r="C69"/>
  <c r="C68"/>
  <c r="C67"/>
  <c r="C66"/>
  <c r="C44" i="10"/>
  <c r="C43"/>
  <c r="C42"/>
  <c r="C41"/>
  <c r="C40"/>
  <c r="D131" i="9"/>
  <c r="C131"/>
  <c r="D130"/>
  <c r="C130"/>
  <c r="D129"/>
  <c r="C129"/>
  <c r="D128"/>
  <c r="C128"/>
  <c r="D127"/>
  <c r="C127"/>
  <c r="C13" i="12"/>
  <c r="C12"/>
  <c r="C11"/>
  <c r="C10"/>
  <c r="C9"/>
  <c r="C73" i="11"/>
  <c r="B7" i="31"/>
  <c r="C89" i="14"/>
  <c r="C115" i="25"/>
  <c r="C104" i="23"/>
  <c r="C49" i="9"/>
  <c r="C26" i="27"/>
  <c r="B26"/>
  <c r="A26"/>
  <c r="G131" i="10"/>
  <c r="B103" i="15"/>
  <c r="A103"/>
  <c r="B56" i="17"/>
  <c r="A56"/>
  <c r="B66" i="16"/>
  <c r="A66"/>
  <c r="B63" i="14"/>
  <c r="A63"/>
  <c r="C77" i="13"/>
  <c r="C76"/>
  <c r="C75"/>
  <c r="C74"/>
  <c r="C73"/>
  <c r="C72"/>
  <c r="B71"/>
  <c r="A71"/>
  <c r="C100" i="11"/>
  <c r="C99"/>
  <c r="C98"/>
  <c r="C97"/>
  <c r="C96"/>
  <c r="C95"/>
  <c r="B94"/>
  <c r="A94"/>
  <c r="C68" i="10"/>
  <c r="C67"/>
  <c r="C66"/>
  <c r="C65"/>
  <c r="C64"/>
  <c r="C63"/>
  <c r="B62"/>
  <c r="A62"/>
  <c r="C115" i="20"/>
  <c r="C114"/>
  <c r="C113"/>
  <c r="C112"/>
  <c r="C111"/>
  <c r="C110"/>
  <c r="B109"/>
  <c r="A109"/>
  <c r="C113" i="19"/>
  <c r="C112"/>
  <c r="C111"/>
  <c r="C110"/>
  <c r="C109"/>
  <c r="C108"/>
  <c r="B107"/>
  <c r="A107"/>
  <c r="C143" i="18"/>
  <c r="C142"/>
  <c r="C141"/>
  <c r="C140"/>
  <c r="C139"/>
  <c r="C138"/>
  <c r="B137"/>
  <c r="A137"/>
  <c r="B54" i="9"/>
  <c r="A54"/>
  <c r="C62" i="17"/>
  <c r="C61"/>
  <c r="C60"/>
  <c r="C59"/>
  <c r="C58"/>
  <c r="C57"/>
  <c r="C56"/>
  <c r="C28" i="14"/>
  <c r="C27"/>
  <c r="C26"/>
  <c r="C25"/>
  <c r="D34" i="24"/>
  <c r="F34" s="1"/>
  <c r="D33"/>
  <c r="F33" s="1"/>
  <c r="D32"/>
  <c r="F32" s="1"/>
  <c r="D20"/>
  <c r="D19"/>
  <c r="D18"/>
  <c r="D116" i="25"/>
  <c r="D141"/>
  <c r="F141" s="1"/>
  <c r="D140"/>
  <c r="F140" s="1"/>
  <c r="D138" i="23"/>
  <c r="F138" s="1"/>
  <c r="D108" i="21"/>
  <c r="F108" s="1"/>
  <c r="D107"/>
  <c r="F107" s="1"/>
  <c r="D123"/>
  <c r="F123" s="1"/>
  <c r="D34"/>
  <c r="F34" s="1"/>
  <c r="D33"/>
  <c r="F33" s="1"/>
  <c r="C109" i="20"/>
  <c r="D133"/>
  <c r="G133" s="1"/>
  <c r="D118"/>
  <c r="F118" s="1"/>
  <c r="D117"/>
  <c r="F117" s="1"/>
  <c r="D128"/>
  <c r="F128" s="1"/>
  <c r="D127"/>
  <c r="F127" s="1"/>
  <c r="D126"/>
  <c r="F126" s="1"/>
  <c r="D125"/>
  <c r="F125" s="1"/>
  <c r="D124"/>
  <c r="F124" s="1"/>
  <c r="D67"/>
  <c r="D35"/>
  <c r="D34"/>
  <c r="D33"/>
  <c r="F41"/>
  <c r="D40"/>
  <c r="F40" s="1"/>
  <c r="D39"/>
  <c r="F39" s="1"/>
  <c r="D38"/>
  <c r="F38" s="1"/>
  <c r="C107" i="19"/>
  <c r="D98"/>
  <c r="D35"/>
  <c r="D34"/>
  <c r="D33"/>
  <c r="F48"/>
  <c r="D47"/>
  <c r="F47" s="1"/>
  <c r="D46"/>
  <c r="F46" s="1"/>
  <c r="D45"/>
  <c r="F45" s="1"/>
  <c r="C137" i="18"/>
  <c r="D105"/>
  <c r="F105" s="1"/>
  <c r="D104"/>
  <c r="F104" s="1"/>
  <c r="D158"/>
  <c r="F158" s="1"/>
  <c r="D157"/>
  <c r="F157" s="1"/>
  <c r="D156"/>
  <c r="F156" s="1"/>
  <c r="D146"/>
  <c r="F146" s="1"/>
  <c r="D145"/>
  <c r="F145" s="1"/>
  <c r="D47"/>
  <c r="D46"/>
  <c r="D45"/>
  <c r="D63"/>
  <c r="F63" s="1"/>
  <c r="D62"/>
  <c r="F62" s="1"/>
  <c r="D61"/>
  <c r="F61" s="1"/>
  <c r="D27"/>
  <c r="F27" s="1"/>
  <c r="D26"/>
  <c r="F26" s="1"/>
  <c r="C109" i="15"/>
  <c r="C108"/>
  <c r="C107"/>
  <c r="C106"/>
  <c r="C105"/>
  <c r="C104"/>
  <c r="C103"/>
  <c r="G144"/>
  <c r="D117"/>
  <c r="F117" s="1"/>
  <c r="D116"/>
  <c r="F116" s="1"/>
  <c r="D115"/>
  <c r="F115" s="1"/>
  <c r="D23"/>
  <c r="F23" s="1"/>
  <c r="D22"/>
  <c r="F22" s="1"/>
  <c r="D21"/>
  <c r="F21" s="1"/>
  <c r="D76" i="17"/>
  <c r="F76" s="1"/>
  <c r="D75"/>
  <c r="F75" s="1"/>
  <c r="D74"/>
  <c r="F74" s="1"/>
  <c r="D73"/>
  <c r="F73" s="1"/>
  <c r="D72"/>
  <c r="F72" s="1"/>
  <c r="D70"/>
  <c r="F70" s="1"/>
  <c r="D69"/>
  <c r="F69" s="1"/>
  <c r="D68"/>
  <c r="F68" s="1"/>
  <c r="D6"/>
  <c r="D5"/>
  <c r="D4"/>
  <c r="C72" i="16"/>
  <c r="C71"/>
  <c r="C70"/>
  <c r="C69"/>
  <c r="C68"/>
  <c r="C67"/>
  <c r="C66"/>
  <c r="D80"/>
  <c r="F80" s="1"/>
  <c r="D79"/>
  <c r="F79" s="1"/>
  <c r="D78"/>
  <c r="F78" s="1"/>
  <c r="D12"/>
  <c r="D11"/>
  <c r="D10"/>
  <c r="C69" i="14"/>
  <c r="C68"/>
  <c r="C67"/>
  <c r="C66"/>
  <c r="C65"/>
  <c r="C64"/>
  <c r="C63"/>
  <c r="D72"/>
  <c r="F72" s="1"/>
  <c r="D71"/>
  <c r="F71" s="1"/>
  <c r="C71" i="13"/>
  <c r="D80"/>
  <c r="F80" s="1"/>
  <c r="D79"/>
  <c r="F79" s="1"/>
  <c r="C94" i="11"/>
  <c r="D57"/>
  <c r="F57" s="1"/>
  <c r="D56"/>
  <c r="F56" s="1"/>
  <c r="D102"/>
  <c r="F102" s="1"/>
  <c r="C62" i="10"/>
  <c r="D84"/>
  <c r="F84" s="1"/>
  <c r="D83"/>
  <c r="F83" s="1"/>
  <c r="D82"/>
  <c r="F82" s="1"/>
  <c r="D81"/>
  <c r="F81" s="1"/>
  <c r="D74"/>
  <c r="F74" s="1"/>
  <c r="D73"/>
  <c r="F73" s="1"/>
  <c r="D72"/>
  <c r="F72" s="1"/>
  <c r="D71"/>
  <c r="F71" s="1"/>
  <c r="D70"/>
  <c r="F70" s="1"/>
  <c r="C60" i="9"/>
  <c r="C59"/>
  <c r="C58"/>
  <c r="C57"/>
  <c r="C56"/>
  <c r="C55"/>
  <c r="C54"/>
  <c r="D126"/>
  <c r="D110"/>
  <c r="D109"/>
  <c r="D108"/>
  <c r="D105"/>
  <c r="D104"/>
  <c r="D103"/>
  <c r="D87"/>
  <c r="F87" s="1"/>
  <c r="D86"/>
  <c r="F86" s="1"/>
  <c r="D85"/>
  <c r="F85" s="1"/>
  <c r="D62"/>
  <c r="F62" s="1"/>
  <c r="D73"/>
  <c r="F73" s="1"/>
  <c r="D72"/>
  <c r="F72" s="1"/>
  <c r="D71"/>
  <c r="F71" s="1"/>
  <c r="D70"/>
  <c r="F70" s="1"/>
  <c r="D69"/>
  <c r="F69" s="1"/>
  <c r="A32" i="12"/>
  <c r="B32"/>
  <c r="C38"/>
  <c r="C37"/>
  <c r="C36"/>
  <c r="C35"/>
  <c r="C34"/>
  <c r="C33"/>
  <c r="C32"/>
  <c r="D70"/>
  <c r="D55"/>
  <c r="F55" s="1"/>
  <c r="D54"/>
  <c r="F54" s="1"/>
  <c r="D53"/>
  <c r="F53" s="1"/>
  <c r="D29" i="8"/>
  <c r="F29" s="1"/>
  <c r="D28"/>
  <c r="F28" s="1"/>
  <c r="D27"/>
  <c r="F27" s="1"/>
  <c r="D61"/>
  <c r="F61" s="1"/>
  <c r="B75" i="21"/>
  <c r="C38" i="20"/>
  <c r="C41"/>
  <c r="C40"/>
  <c r="C39"/>
  <c r="C37"/>
  <c r="A37"/>
  <c r="B37"/>
  <c r="B195" i="18"/>
  <c r="B194"/>
  <c r="B151" i="15"/>
  <c r="B150"/>
  <c r="B149"/>
  <c r="B148"/>
  <c r="B147"/>
  <c r="B146"/>
  <c r="B130" i="17"/>
  <c r="B139" i="16"/>
  <c r="B71" i="12"/>
  <c r="A3" i="24"/>
  <c r="A3" i="12"/>
  <c r="B3"/>
  <c r="C3"/>
  <c r="C4"/>
  <c r="C5"/>
  <c r="C6"/>
  <c r="C108" i="21"/>
  <c r="C107"/>
  <c r="C106"/>
  <c r="C105" i="18"/>
  <c r="C104"/>
  <c r="C103"/>
  <c r="C57" i="11"/>
  <c r="C56"/>
  <c r="C106" i="9"/>
  <c r="C105"/>
  <c r="C104"/>
  <c r="C103"/>
  <c r="C102"/>
  <c r="A102"/>
  <c r="B102"/>
  <c r="C111"/>
  <c r="C110"/>
  <c r="C109"/>
  <c r="C108"/>
  <c r="C107"/>
  <c r="A107"/>
  <c r="B107"/>
  <c r="C83" i="24"/>
  <c r="B83"/>
  <c r="A83"/>
  <c r="C82"/>
  <c r="B82"/>
  <c r="A82"/>
  <c r="B80"/>
  <c r="A80"/>
  <c r="B78"/>
  <c r="A78"/>
  <c r="C75"/>
  <c r="C26"/>
  <c r="C34"/>
  <c r="C33"/>
  <c r="C32"/>
  <c r="C31"/>
  <c r="B31"/>
  <c r="A31"/>
  <c r="C21"/>
  <c r="C20"/>
  <c r="C19"/>
  <c r="C18"/>
  <c r="C17"/>
  <c r="B17"/>
  <c r="A17"/>
  <c r="C30"/>
  <c r="C29"/>
  <c r="C28"/>
  <c r="C27"/>
  <c r="B27"/>
  <c r="A27"/>
  <c r="C15"/>
  <c r="C14"/>
  <c r="C13"/>
  <c r="C12"/>
  <c r="C11"/>
  <c r="C10"/>
  <c r="C9"/>
  <c r="B9"/>
  <c r="A9"/>
  <c r="C16"/>
  <c r="B16"/>
  <c r="A16"/>
  <c r="C8"/>
  <c r="C7"/>
  <c r="C114" i="25"/>
  <c r="B114"/>
  <c r="A114"/>
  <c r="C107"/>
  <c r="C103"/>
  <c r="C102"/>
  <c r="C101"/>
  <c r="C100"/>
  <c r="B100"/>
  <c r="A100"/>
  <c r="C90"/>
  <c r="C89"/>
  <c r="C88"/>
  <c r="C87"/>
  <c r="C86"/>
  <c r="B86"/>
  <c r="A86"/>
  <c r="C93"/>
  <c r="C92"/>
  <c r="C91"/>
  <c r="B91"/>
  <c r="A91"/>
  <c r="C85"/>
  <c r="C84"/>
  <c r="C83"/>
  <c r="C82"/>
  <c r="C81"/>
  <c r="C80"/>
  <c r="C79"/>
  <c r="C78"/>
  <c r="C77"/>
  <c r="B77"/>
  <c r="A77"/>
  <c r="C155"/>
  <c r="C154"/>
  <c r="C153"/>
  <c r="C152"/>
  <c r="B152"/>
  <c r="A152"/>
  <c r="C150"/>
  <c r="C149"/>
  <c r="C148"/>
  <c r="C147"/>
  <c r="C146"/>
  <c r="B146"/>
  <c r="A146"/>
  <c r="C168"/>
  <c r="C167"/>
  <c r="C166"/>
  <c r="C165"/>
  <c r="B165"/>
  <c r="A165"/>
  <c r="C132"/>
  <c r="C121"/>
  <c r="C120"/>
  <c r="B120"/>
  <c r="A120"/>
  <c r="C75"/>
  <c r="C58"/>
  <c r="C57"/>
  <c r="C56"/>
  <c r="C55"/>
  <c r="C54"/>
  <c r="B54"/>
  <c r="A54"/>
  <c r="C65"/>
  <c r="C64"/>
  <c r="C63"/>
  <c r="C62"/>
  <c r="C61"/>
  <c r="C60"/>
  <c r="C59"/>
  <c r="B59"/>
  <c r="A59"/>
  <c r="C53"/>
  <c r="B53"/>
  <c r="A53"/>
  <c r="C46"/>
  <c r="C21" i="26"/>
  <c r="B21"/>
  <c r="A21"/>
  <c r="C13"/>
  <c r="C11"/>
  <c r="C10"/>
  <c r="C9"/>
  <c r="C8"/>
  <c r="B8"/>
  <c r="A8"/>
  <c r="C27"/>
  <c r="B27"/>
  <c r="A27"/>
  <c r="C23" i="27"/>
  <c r="B23"/>
  <c r="A23"/>
  <c r="C24"/>
  <c r="B24"/>
  <c r="A24"/>
  <c r="C15"/>
  <c r="C14"/>
  <c r="C13"/>
  <c r="C12"/>
  <c r="C11"/>
  <c r="C10"/>
  <c r="C9"/>
  <c r="B9"/>
  <c r="A9"/>
  <c r="C8"/>
  <c r="C7"/>
  <c r="B210" i="23"/>
  <c r="C204"/>
  <c r="B204"/>
  <c r="A204"/>
  <c r="C112"/>
  <c r="C102"/>
  <c r="B102"/>
  <c r="A102"/>
  <c r="C95"/>
  <c r="C88"/>
  <c r="C87"/>
  <c r="C86"/>
  <c r="C85"/>
  <c r="C84"/>
  <c r="C83"/>
  <c r="B83"/>
  <c r="A83"/>
  <c r="C76"/>
  <c r="C75"/>
  <c r="C74"/>
  <c r="B74"/>
  <c r="A74"/>
  <c r="C165"/>
  <c r="C164"/>
  <c r="C163"/>
  <c r="C162"/>
  <c r="B162"/>
  <c r="A162"/>
  <c r="C148"/>
  <c r="B148"/>
  <c r="A148"/>
  <c r="C161"/>
  <c r="C160"/>
  <c r="C159"/>
  <c r="C158"/>
  <c r="B158"/>
  <c r="A158"/>
  <c r="C136"/>
  <c r="C126"/>
  <c r="B126"/>
  <c r="A126"/>
  <c r="C114"/>
  <c r="C113"/>
  <c r="B113"/>
  <c r="A113"/>
  <c r="C66"/>
  <c r="C61"/>
  <c r="B61"/>
  <c r="A61"/>
  <c r="C60"/>
  <c r="C59"/>
  <c r="C58"/>
  <c r="C57"/>
  <c r="C56"/>
  <c r="C55"/>
  <c r="C54"/>
  <c r="B54"/>
  <c r="A54"/>
  <c r="C44"/>
  <c r="C43"/>
  <c r="C42"/>
  <c r="C41"/>
  <c r="C40"/>
  <c r="C39"/>
  <c r="C38"/>
  <c r="B38"/>
  <c r="A38"/>
  <c r="C37"/>
  <c r="C36"/>
  <c r="C61" i="22"/>
  <c r="B61"/>
  <c r="A61"/>
  <c r="C56"/>
  <c r="C46"/>
  <c r="C45"/>
  <c r="C44"/>
  <c r="C43"/>
  <c r="B43"/>
  <c r="A43"/>
  <c r="C39"/>
  <c r="C38"/>
  <c r="C37"/>
  <c r="B37"/>
  <c r="A37"/>
  <c r="C36"/>
  <c r="C35"/>
  <c r="C34"/>
  <c r="C33"/>
  <c r="B33"/>
  <c r="A33"/>
  <c r="C32"/>
  <c r="C31"/>
  <c r="C30"/>
  <c r="C29"/>
  <c r="C28"/>
  <c r="C27"/>
  <c r="C26"/>
  <c r="C25"/>
  <c r="C24"/>
  <c r="B24"/>
  <c r="A24"/>
  <c r="C163" i="21"/>
  <c r="B163"/>
  <c r="A163"/>
  <c r="C99"/>
  <c r="C98"/>
  <c r="C97"/>
  <c r="C96"/>
  <c r="B96"/>
  <c r="A96"/>
  <c r="C79"/>
  <c r="C78"/>
  <c r="C77"/>
  <c r="C76"/>
  <c r="C75"/>
  <c r="A75"/>
  <c r="C89"/>
  <c r="C88"/>
  <c r="C87"/>
  <c r="B87"/>
  <c r="A87"/>
  <c r="C86"/>
  <c r="C85"/>
  <c r="C84"/>
  <c r="B84"/>
  <c r="A84"/>
  <c r="C83"/>
  <c r="C82"/>
  <c r="C81"/>
  <c r="C80"/>
  <c r="B80"/>
  <c r="A80"/>
  <c r="C74"/>
  <c r="C73"/>
  <c r="C72"/>
  <c r="C71"/>
  <c r="C70"/>
  <c r="C69"/>
  <c r="C68"/>
  <c r="C67"/>
  <c r="C66"/>
  <c r="B66"/>
  <c r="A66"/>
  <c r="C136"/>
  <c r="C135"/>
  <c r="C134"/>
  <c r="C133"/>
  <c r="B133"/>
  <c r="A133"/>
  <c r="C110"/>
  <c r="C109"/>
  <c r="B109"/>
  <c r="A109"/>
  <c r="C59"/>
  <c r="B59"/>
  <c r="A59"/>
  <c r="C56"/>
  <c r="C31"/>
  <c r="C47"/>
  <c r="C46"/>
  <c r="C45"/>
  <c r="C44"/>
  <c r="C43"/>
  <c r="C42"/>
  <c r="C41"/>
  <c r="B41"/>
  <c r="A41"/>
  <c r="B48"/>
  <c r="A48"/>
  <c r="C40"/>
  <c r="C39"/>
  <c r="C172" i="20"/>
  <c r="B172"/>
  <c r="A172"/>
  <c r="C61"/>
  <c r="B61"/>
  <c r="A61"/>
  <c r="C60"/>
  <c r="C59"/>
  <c r="C58"/>
  <c r="C57"/>
  <c r="B57"/>
  <c r="A57"/>
  <c r="C56"/>
  <c r="C55"/>
  <c r="C54"/>
  <c r="C53"/>
  <c r="C52"/>
  <c r="C51"/>
  <c r="C50"/>
  <c r="C49"/>
  <c r="C48"/>
  <c r="B48"/>
  <c r="A48"/>
  <c r="C141"/>
  <c r="C140"/>
  <c r="C139"/>
  <c r="C138"/>
  <c r="B138"/>
  <c r="A138"/>
  <c r="C133"/>
  <c r="B133"/>
  <c r="A133"/>
  <c r="C127"/>
  <c r="C98"/>
  <c r="C88"/>
  <c r="B88"/>
  <c r="A88"/>
  <c r="C70"/>
  <c r="C69"/>
  <c r="B69"/>
  <c r="A69"/>
  <c r="C47"/>
  <c r="C36"/>
  <c r="C35"/>
  <c r="C34"/>
  <c r="C33"/>
  <c r="C32"/>
  <c r="B32"/>
  <c r="A32"/>
  <c r="C16"/>
  <c r="C15"/>
  <c r="C14"/>
  <c r="C13"/>
  <c r="C12"/>
  <c r="C11"/>
  <c r="C10"/>
  <c r="B10"/>
  <c r="A10"/>
  <c r="C148" i="19"/>
  <c r="C147"/>
  <c r="C64"/>
  <c r="B64"/>
  <c r="A64"/>
  <c r="C122"/>
  <c r="C121"/>
  <c r="C120"/>
  <c r="C119"/>
  <c r="B119"/>
  <c r="A119"/>
  <c r="C118"/>
  <c r="B118"/>
  <c r="A118"/>
  <c r="C96"/>
  <c r="C73"/>
  <c r="C72"/>
  <c r="B72"/>
  <c r="A72"/>
  <c r="C53"/>
  <c r="C36"/>
  <c r="C35"/>
  <c r="C34"/>
  <c r="C33"/>
  <c r="C32"/>
  <c r="B32"/>
  <c r="A32"/>
  <c r="C43"/>
  <c r="C42"/>
  <c r="C41"/>
  <c r="C40"/>
  <c r="C39"/>
  <c r="C38"/>
  <c r="C37"/>
  <c r="B37"/>
  <c r="A37"/>
  <c r="C48"/>
  <c r="C47"/>
  <c r="C46"/>
  <c r="C44"/>
  <c r="B44"/>
  <c r="A44"/>
  <c r="C96" i="18"/>
  <c r="C95"/>
  <c r="C94"/>
  <c r="C93"/>
  <c r="B93"/>
  <c r="A93"/>
  <c r="C92"/>
  <c r="C91"/>
  <c r="C90"/>
  <c r="B90"/>
  <c r="A90"/>
  <c r="C84"/>
  <c r="C83"/>
  <c r="C82"/>
  <c r="C81"/>
  <c r="C80"/>
  <c r="C79"/>
  <c r="C78"/>
  <c r="C77"/>
  <c r="C76"/>
  <c r="B76"/>
  <c r="A76"/>
  <c r="C166"/>
  <c r="C165"/>
  <c r="C164"/>
  <c r="C163"/>
  <c r="B163"/>
  <c r="A163"/>
  <c r="C157"/>
  <c r="C125"/>
  <c r="B125"/>
  <c r="A125"/>
  <c r="C113"/>
  <c r="C112"/>
  <c r="B112"/>
  <c r="A112"/>
  <c r="C70"/>
  <c r="C52"/>
  <c r="C51"/>
  <c r="C50"/>
  <c r="C49"/>
  <c r="B49"/>
  <c r="A49"/>
  <c r="C47"/>
  <c r="C46"/>
  <c r="C45"/>
  <c r="C44"/>
  <c r="B44"/>
  <c r="A44"/>
  <c r="C65"/>
  <c r="B65"/>
  <c r="A65"/>
  <c r="C59"/>
  <c r="C58"/>
  <c r="C57"/>
  <c r="C56"/>
  <c r="C55"/>
  <c r="C54"/>
  <c r="C53"/>
  <c r="B53"/>
  <c r="A53"/>
  <c r="C64"/>
  <c r="C63"/>
  <c r="C62"/>
  <c r="C61"/>
  <c r="C60"/>
  <c r="B60"/>
  <c r="A60"/>
  <c r="C24"/>
  <c r="C12"/>
  <c r="C34"/>
  <c r="C33"/>
  <c r="C32"/>
  <c r="C31"/>
  <c r="C30"/>
  <c r="C29"/>
  <c r="C28"/>
  <c r="B28"/>
  <c r="A28"/>
  <c r="C35"/>
  <c r="B35"/>
  <c r="A35"/>
  <c r="C144" i="15"/>
  <c r="B144"/>
  <c r="A144"/>
  <c r="C143"/>
  <c r="B143"/>
  <c r="A143"/>
  <c r="C54"/>
  <c r="C53"/>
  <c r="C52"/>
  <c r="C51"/>
  <c r="B51"/>
  <c r="A51"/>
  <c r="C44"/>
  <c r="C43"/>
  <c r="C42"/>
  <c r="B42"/>
  <c r="A42"/>
  <c r="C132"/>
  <c r="C131"/>
  <c r="C130"/>
  <c r="C129"/>
  <c r="B129"/>
  <c r="A129"/>
  <c r="C123"/>
  <c r="C122"/>
  <c r="C121"/>
  <c r="C120"/>
  <c r="C119"/>
  <c r="C118"/>
  <c r="B118"/>
  <c r="A118"/>
  <c r="C116"/>
  <c r="C92"/>
  <c r="C82"/>
  <c r="B82"/>
  <c r="A82"/>
  <c r="C65"/>
  <c r="C64"/>
  <c r="C63"/>
  <c r="B63"/>
  <c r="A63"/>
  <c r="C30"/>
  <c r="C12"/>
  <c r="C11"/>
  <c r="C10"/>
  <c r="C9"/>
  <c r="B9"/>
  <c r="A9"/>
  <c r="C25"/>
  <c r="B25"/>
  <c r="A25"/>
  <c r="C19"/>
  <c r="C18"/>
  <c r="C17"/>
  <c r="C16"/>
  <c r="C15"/>
  <c r="C14"/>
  <c r="C13"/>
  <c r="B13"/>
  <c r="A13"/>
  <c r="C24"/>
  <c r="C23"/>
  <c r="C22"/>
  <c r="C21"/>
  <c r="C20"/>
  <c r="B20"/>
  <c r="A20"/>
  <c r="C121" i="17"/>
  <c r="C120"/>
  <c r="C119"/>
  <c r="C118"/>
  <c r="C117"/>
  <c r="C116"/>
  <c r="C115"/>
  <c r="B115"/>
  <c r="A115"/>
  <c r="C114"/>
  <c r="C113"/>
  <c r="C99"/>
  <c r="C98"/>
  <c r="C97"/>
  <c r="C96"/>
  <c r="B96"/>
  <c r="A96"/>
  <c r="C76"/>
  <c r="C75"/>
  <c r="C74"/>
  <c r="C73"/>
  <c r="C72"/>
  <c r="C71"/>
  <c r="B71"/>
  <c r="A71"/>
  <c r="C82"/>
  <c r="C81"/>
  <c r="C80"/>
  <c r="C79"/>
  <c r="C78"/>
  <c r="C77"/>
  <c r="B77"/>
  <c r="A77"/>
  <c r="C95"/>
  <c r="C94"/>
  <c r="C93"/>
  <c r="C92"/>
  <c r="B92"/>
  <c r="A92"/>
  <c r="C69"/>
  <c r="C51"/>
  <c r="C34"/>
  <c r="C33"/>
  <c r="B33"/>
  <c r="A33"/>
  <c r="C25"/>
  <c r="C7"/>
  <c r="C6"/>
  <c r="C5"/>
  <c r="C4"/>
  <c r="C3"/>
  <c r="B3"/>
  <c r="A3"/>
  <c r="C20"/>
  <c r="B20"/>
  <c r="A20"/>
  <c r="C14"/>
  <c r="C13"/>
  <c r="C12"/>
  <c r="C11"/>
  <c r="C10"/>
  <c r="C9"/>
  <c r="C8"/>
  <c r="B8"/>
  <c r="A8"/>
  <c r="C19"/>
  <c r="C18"/>
  <c r="C17"/>
  <c r="C16"/>
  <c r="C15"/>
  <c r="B15"/>
  <c r="A15"/>
  <c r="C130" i="16"/>
  <c r="C129"/>
  <c r="C128"/>
  <c r="C127"/>
  <c r="C126"/>
  <c r="C125"/>
  <c r="C124"/>
  <c r="B124"/>
  <c r="A124"/>
  <c r="C123"/>
  <c r="C122"/>
  <c r="C116"/>
  <c r="B116"/>
  <c r="A116"/>
  <c r="B115"/>
  <c r="A115"/>
  <c r="C104"/>
  <c r="C103"/>
  <c r="C102"/>
  <c r="C101"/>
  <c r="B101"/>
  <c r="A101"/>
  <c r="C86"/>
  <c r="C85"/>
  <c r="C84"/>
  <c r="C83"/>
  <c r="C82"/>
  <c r="C81"/>
  <c r="B81"/>
  <c r="A81"/>
  <c r="C92"/>
  <c r="C91"/>
  <c r="C90"/>
  <c r="C89"/>
  <c r="C88"/>
  <c r="C87"/>
  <c r="B87"/>
  <c r="A87"/>
  <c r="C100"/>
  <c r="C99"/>
  <c r="C98"/>
  <c r="C97"/>
  <c r="B97"/>
  <c r="A97"/>
  <c r="C79"/>
  <c r="C65"/>
  <c r="C52"/>
  <c r="C36"/>
  <c r="C35"/>
  <c r="B35"/>
  <c r="A35"/>
  <c r="C28"/>
  <c r="C17"/>
  <c r="C16"/>
  <c r="C15"/>
  <c r="B14"/>
  <c r="A14"/>
  <c r="C13"/>
  <c r="C12"/>
  <c r="C11"/>
  <c r="C10"/>
  <c r="C9"/>
  <c r="B9"/>
  <c r="A9"/>
  <c r="C23"/>
  <c r="B23"/>
  <c r="A23"/>
  <c r="C22"/>
  <c r="C21"/>
  <c r="C20"/>
  <c r="C19"/>
  <c r="C18"/>
  <c r="B18"/>
  <c r="A18"/>
  <c r="C36" i="14"/>
  <c r="C32"/>
  <c r="C31"/>
  <c r="C30"/>
  <c r="C29"/>
  <c r="B29"/>
  <c r="A29"/>
  <c r="C100"/>
  <c r="C99"/>
  <c r="C98"/>
  <c r="C97"/>
  <c r="B97"/>
  <c r="A97"/>
  <c r="C90"/>
  <c r="C88"/>
  <c r="C87"/>
  <c r="B87"/>
  <c r="A87"/>
  <c r="C86"/>
  <c r="C85"/>
  <c r="C84"/>
  <c r="C83"/>
  <c r="C82"/>
  <c r="C81"/>
  <c r="B81"/>
  <c r="A81"/>
  <c r="C96"/>
  <c r="C95"/>
  <c r="C94"/>
  <c r="C93"/>
  <c r="C92"/>
  <c r="C91"/>
  <c r="B91"/>
  <c r="A91"/>
  <c r="C62"/>
  <c r="C52"/>
  <c r="B52"/>
  <c r="A52"/>
  <c r="C22"/>
  <c r="C17"/>
  <c r="B17"/>
  <c r="A17"/>
  <c r="C16"/>
  <c r="C15"/>
  <c r="C14"/>
  <c r="C13"/>
  <c r="C12"/>
  <c r="C11"/>
  <c r="C10"/>
  <c r="B10"/>
  <c r="A10"/>
  <c r="C9"/>
  <c r="C8"/>
  <c r="C7"/>
  <c r="C6"/>
  <c r="C5"/>
  <c r="C4"/>
  <c r="C3"/>
  <c r="B3"/>
  <c r="A3"/>
  <c r="A117" i="13"/>
  <c r="C33"/>
  <c r="C30"/>
  <c r="C29"/>
  <c r="C28"/>
  <c r="C27"/>
  <c r="C26"/>
  <c r="C25"/>
  <c r="B25"/>
  <c r="A25"/>
  <c r="C24"/>
  <c r="C23"/>
  <c r="C22"/>
  <c r="C21"/>
  <c r="C20"/>
  <c r="C19"/>
  <c r="C18"/>
  <c r="C17"/>
  <c r="C16"/>
  <c r="B16"/>
  <c r="A16"/>
  <c r="C98"/>
  <c r="C97"/>
  <c r="C96"/>
  <c r="C95"/>
  <c r="B95"/>
  <c r="A95"/>
  <c r="C94"/>
  <c r="C93"/>
  <c r="C92"/>
  <c r="C91"/>
  <c r="B91"/>
  <c r="A91"/>
  <c r="C90"/>
  <c r="C89"/>
  <c r="C88"/>
  <c r="C87"/>
  <c r="C86"/>
  <c r="C85"/>
  <c r="B85"/>
  <c r="A85"/>
  <c r="C64"/>
  <c r="C54"/>
  <c r="B54"/>
  <c r="A54"/>
  <c r="C14"/>
  <c r="C9"/>
  <c r="C8"/>
  <c r="C7"/>
  <c r="C6"/>
  <c r="C5"/>
  <c r="C4"/>
  <c r="B3"/>
  <c r="A3"/>
  <c r="A217" i="11"/>
  <c r="C186"/>
  <c r="C185"/>
  <c r="C184"/>
  <c r="C183"/>
  <c r="B183"/>
  <c r="A183"/>
  <c r="C182"/>
  <c r="C181"/>
  <c r="C180"/>
  <c r="C179"/>
  <c r="B179"/>
  <c r="A179"/>
  <c r="C178"/>
  <c r="C177"/>
  <c r="C176"/>
  <c r="C175"/>
  <c r="C174"/>
  <c r="B174"/>
  <c r="A174"/>
  <c r="C193"/>
  <c r="B193"/>
  <c r="A193"/>
  <c r="C155"/>
  <c r="C154"/>
  <c r="C148"/>
  <c r="B148"/>
  <c r="A148"/>
  <c r="C60"/>
  <c r="C48"/>
  <c r="C47"/>
  <c r="C46"/>
  <c r="C45"/>
  <c r="B45"/>
  <c r="A45"/>
  <c r="C135"/>
  <c r="C134"/>
  <c r="C133"/>
  <c r="C132"/>
  <c r="B132"/>
  <c r="A132"/>
  <c r="C121"/>
  <c r="C120"/>
  <c r="C119"/>
  <c r="C118"/>
  <c r="B118"/>
  <c r="A118"/>
  <c r="C117"/>
  <c r="C116"/>
  <c r="C115"/>
  <c r="C114"/>
  <c r="C113"/>
  <c r="C112"/>
  <c r="B112"/>
  <c r="A112"/>
  <c r="C127"/>
  <c r="C126"/>
  <c r="C125"/>
  <c r="C124"/>
  <c r="C123"/>
  <c r="C122"/>
  <c r="B122"/>
  <c r="A122"/>
  <c r="C83"/>
  <c r="B83"/>
  <c r="A83"/>
  <c r="C65"/>
  <c r="C64"/>
  <c r="B64"/>
  <c r="A64"/>
  <c r="C38"/>
  <c r="C19"/>
  <c r="C18"/>
  <c r="C17"/>
  <c r="C16"/>
  <c r="B16"/>
  <c r="A16"/>
  <c r="C15"/>
  <c r="C14"/>
  <c r="C13"/>
  <c r="C12"/>
  <c r="C11"/>
  <c r="B11"/>
  <c r="A11"/>
  <c r="C33"/>
  <c r="C32"/>
  <c r="C31"/>
  <c r="C30"/>
  <c r="C29"/>
  <c r="C28"/>
  <c r="C27"/>
  <c r="B27"/>
  <c r="A27"/>
  <c r="C26"/>
  <c r="C25"/>
  <c r="C24"/>
  <c r="C23"/>
  <c r="C22"/>
  <c r="C21"/>
  <c r="C20"/>
  <c r="B20"/>
  <c r="A20"/>
  <c r="C4"/>
  <c r="A152" i="10"/>
  <c r="C140"/>
  <c r="C138"/>
  <c r="C137"/>
  <c r="B137"/>
  <c r="A137"/>
  <c r="C131"/>
  <c r="B131"/>
  <c r="A131"/>
  <c r="C130"/>
  <c r="C129"/>
  <c r="C128"/>
  <c r="C127"/>
  <c r="B127"/>
  <c r="A127"/>
  <c r="C126"/>
  <c r="C125"/>
  <c r="C124"/>
  <c r="C123"/>
  <c r="B123"/>
  <c r="A123"/>
  <c r="C122"/>
  <c r="C121"/>
  <c r="C120"/>
  <c r="C119"/>
  <c r="C118"/>
  <c r="B118"/>
  <c r="A118"/>
  <c r="C107"/>
  <c r="B107"/>
  <c r="A107"/>
  <c r="C33"/>
  <c r="C25"/>
  <c r="C24"/>
  <c r="C23"/>
  <c r="C22"/>
  <c r="B22"/>
  <c r="A22"/>
  <c r="C89"/>
  <c r="C88"/>
  <c r="C87"/>
  <c r="C86"/>
  <c r="B86"/>
  <c r="A86"/>
  <c r="C85"/>
  <c r="C84"/>
  <c r="C83"/>
  <c r="C82"/>
  <c r="C81"/>
  <c r="C80"/>
  <c r="B80"/>
  <c r="A80"/>
  <c r="C95"/>
  <c r="C94"/>
  <c r="C93"/>
  <c r="C92"/>
  <c r="C91"/>
  <c r="C90"/>
  <c r="B90"/>
  <c r="A90"/>
  <c r="C79"/>
  <c r="B79"/>
  <c r="A79"/>
  <c r="C61"/>
  <c r="C51"/>
  <c r="B51"/>
  <c r="A51"/>
  <c r="C39"/>
  <c r="C38"/>
  <c r="B38"/>
  <c r="A38"/>
  <c r="C7"/>
  <c r="C6"/>
  <c r="C5"/>
  <c r="C4"/>
  <c r="C3"/>
  <c r="B3"/>
  <c r="A3"/>
  <c r="C21"/>
  <c r="C20"/>
  <c r="C19"/>
  <c r="C18"/>
  <c r="C17"/>
  <c r="C16"/>
  <c r="C15"/>
  <c r="B15"/>
  <c r="A15"/>
  <c r="C14"/>
  <c r="C13"/>
  <c r="C12"/>
  <c r="C11"/>
  <c r="C10"/>
  <c r="C9"/>
  <c r="C8"/>
  <c r="B8"/>
  <c r="A8"/>
  <c r="C149" i="9"/>
  <c r="B149"/>
  <c r="A149"/>
  <c r="C137"/>
  <c r="B137"/>
  <c r="A137"/>
  <c r="C132"/>
  <c r="B132"/>
  <c r="A132"/>
  <c r="C126"/>
  <c r="C125"/>
  <c r="B125"/>
  <c r="A125"/>
  <c r="C124"/>
  <c r="C123"/>
  <c r="C122"/>
  <c r="C121"/>
  <c r="B121"/>
  <c r="A121"/>
  <c r="C120"/>
  <c r="C119"/>
  <c r="C118"/>
  <c r="C117"/>
  <c r="B117"/>
  <c r="A117"/>
  <c r="C116"/>
  <c r="C115"/>
  <c r="C114"/>
  <c r="C113"/>
  <c r="C112"/>
  <c r="B112"/>
  <c r="A112"/>
  <c r="C101"/>
  <c r="B101"/>
  <c r="A101"/>
  <c r="C25"/>
  <c r="C24"/>
  <c r="C23"/>
  <c r="C22"/>
  <c r="B22"/>
  <c r="A22"/>
  <c r="C87"/>
  <c r="C86"/>
  <c r="C85"/>
  <c r="C84"/>
  <c r="B84"/>
  <c r="A84"/>
  <c r="C83"/>
  <c r="C82"/>
  <c r="C81"/>
  <c r="C80"/>
  <c r="C79"/>
  <c r="C78"/>
  <c r="B78"/>
  <c r="A78"/>
  <c r="C93"/>
  <c r="C92"/>
  <c r="C90"/>
  <c r="C89"/>
  <c r="C88"/>
  <c r="B88"/>
  <c r="A88"/>
  <c r="C72"/>
  <c r="C47"/>
  <c r="C37"/>
  <c r="B37"/>
  <c r="A37"/>
  <c r="C6"/>
  <c r="C5"/>
  <c r="C4"/>
  <c r="C3"/>
  <c r="B3"/>
  <c r="A3"/>
  <c r="C21"/>
  <c r="C20"/>
  <c r="C19"/>
  <c r="C18"/>
  <c r="C17"/>
  <c r="C16"/>
  <c r="C15"/>
  <c r="B15"/>
  <c r="A15"/>
  <c r="C14"/>
  <c r="C13"/>
  <c r="C12"/>
  <c r="C11"/>
  <c r="C10"/>
  <c r="C9"/>
  <c r="C8"/>
  <c r="B8"/>
  <c r="A8"/>
  <c r="C69" i="12"/>
  <c r="C68"/>
  <c r="C67"/>
  <c r="C66"/>
  <c r="C65"/>
  <c r="C64"/>
  <c r="B64"/>
  <c r="A64"/>
  <c r="C70"/>
  <c r="B70"/>
  <c r="A70"/>
  <c r="C51"/>
  <c r="C50"/>
  <c r="C49"/>
  <c r="C48"/>
  <c r="B48"/>
  <c r="A48"/>
  <c r="C55"/>
  <c r="C54"/>
  <c r="C53"/>
  <c r="C52"/>
  <c r="B52"/>
  <c r="A52"/>
  <c r="C62"/>
  <c r="C61"/>
  <c r="C60"/>
  <c r="C59"/>
  <c r="C58"/>
  <c r="C57"/>
  <c r="C56"/>
  <c r="B56"/>
  <c r="A56"/>
  <c r="C42"/>
  <c r="C41"/>
  <c r="C40"/>
  <c r="C39"/>
  <c r="B39"/>
  <c r="A39"/>
  <c r="C25"/>
  <c r="C18"/>
  <c r="C8"/>
  <c r="C7"/>
  <c r="B7"/>
  <c r="A7"/>
  <c r="C14" i="31"/>
  <c r="C33"/>
  <c r="C32"/>
  <c r="C31"/>
  <c r="C30"/>
  <c r="B30"/>
  <c r="A30"/>
  <c r="C29"/>
  <c r="C28"/>
  <c r="C27"/>
  <c r="C26"/>
  <c r="C25"/>
  <c r="C24"/>
  <c r="B24"/>
  <c r="A24"/>
  <c r="C23"/>
  <c r="C11"/>
  <c r="C6"/>
  <c r="C5"/>
  <c r="C4"/>
  <c r="C3"/>
  <c r="B3"/>
  <c r="A3"/>
  <c r="C92" i="8"/>
  <c r="C91"/>
  <c r="C90"/>
  <c r="C89"/>
  <c r="B89"/>
  <c r="A89"/>
  <c r="C88"/>
  <c r="C87"/>
  <c r="C86"/>
  <c r="C85"/>
  <c r="B85"/>
  <c r="A85"/>
  <c r="C7"/>
  <c r="C6"/>
  <c r="C5"/>
  <c r="C3"/>
  <c r="B3"/>
  <c r="A3"/>
  <c r="C79"/>
  <c r="B79"/>
  <c r="A79"/>
  <c r="C32"/>
  <c r="C72"/>
  <c r="C71"/>
  <c r="C70"/>
  <c r="C69"/>
  <c r="B69"/>
  <c r="A69"/>
  <c r="C62"/>
  <c r="C61"/>
  <c r="C60"/>
  <c r="C59"/>
  <c r="B59"/>
  <c r="A59"/>
  <c r="C58"/>
  <c r="C57"/>
  <c r="C56"/>
  <c r="C55"/>
  <c r="C54"/>
  <c r="C53"/>
  <c r="B53"/>
  <c r="A53"/>
  <c r="C68"/>
  <c r="C67"/>
  <c r="C66"/>
  <c r="C65"/>
  <c r="C64"/>
  <c r="C63"/>
  <c r="B63"/>
  <c r="A63"/>
  <c r="C42"/>
  <c r="B42"/>
  <c r="A42"/>
  <c r="C11"/>
  <c r="C10"/>
  <c r="C9"/>
  <c r="C8"/>
  <c r="B8"/>
  <c r="A8"/>
  <c r="C25"/>
  <c r="C24"/>
  <c r="C23"/>
  <c r="C22"/>
  <c r="C21"/>
  <c r="C20"/>
  <c r="C19"/>
  <c r="B19"/>
  <c r="A19"/>
  <c r="C18"/>
  <c r="C17"/>
  <c r="C16"/>
  <c r="C15"/>
  <c r="C14"/>
  <c r="C13"/>
  <c r="C12"/>
  <c r="B12"/>
  <c r="A12"/>
  <c r="B3" i="24"/>
  <c r="C3"/>
  <c r="C4"/>
  <c r="C5"/>
  <c r="C6"/>
  <c r="A22"/>
  <c r="B22"/>
  <c r="C22"/>
  <c r="C23"/>
  <c r="C24"/>
  <c r="C25"/>
  <c r="A75"/>
  <c r="B75"/>
  <c r="A76"/>
  <c r="B76"/>
  <c r="C76"/>
  <c r="A77"/>
  <c r="B77"/>
  <c r="C77"/>
  <c r="C78"/>
  <c r="A79"/>
  <c r="B79"/>
  <c r="C80"/>
  <c r="A81"/>
  <c r="B81"/>
  <c r="A16" i="25"/>
  <c r="B16"/>
  <c r="C16"/>
  <c r="A10"/>
  <c r="B10"/>
  <c r="C10"/>
  <c r="C11"/>
  <c r="C12"/>
  <c r="C13"/>
  <c r="C14"/>
  <c r="C15"/>
  <c r="A30"/>
  <c r="B30"/>
  <c r="C30"/>
  <c r="A38"/>
  <c r="B38"/>
  <c r="C38"/>
  <c r="C39"/>
  <c r="A45"/>
  <c r="B45"/>
  <c r="C45"/>
  <c r="C47"/>
  <c r="C48"/>
  <c r="A71"/>
  <c r="B71"/>
  <c r="C71"/>
  <c r="C72"/>
  <c r="C73"/>
  <c r="C74"/>
  <c r="A127"/>
  <c r="B127"/>
  <c r="C127"/>
  <c r="C128"/>
  <c r="C129"/>
  <c r="C130"/>
  <c r="C131"/>
  <c r="A139"/>
  <c r="B139"/>
  <c r="C139"/>
  <c r="C140"/>
  <c r="C141"/>
  <c r="A133"/>
  <c r="B133"/>
  <c r="C133"/>
  <c r="C134"/>
  <c r="C135"/>
  <c r="C136"/>
  <c r="C137"/>
  <c r="C138"/>
  <c r="A94"/>
  <c r="B94"/>
  <c r="C94"/>
  <c r="C95"/>
  <c r="C96"/>
  <c r="C97"/>
  <c r="C98"/>
  <c r="C99"/>
  <c r="C104"/>
  <c r="A105"/>
  <c r="B105"/>
  <c r="C105"/>
  <c r="C106"/>
  <c r="C108"/>
  <c r="C109"/>
  <c r="C110"/>
  <c r="A111"/>
  <c r="B111"/>
  <c r="C111"/>
  <c r="C112"/>
  <c r="C113"/>
  <c r="C116"/>
  <c r="C117"/>
  <c r="C118"/>
  <c r="C119"/>
  <c r="C12" i="26"/>
  <c r="A14"/>
  <c r="B14"/>
  <c r="C14"/>
  <c r="C15"/>
  <c r="C16"/>
  <c r="C17"/>
  <c r="A18"/>
  <c r="B18"/>
  <c r="C18"/>
  <c r="C19"/>
  <c r="C20"/>
  <c r="C22"/>
  <c r="C23"/>
  <c r="C24"/>
  <c r="C25"/>
  <c r="C26"/>
  <c r="A3" i="27"/>
  <c r="B3"/>
  <c r="C3"/>
  <c r="C4"/>
  <c r="C5"/>
  <c r="C6"/>
  <c r="A16"/>
  <c r="B16"/>
  <c r="C16"/>
  <c r="C17"/>
  <c r="C18"/>
  <c r="C19"/>
  <c r="C20"/>
  <c r="C21"/>
  <c r="A25"/>
  <c r="B25"/>
  <c r="C25"/>
  <c r="A32" i="23"/>
  <c r="B32"/>
  <c r="C32"/>
  <c r="C33"/>
  <c r="C34"/>
  <c r="C35"/>
  <c r="A45"/>
  <c r="B45"/>
  <c r="C45"/>
  <c r="C46"/>
  <c r="A62"/>
  <c r="B62"/>
  <c r="C62"/>
  <c r="C63"/>
  <c r="C64"/>
  <c r="C65"/>
  <c r="A120"/>
  <c r="B120"/>
  <c r="C120"/>
  <c r="C121"/>
  <c r="C122"/>
  <c r="C123"/>
  <c r="C124"/>
  <c r="C125"/>
  <c r="C127"/>
  <c r="C128"/>
  <c r="C129"/>
  <c r="C130"/>
  <c r="A131"/>
  <c r="B131"/>
  <c r="C131"/>
  <c r="C132"/>
  <c r="C133"/>
  <c r="C134"/>
  <c r="C135"/>
  <c r="A137"/>
  <c r="B137"/>
  <c r="C137"/>
  <c r="C138"/>
  <c r="A144"/>
  <c r="B144"/>
  <c r="C144"/>
  <c r="C145"/>
  <c r="C146"/>
  <c r="C147"/>
  <c r="A77"/>
  <c r="B77"/>
  <c r="C77"/>
  <c r="C78"/>
  <c r="C79"/>
  <c r="C80"/>
  <c r="C81"/>
  <c r="C82"/>
  <c r="A89"/>
  <c r="B89"/>
  <c r="C89"/>
  <c r="C90"/>
  <c r="C91"/>
  <c r="C92"/>
  <c r="A93"/>
  <c r="B93"/>
  <c r="C93"/>
  <c r="C94"/>
  <c r="C96"/>
  <c r="C97"/>
  <c r="C98"/>
  <c r="A99"/>
  <c r="B99"/>
  <c r="C99"/>
  <c r="C100"/>
  <c r="C101"/>
  <c r="C103"/>
  <c r="C105"/>
  <c r="C106"/>
  <c r="C107"/>
  <c r="A108"/>
  <c r="B108"/>
  <c r="C108"/>
  <c r="C109"/>
  <c r="C110"/>
  <c r="C111"/>
  <c r="A201"/>
  <c r="B201"/>
  <c r="C201"/>
  <c r="B209"/>
  <c r="A66" i="22"/>
  <c r="B66"/>
  <c r="C66"/>
  <c r="C68"/>
  <c r="C69"/>
  <c r="C70"/>
  <c r="C71"/>
  <c r="C47"/>
  <c r="A48"/>
  <c r="B48"/>
  <c r="C48"/>
  <c r="C49"/>
  <c r="C50"/>
  <c r="C51"/>
  <c r="A52"/>
  <c r="B52"/>
  <c r="C52"/>
  <c r="C53"/>
  <c r="C54"/>
  <c r="C55"/>
  <c r="C57"/>
  <c r="A58"/>
  <c r="B58"/>
  <c r="C58"/>
  <c r="C59"/>
  <c r="C60"/>
  <c r="C62"/>
  <c r="C63"/>
  <c r="C64"/>
  <c r="C65"/>
  <c r="A35" i="21"/>
  <c r="B35"/>
  <c r="C35"/>
  <c r="C36"/>
  <c r="C37"/>
  <c r="C38"/>
  <c r="A18"/>
  <c r="B18"/>
  <c r="C18"/>
  <c r="A26"/>
  <c r="B26"/>
  <c r="C26"/>
  <c r="C27"/>
  <c r="C28"/>
  <c r="C29"/>
  <c r="C30"/>
  <c r="A32"/>
  <c r="B32"/>
  <c r="C32"/>
  <c r="C33"/>
  <c r="C34"/>
  <c r="A10"/>
  <c r="B10"/>
  <c r="C10"/>
  <c r="C11"/>
  <c r="A49"/>
  <c r="B49"/>
  <c r="C49"/>
  <c r="C50"/>
  <c r="C51"/>
  <c r="C52"/>
  <c r="C53"/>
  <c r="C54"/>
  <c r="A55"/>
  <c r="B55"/>
  <c r="C55"/>
  <c r="C57"/>
  <c r="C58"/>
  <c r="A116"/>
  <c r="B116"/>
  <c r="C116"/>
  <c r="C118"/>
  <c r="C119"/>
  <c r="C120"/>
  <c r="C121"/>
  <c r="A122"/>
  <c r="B122"/>
  <c r="C122"/>
  <c r="C123"/>
  <c r="A129"/>
  <c r="B129"/>
  <c r="C129"/>
  <c r="C130"/>
  <c r="C131"/>
  <c r="C132"/>
  <c r="A90"/>
  <c r="B90"/>
  <c r="C90"/>
  <c r="C91"/>
  <c r="C92"/>
  <c r="C93"/>
  <c r="C94"/>
  <c r="C95"/>
  <c r="C100"/>
  <c r="A101"/>
  <c r="B101"/>
  <c r="C101"/>
  <c r="C102"/>
  <c r="C103"/>
  <c r="C104"/>
  <c r="A105"/>
  <c r="B105"/>
  <c r="C105"/>
  <c r="A17" i="20"/>
  <c r="B17"/>
  <c r="C17"/>
  <c r="C18"/>
  <c r="A25"/>
  <c r="B25"/>
  <c r="C25"/>
  <c r="C26"/>
  <c r="A43"/>
  <c r="B43"/>
  <c r="C43"/>
  <c r="C44"/>
  <c r="C45"/>
  <c r="C46"/>
  <c r="A76"/>
  <c r="B76"/>
  <c r="C76"/>
  <c r="C79"/>
  <c r="C80"/>
  <c r="C81"/>
  <c r="A67"/>
  <c r="B67"/>
  <c r="C67"/>
  <c r="A68"/>
  <c r="B68"/>
  <c r="C68"/>
  <c r="A82"/>
  <c r="B82"/>
  <c r="C82"/>
  <c r="C83"/>
  <c r="C84"/>
  <c r="C85"/>
  <c r="C86"/>
  <c r="C87"/>
  <c r="C89"/>
  <c r="C90"/>
  <c r="C91"/>
  <c r="C92"/>
  <c r="A93"/>
  <c r="B93"/>
  <c r="C93"/>
  <c r="C94"/>
  <c r="C95"/>
  <c r="C96"/>
  <c r="C97"/>
  <c r="A99"/>
  <c r="B99"/>
  <c r="C99"/>
  <c r="C100"/>
  <c r="C101"/>
  <c r="C102"/>
  <c r="A123"/>
  <c r="B123"/>
  <c r="C123"/>
  <c r="C124"/>
  <c r="C125"/>
  <c r="C126"/>
  <c r="C128"/>
  <c r="A116"/>
  <c r="B116"/>
  <c r="C116"/>
  <c r="C117"/>
  <c r="C118"/>
  <c r="A103"/>
  <c r="B103"/>
  <c r="C103"/>
  <c r="C104"/>
  <c r="C105"/>
  <c r="C106"/>
  <c r="C107"/>
  <c r="C108"/>
  <c r="A129"/>
  <c r="B129"/>
  <c r="C129"/>
  <c r="C130"/>
  <c r="C131"/>
  <c r="C132"/>
  <c r="C62"/>
  <c r="C63"/>
  <c r="C64"/>
  <c r="C65"/>
  <c r="C66"/>
  <c r="A10" i="19"/>
  <c r="B10"/>
  <c r="C10"/>
  <c r="A18"/>
  <c r="B18"/>
  <c r="C18"/>
  <c r="C19"/>
  <c r="A25"/>
  <c r="B25"/>
  <c r="C25"/>
  <c r="C26"/>
  <c r="A49"/>
  <c r="B49"/>
  <c r="C49"/>
  <c r="C50"/>
  <c r="C51"/>
  <c r="C52"/>
  <c r="A79"/>
  <c r="B79"/>
  <c r="C79"/>
  <c r="C81"/>
  <c r="C82"/>
  <c r="C83"/>
  <c r="C84"/>
  <c r="A70"/>
  <c r="B70"/>
  <c r="C70"/>
  <c r="A71"/>
  <c r="B71"/>
  <c r="C71"/>
  <c r="A85"/>
  <c r="B85"/>
  <c r="C85"/>
  <c r="C86"/>
  <c r="C87"/>
  <c r="C88"/>
  <c r="C89"/>
  <c r="C90"/>
  <c r="A91"/>
  <c r="B91"/>
  <c r="C91"/>
  <c r="C92"/>
  <c r="C93"/>
  <c r="C94"/>
  <c r="C95"/>
  <c r="A97"/>
  <c r="B97"/>
  <c r="C97"/>
  <c r="C98"/>
  <c r="C99"/>
  <c r="C100"/>
  <c r="A101"/>
  <c r="B101"/>
  <c r="C101"/>
  <c r="C102"/>
  <c r="C103"/>
  <c r="C104"/>
  <c r="C105"/>
  <c r="C106"/>
  <c r="A114"/>
  <c r="B114"/>
  <c r="C114"/>
  <c r="C115"/>
  <c r="C116"/>
  <c r="C117"/>
  <c r="A59"/>
  <c r="B59"/>
  <c r="C59"/>
  <c r="C60"/>
  <c r="C61"/>
  <c r="C62"/>
  <c r="C63"/>
  <c r="C65"/>
  <c r="C66"/>
  <c r="C67"/>
  <c r="C68"/>
  <c r="C69"/>
  <c r="A143"/>
  <c r="B143"/>
  <c r="C143"/>
  <c r="C144"/>
  <c r="C145"/>
  <c r="C146"/>
  <c r="A11" i="18"/>
  <c r="B11"/>
  <c r="C11"/>
  <c r="A19"/>
  <c r="B19"/>
  <c r="C19"/>
  <c r="C20"/>
  <c r="C21"/>
  <c r="C22"/>
  <c r="C23"/>
  <c r="A25"/>
  <c r="B25"/>
  <c r="C25"/>
  <c r="C26"/>
  <c r="C27"/>
  <c r="A3"/>
  <c r="B3"/>
  <c r="C3"/>
  <c r="A36"/>
  <c r="B36"/>
  <c r="C37"/>
  <c r="A66"/>
  <c r="B66"/>
  <c r="C66"/>
  <c r="C67"/>
  <c r="C68"/>
  <c r="C69"/>
  <c r="A119"/>
  <c r="B119"/>
  <c r="C119"/>
  <c r="C121"/>
  <c r="C122"/>
  <c r="C123"/>
  <c r="C124"/>
  <c r="C126"/>
  <c r="C127"/>
  <c r="C128"/>
  <c r="A144"/>
  <c r="B144"/>
  <c r="C144"/>
  <c r="C145"/>
  <c r="C146"/>
  <c r="A155"/>
  <c r="B155"/>
  <c r="C155"/>
  <c r="C156"/>
  <c r="C158"/>
  <c r="A131"/>
  <c r="B131"/>
  <c r="C131"/>
  <c r="C132"/>
  <c r="C133"/>
  <c r="C134"/>
  <c r="C135"/>
  <c r="C136"/>
  <c r="A151"/>
  <c r="B151"/>
  <c r="C151"/>
  <c r="C152"/>
  <c r="C153"/>
  <c r="C154"/>
  <c r="C97"/>
  <c r="A98"/>
  <c r="B98"/>
  <c r="C98"/>
  <c r="C99"/>
  <c r="C100"/>
  <c r="C101"/>
  <c r="A102"/>
  <c r="B102"/>
  <c r="C102"/>
  <c r="A3" i="15"/>
  <c r="B3"/>
  <c r="C3"/>
  <c r="C4"/>
  <c r="C5"/>
  <c r="C6"/>
  <c r="C7"/>
  <c r="C8"/>
  <c r="A26"/>
  <c r="B26"/>
  <c r="C26"/>
  <c r="C27"/>
  <c r="C28"/>
  <c r="C29"/>
  <c r="B70"/>
  <c r="C70"/>
  <c r="C72"/>
  <c r="C73"/>
  <c r="C74"/>
  <c r="C75"/>
  <c r="A76"/>
  <c r="B76"/>
  <c r="C76"/>
  <c r="C77"/>
  <c r="C78"/>
  <c r="C79"/>
  <c r="C80"/>
  <c r="C81"/>
  <c r="C83"/>
  <c r="C84"/>
  <c r="C85"/>
  <c r="C86"/>
  <c r="A87"/>
  <c r="B87"/>
  <c r="C87"/>
  <c r="C88"/>
  <c r="C89"/>
  <c r="C90"/>
  <c r="C91"/>
  <c r="A93"/>
  <c r="B93"/>
  <c r="C93"/>
  <c r="C94"/>
  <c r="C95"/>
  <c r="C96"/>
  <c r="A114"/>
  <c r="B114"/>
  <c r="C114"/>
  <c r="C115"/>
  <c r="C117"/>
  <c r="A97"/>
  <c r="B97"/>
  <c r="C97"/>
  <c r="C98"/>
  <c r="C99"/>
  <c r="C100"/>
  <c r="C101"/>
  <c r="C102"/>
  <c r="A110"/>
  <c r="B110"/>
  <c r="C110"/>
  <c r="C111"/>
  <c r="C112"/>
  <c r="C113"/>
  <c r="A45"/>
  <c r="B45"/>
  <c r="C55"/>
  <c r="A56"/>
  <c r="B56"/>
  <c r="C56"/>
  <c r="C57"/>
  <c r="C58"/>
  <c r="C59"/>
  <c r="A60"/>
  <c r="B60"/>
  <c r="C60"/>
  <c r="C61"/>
  <c r="C62"/>
  <c r="A142"/>
  <c r="B142"/>
  <c r="C142"/>
  <c r="A21" i="17"/>
  <c r="B21"/>
  <c r="C21"/>
  <c r="C22"/>
  <c r="C23"/>
  <c r="C24"/>
  <c r="A40"/>
  <c r="B40"/>
  <c r="C40"/>
  <c r="C42"/>
  <c r="C43"/>
  <c r="C44"/>
  <c r="C45"/>
  <c r="A32"/>
  <c r="B32"/>
  <c r="C32"/>
  <c r="A46"/>
  <c r="B46"/>
  <c r="C46"/>
  <c r="C47"/>
  <c r="C48"/>
  <c r="C49"/>
  <c r="C50"/>
  <c r="A52"/>
  <c r="B52"/>
  <c r="C52"/>
  <c r="C53"/>
  <c r="C54"/>
  <c r="C55"/>
  <c r="A67"/>
  <c r="B67"/>
  <c r="C67"/>
  <c r="C68"/>
  <c r="C70"/>
  <c r="A63"/>
  <c r="B63"/>
  <c r="C63"/>
  <c r="C64"/>
  <c r="C65"/>
  <c r="C66"/>
  <c r="A26"/>
  <c r="B26"/>
  <c r="C26"/>
  <c r="C27"/>
  <c r="C28"/>
  <c r="C29"/>
  <c r="C30"/>
  <c r="C31"/>
  <c r="A106"/>
  <c r="B106"/>
  <c r="C106"/>
  <c r="A109"/>
  <c r="B109"/>
  <c r="C109"/>
  <c r="C110"/>
  <c r="C111"/>
  <c r="C112"/>
  <c r="A3" i="16"/>
  <c r="B3"/>
  <c r="C3"/>
  <c r="C4"/>
  <c r="C5"/>
  <c r="C6"/>
  <c r="C7"/>
  <c r="C8"/>
  <c r="A24"/>
  <c r="B24"/>
  <c r="C24"/>
  <c r="C25"/>
  <c r="C26"/>
  <c r="C27"/>
  <c r="A42"/>
  <c r="B42"/>
  <c r="C42"/>
  <c r="C44"/>
  <c r="C45"/>
  <c r="C46"/>
  <c r="C47"/>
  <c r="A48"/>
  <c r="B48"/>
  <c r="C48"/>
  <c r="C49"/>
  <c r="C50"/>
  <c r="C51"/>
  <c r="C53"/>
  <c r="A54"/>
  <c r="B54"/>
  <c r="C54"/>
  <c r="C55"/>
  <c r="C56"/>
  <c r="C57"/>
  <c r="C58"/>
  <c r="C59"/>
  <c r="A60"/>
  <c r="B60"/>
  <c r="C60"/>
  <c r="C61"/>
  <c r="C62"/>
  <c r="C63"/>
  <c r="C64"/>
  <c r="A77"/>
  <c r="B77"/>
  <c r="C77"/>
  <c r="C78"/>
  <c r="C80"/>
  <c r="A73"/>
  <c r="B73"/>
  <c r="C73"/>
  <c r="C74"/>
  <c r="C75"/>
  <c r="C76"/>
  <c r="A29"/>
  <c r="B29"/>
  <c r="C29"/>
  <c r="C30"/>
  <c r="C31"/>
  <c r="C32"/>
  <c r="C33"/>
  <c r="C34"/>
  <c r="A114"/>
  <c r="B114"/>
  <c r="C114"/>
  <c r="C115"/>
  <c r="A118"/>
  <c r="B118"/>
  <c r="C118"/>
  <c r="C119"/>
  <c r="C120"/>
  <c r="C121"/>
  <c r="A18" i="14"/>
  <c r="B18"/>
  <c r="C18"/>
  <c r="C19"/>
  <c r="C20"/>
  <c r="C21"/>
  <c r="A46"/>
  <c r="B46"/>
  <c r="C46"/>
  <c r="C47"/>
  <c r="C48"/>
  <c r="C49"/>
  <c r="C50"/>
  <c r="C51"/>
  <c r="C53"/>
  <c r="C54"/>
  <c r="C55"/>
  <c r="C56"/>
  <c r="A57"/>
  <c r="B57"/>
  <c r="C57"/>
  <c r="C58"/>
  <c r="C59"/>
  <c r="C60"/>
  <c r="C61"/>
  <c r="A70"/>
  <c r="B70"/>
  <c r="C70"/>
  <c r="C71"/>
  <c r="C72"/>
  <c r="A40"/>
  <c r="B40"/>
  <c r="C40"/>
  <c r="C41"/>
  <c r="C42"/>
  <c r="C43"/>
  <c r="C44"/>
  <c r="C45"/>
  <c r="A77"/>
  <c r="B77"/>
  <c r="C77"/>
  <c r="C78"/>
  <c r="C79"/>
  <c r="C80"/>
  <c r="A23"/>
  <c r="B23"/>
  <c r="C23"/>
  <c r="C24"/>
  <c r="C33"/>
  <c r="A34"/>
  <c r="B34"/>
  <c r="C34"/>
  <c r="C35"/>
  <c r="C37"/>
  <c r="C38"/>
  <c r="C39"/>
  <c r="A10" i="13"/>
  <c r="B10"/>
  <c r="C10"/>
  <c r="C11"/>
  <c r="C12"/>
  <c r="C13"/>
  <c r="A42"/>
  <c r="B42"/>
  <c r="C42"/>
  <c r="C44"/>
  <c r="C45"/>
  <c r="C46"/>
  <c r="C47"/>
  <c r="A48"/>
  <c r="B48"/>
  <c r="C48"/>
  <c r="C49"/>
  <c r="C50"/>
  <c r="C51"/>
  <c r="C52"/>
  <c r="C53"/>
  <c r="C55"/>
  <c r="C56"/>
  <c r="C57"/>
  <c r="C58"/>
  <c r="A59"/>
  <c r="B59"/>
  <c r="C59"/>
  <c r="C60"/>
  <c r="C61"/>
  <c r="C62"/>
  <c r="C63"/>
  <c r="A78"/>
  <c r="B78"/>
  <c r="C78"/>
  <c r="C79"/>
  <c r="C80"/>
  <c r="A65"/>
  <c r="B65"/>
  <c r="C65"/>
  <c r="C66"/>
  <c r="C67"/>
  <c r="C68"/>
  <c r="C69"/>
  <c r="C70"/>
  <c r="A31"/>
  <c r="B31"/>
  <c r="C31"/>
  <c r="C32"/>
  <c r="C34"/>
  <c r="C35"/>
  <c r="C36"/>
  <c r="A37"/>
  <c r="B37"/>
  <c r="C37"/>
  <c r="C38"/>
  <c r="C39"/>
  <c r="C40"/>
  <c r="C41"/>
  <c r="A116"/>
  <c r="A3" i="11"/>
  <c r="B3"/>
  <c r="C3"/>
  <c r="C5"/>
  <c r="C6"/>
  <c r="A34"/>
  <c r="B34"/>
  <c r="C34"/>
  <c r="C35"/>
  <c r="C36"/>
  <c r="C37"/>
  <c r="A71"/>
  <c r="B71"/>
  <c r="C71"/>
  <c r="C74"/>
  <c r="C75"/>
  <c r="C76"/>
  <c r="A77"/>
  <c r="B77"/>
  <c r="C77"/>
  <c r="C78"/>
  <c r="C79"/>
  <c r="C80"/>
  <c r="C81"/>
  <c r="C82"/>
  <c r="C84"/>
  <c r="C85"/>
  <c r="C86"/>
  <c r="C87"/>
  <c r="A101"/>
  <c r="B101"/>
  <c r="C101"/>
  <c r="C102"/>
  <c r="A88"/>
  <c r="B88"/>
  <c r="C88"/>
  <c r="C89"/>
  <c r="C90"/>
  <c r="C91"/>
  <c r="C92"/>
  <c r="C93"/>
  <c r="A108"/>
  <c r="B108"/>
  <c r="C108"/>
  <c r="C109"/>
  <c r="C110"/>
  <c r="C111"/>
  <c r="C49"/>
  <c r="A50"/>
  <c r="B50"/>
  <c r="C50"/>
  <c r="C51"/>
  <c r="C52"/>
  <c r="C53"/>
  <c r="A54"/>
  <c r="B54"/>
  <c r="C54"/>
  <c r="C55"/>
  <c r="A58"/>
  <c r="B58"/>
  <c r="C58"/>
  <c r="C59"/>
  <c r="C61"/>
  <c r="C62"/>
  <c r="C63"/>
  <c r="A150"/>
  <c r="B150"/>
  <c r="C150"/>
  <c r="C151"/>
  <c r="C152"/>
  <c r="C153"/>
  <c r="A187"/>
  <c r="B187"/>
  <c r="C187"/>
  <c r="C188"/>
  <c r="C189"/>
  <c r="C190"/>
  <c r="C191"/>
  <c r="C192"/>
  <c r="B217"/>
  <c r="C217"/>
  <c r="A45" i="10"/>
  <c r="B45"/>
  <c r="C45"/>
  <c r="C47"/>
  <c r="C48"/>
  <c r="C49"/>
  <c r="C50"/>
  <c r="A37"/>
  <c r="B37"/>
  <c r="C37"/>
  <c r="C52"/>
  <c r="C53"/>
  <c r="C54"/>
  <c r="C55"/>
  <c r="A56"/>
  <c r="B56"/>
  <c r="C56"/>
  <c r="C57"/>
  <c r="C58"/>
  <c r="C59"/>
  <c r="C60"/>
  <c r="A69"/>
  <c r="B69"/>
  <c r="C69"/>
  <c r="C70"/>
  <c r="C71"/>
  <c r="C72"/>
  <c r="C73"/>
  <c r="C74"/>
  <c r="A75"/>
  <c r="B75"/>
  <c r="C75"/>
  <c r="C76"/>
  <c r="C77"/>
  <c r="C78"/>
  <c r="C26"/>
  <c r="A27"/>
  <c r="B27"/>
  <c r="C27"/>
  <c r="C28"/>
  <c r="C29"/>
  <c r="C30"/>
  <c r="A31"/>
  <c r="B31"/>
  <c r="C31"/>
  <c r="C32"/>
  <c r="C34"/>
  <c r="C35"/>
  <c r="C36"/>
  <c r="B152"/>
  <c r="C152"/>
  <c r="A31" i="9"/>
  <c r="B31"/>
  <c r="C31"/>
  <c r="C32"/>
  <c r="C33"/>
  <c r="C34"/>
  <c r="C35"/>
  <c r="C36"/>
  <c r="C38"/>
  <c r="C39"/>
  <c r="C40"/>
  <c r="C41"/>
  <c r="A42"/>
  <c r="B42"/>
  <c r="C42"/>
  <c r="C43"/>
  <c r="C44"/>
  <c r="C45"/>
  <c r="C46"/>
  <c r="A68"/>
  <c r="B68"/>
  <c r="C68"/>
  <c r="C69"/>
  <c r="C70"/>
  <c r="C71"/>
  <c r="C73"/>
  <c r="A61"/>
  <c r="B61"/>
  <c r="C61"/>
  <c r="C62"/>
  <c r="A48"/>
  <c r="B48"/>
  <c r="C48"/>
  <c r="C50"/>
  <c r="C51"/>
  <c r="C52"/>
  <c r="C53"/>
  <c r="A74"/>
  <c r="B74"/>
  <c r="C74"/>
  <c r="C75"/>
  <c r="C76"/>
  <c r="C77"/>
  <c r="C26"/>
  <c r="A27"/>
  <c r="B27"/>
  <c r="C27"/>
  <c r="C28"/>
  <c r="C29"/>
  <c r="C30"/>
  <c r="C133"/>
  <c r="C134"/>
  <c r="C135"/>
  <c r="C136"/>
  <c r="A14" i="12"/>
  <c r="B14"/>
  <c r="C14"/>
  <c r="C15"/>
  <c r="C16"/>
  <c r="C17"/>
  <c r="C19"/>
  <c r="A20"/>
  <c r="B20"/>
  <c r="C20"/>
  <c r="C21"/>
  <c r="C22"/>
  <c r="C23"/>
  <c r="C24"/>
  <c r="A26"/>
  <c r="B26"/>
  <c r="C26"/>
  <c r="C27"/>
  <c r="C28"/>
  <c r="C29"/>
  <c r="C30"/>
  <c r="C31"/>
  <c r="A63"/>
  <c r="B63"/>
  <c r="C63"/>
  <c r="A7" i="31"/>
  <c r="C7"/>
  <c r="C8"/>
  <c r="C9"/>
  <c r="C10"/>
  <c r="A18"/>
  <c r="B18"/>
  <c r="C18"/>
  <c r="C19"/>
  <c r="C20"/>
  <c r="C21"/>
  <c r="C22"/>
  <c r="A12"/>
  <c r="B12"/>
  <c r="C12"/>
  <c r="C13"/>
  <c r="C15"/>
  <c r="C16"/>
  <c r="C17"/>
  <c r="A36" i="8"/>
  <c r="B36"/>
  <c r="C36"/>
  <c r="C37"/>
  <c r="C38"/>
  <c r="C39"/>
  <c r="C40"/>
  <c r="C41"/>
  <c r="C43"/>
  <c r="C44"/>
  <c r="C45"/>
  <c r="C46"/>
  <c r="A47"/>
  <c r="B47"/>
  <c r="C47"/>
  <c r="C48"/>
  <c r="C49"/>
  <c r="C50"/>
  <c r="C51"/>
  <c r="C52"/>
  <c r="A26"/>
  <c r="B26"/>
  <c r="C26"/>
  <c r="C27"/>
  <c r="C28"/>
  <c r="C29"/>
  <c r="A30"/>
  <c r="B30"/>
  <c r="C30"/>
  <c r="C31"/>
  <c r="C33"/>
  <c r="C34"/>
  <c r="C35"/>
  <c r="F62"/>
  <c r="G149" i="23" l="1"/>
  <c r="G40" i="22"/>
  <c r="G93"/>
  <c r="F64" i="18"/>
  <c r="G77" i="14"/>
  <c r="D39" i="11"/>
  <c r="G39" s="1"/>
  <c r="G122" i="21"/>
  <c r="G137" i="23"/>
  <c r="G97" i="19"/>
  <c r="G133" i="25"/>
  <c r="G70" i="15"/>
  <c r="G93"/>
  <c r="G111" i="16"/>
  <c r="G48" i="9"/>
  <c r="G75" i="10"/>
  <c r="G144" i="23"/>
  <c r="G70" i="14"/>
  <c r="G61" i="9"/>
  <c r="G91" i="13"/>
  <c r="G151" i="18"/>
  <c r="G73" i="16"/>
  <c r="G139" i="25"/>
  <c r="G63" i="17"/>
  <c r="G129" i="20"/>
  <c r="G101" i="11"/>
  <c r="G42" i="9"/>
  <c r="G32" i="12"/>
  <c r="G59" i="13"/>
  <c r="G103" i="15"/>
  <c r="G127" i="25"/>
  <c r="G118" i="15"/>
  <c r="G114" i="19"/>
  <c r="G52" i="17"/>
  <c r="G57" i="14"/>
  <c r="G147" i="10"/>
  <c r="G108" i="11"/>
  <c r="G80" i="10"/>
  <c r="G116" i="20"/>
  <c r="G90" i="10"/>
  <c r="G85" i="13"/>
  <c r="G87" i="15"/>
  <c r="G110"/>
  <c r="G107" i="19"/>
  <c r="G91"/>
  <c r="G91" i="14"/>
  <c r="G109" i="20"/>
  <c r="G63" i="8"/>
  <c r="G66" i="16"/>
  <c r="G87"/>
  <c r="G60"/>
  <c r="G208" i="11"/>
  <c r="G68" i="9"/>
  <c r="G69" i="10"/>
  <c r="G78" i="13"/>
  <c r="G123" i="20"/>
  <c r="G71" i="13"/>
  <c r="G54" i="9"/>
  <c r="G88"/>
  <c r="G31"/>
  <c r="G37"/>
  <c r="G62" i="10"/>
  <c r="G129" i="21"/>
  <c r="G93" i="20"/>
  <c r="G131" i="23"/>
  <c r="G77" i="17"/>
  <c r="G63" i="14"/>
  <c r="G144" i="18"/>
  <c r="G144" i="9"/>
  <c r="G74"/>
  <c r="G18" i="31"/>
  <c r="G94" i="11"/>
  <c r="G133" i="21"/>
  <c r="G99" i="20"/>
  <c r="G137" i="18"/>
  <c r="G56" i="17"/>
  <c r="G46"/>
  <c r="G56" i="10"/>
  <c r="G59" i="8"/>
  <c r="G48" i="16"/>
  <c r="G122" i="11"/>
  <c r="G20" i="12"/>
  <c r="G26"/>
  <c r="G80" i="8"/>
  <c r="G116" i="21"/>
  <c r="G16" i="11"/>
  <c r="G25" i="19"/>
  <c r="G95" i="13"/>
  <c r="G32" i="20"/>
  <c r="G3" i="17"/>
  <c r="G9" i="16"/>
  <c r="G113" i="10"/>
  <c r="G107" i="9"/>
  <c r="G17" i="24"/>
  <c r="G44" i="18"/>
  <c r="G108" i="10"/>
  <c r="G102" i="9"/>
  <c r="G32" i="19"/>
  <c r="G164" i="11"/>
  <c r="G169"/>
  <c r="G102" i="18"/>
  <c r="G25"/>
  <c r="G37" i="22"/>
  <c r="G76" i="20"/>
  <c r="G169" i="25"/>
  <c r="G3" i="22"/>
  <c r="G180" i="25"/>
  <c r="G118" i="11"/>
  <c r="G103" i="20"/>
  <c r="G96" i="17"/>
  <c r="G40" i="11"/>
  <c r="G52" i="12"/>
  <c r="G183" i="11"/>
  <c r="G15" i="10"/>
  <c r="G154" s="1"/>
  <c r="G35" i="31"/>
  <c r="G131" i="16"/>
  <c r="G31" i="27"/>
  <c r="G58" i="24"/>
  <c r="G128" i="11"/>
  <c r="G205"/>
  <c r="G48" i="22"/>
  <c r="G22" i="10"/>
  <c r="G43" i="20"/>
  <c r="F55" i="11"/>
  <c r="G54" s="1"/>
  <c r="F106" i="21"/>
  <c r="G105" s="1"/>
  <c r="F81" i="22"/>
  <c r="F146" i="21"/>
  <c r="G105" i="25"/>
  <c r="G19" i="8"/>
  <c r="G94" i="9"/>
  <c r="G112"/>
  <c r="G115" i="17"/>
  <c r="G118" i="16"/>
  <c r="G24" i="25"/>
  <c r="G16"/>
  <c r="G8" i="17"/>
  <c r="G11" i="11"/>
  <c r="G174"/>
  <c r="G27"/>
  <c r="G27" i="24"/>
  <c r="G9"/>
  <c r="G3" i="8"/>
  <c r="G179" i="11"/>
  <c r="G117" i="9"/>
  <c r="G3" i="27"/>
  <c r="G18" i="16"/>
  <c r="G123" i="10"/>
  <c r="G3" i="31"/>
  <c r="G3" i="11"/>
  <c r="G16" i="27"/>
  <c r="G54" i="25"/>
  <c r="G48" i="12"/>
  <c r="G73" i="8"/>
  <c r="G81"/>
  <c r="G118" i="10"/>
  <c r="G65" i="13"/>
  <c r="G47" i="8"/>
  <c r="G112" i="11"/>
  <c r="G74" i="23"/>
  <c r="G18"/>
  <c r="G10"/>
  <c r="G201"/>
  <c r="G32" i="21"/>
  <c r="G18"/>
  <c r="G10"/>
  <c r="G26"/>
  <c r="G173"/>
  <c r="G41"/>
  <c r="G123" i="19"/>
  <c r="F192" i="18"/>
  <c r="G188"/>
  <c r="G9" i="15"/>
  <c r="G158"/>
  <c r="G3"/>
  <c r="G13"/>
  <c r="G7" i="12"/>
  <c r="G22" i="9"/>
  <c r="G71" i="11"/>
  <c r="G22" i="24"/>
  <c r="G97" i="16"/>
  <c r="G141" i="10"/>
  <c r="G36" i="8"/>
  <c r="G12" i="31"/>
  <c r="G34" i="11"/>
  <c r="G139" i="15"/>
  <c r="G154" i="21"/>
  <c r="G109"/>
  <c r="G173" i="18"/>
  <c r="G40" i="17"/>
  <c r="G66" i="21"/>
  <c r="G69" i="8"/>
  <c r="G101" i="16"/>
  <c r="G93"/>
  <c r="G145" s="1"/>
  <c r="G33" i="22"/>
  <c r="G24"/>
  <c r="G58"/>
  <c r="G42" i="13"/>
  <c r="G138" i="9"/>
  <c r="G7" i="31"/>
  <c r="G39" i="12"/>
  <c r="G78" i="9"/>
  <c r="G77" i="11"/>
  <c r="G53" i="24"/>
  <c r="G86" i="25"/>
  <c r="G26" i="15"/>
  <c r="G45"/>
  <c r="G131" i="18"/>
  <c r="G80" i="21"/>
  <c r="G99" i="23"/>
  <c r="G18" i="26"/>
  <c r="G85" i="19"/>
  <c r="G23" i="14"/>
  <c r="G81"/>
  <c r="G87"/>
  <c r="G40"/>
  <c r="G29"/>
  <c r="G96" i="10"/>
  <c r="G104" i="13"/>
  <c r="G34" i="14"/>
  <c r="G70" i="24"/>
  <c r="G96" i="21"/>
  <c r="G147" i="20"/>
  <c r="G163"/>
  <c r="G69"/>
  <c r="G105" i="16"/>
  <c r="G81"/>
  <c r="G137" i="10"/>
  <c r="G45" i="11"/>
  <c r="G199"/>
  <c r="G187"/>
  <c r="G194"/>
  <c r="G66" i="22"/>
  <c r="G79" i="19"/>
  <c r="G31" i="10"/>
  <c r="G141" i="11"/>
  <c r="G48" i="13"/>
  <c r="G56" i="15"/>
  <c r="G63"/>
  <c r="G152" i="25"/>
  <c r="G156"/>
  <c r="G77"/>
  <c r="G126" i="23"/>
  <c r="G102"/>
  <c r="G57" i="20"/>
  <c r="F79" i="22"/>
  <c r="G94" i="25"/>
  <c r="G45"/>
  <c r="G100"/>
  <c r="G146"/>
  <c r="G175"/>
  <c r="G14" i="26"/>
  <c r="G109" i="17"/>
  <c r="G53" i="8"/>
  <c r="F129" i="17"/>
  <c r="G129"/>
  <c r="G8" i="8"/>
  <c r="G95" s="1"/>
  <c r="G15" i="9"/>
  <c r="G155" s="1"/>
  <c r="G24" i="31"/>
  <c r="G43" s="1"/>
  <c r="G14" i="12"/>
  <c r="G3" i="9"/>
  <c r="G84"/>
  <c r="G31" i="24"/>
  <c r="G85" s="1"/>
  <c r="G132" i="9"/>
  <c r="G124" i="16"/>
  <c r="G122" i="17"/>
  <c r="G27" i="9"/>
  <c r="G8"/>
  <c r="G26" i="8"/>
  <c r="G71" i="17"/>
  <c r="G121" i="9"/>
  <c r="G30" i="31"/>
  <c r="G45" s="1"/>
  <c r="G143" i="19"/>
  <c r="G27" i="10"/>
  <c r="G133" i="15"/>
  <c r="G82"/>
  <c r="G9" i="27"/>
  <c r="G38" i="25"/>
  <c r="G114"/>
  <c r="G120"/>
  <c r="G63" i="24"/>
  <c r="G41"/>
  <c r="G64" i="12"/>
  <c r="G35" i="21"/>
  <c r="G143"/>
  <c r="G10" i="20"/>
  <c r="G153"/>
  <c r="G156"/>
  <c r="G89" i="8"/>
  <c r="G83" i="11"/>
  <c r="G54" i="13"/>
  <c r="G36" i="27"/>
  <c r="G27"/>
  <c r="G49" i="25"/>
  <c r="G3" i="24"/>
  <c r="G56" i="12"/>
  <c r="G49" i="21"/>
  <c r="G82" i="20"/>
  <c r="G26" i="17"/>
  <c r="G151" i="19"/>
  <c r="G99" i="13"/>
  <c r="G60" i="15"/>
  <c r="G51"/>
  <c r="G76"/>
  <c r="G47" i="27"/>
  <c r="G71" i="25"/>
  <c r="G3"/>
  <c r="G49" i="24"/>
  <c r="G35"/>
  <c r="G147" i="21"/>
  <c r="G101"/>
  <c r="G88" i="20"/>
  <c r="G17"/>
  <c r="G66" i="18"/>
  <c r="G37" i="15"/>
  <c r="F46" i="27"/>
  <c r="G40" s="1"/>
  <c r="G52"/>
  <c r="G53"/>
  <c r="G85" i="8"/>
  <c r="G3" i="10"/>
  <c r="G8"/>
  <c r="G86"/>
  <c r="G58" i="11"/>
  <c r="G132"/>
  <c r="G136"/>
  <c r="G50"/>
  <c r="G64"/>
  <c r="G37" i="13"/>
  <c r="G59" i="25"/>
  <c r="G30"/>
  <c r="G10"/>
  <c r="G111"/>
  <c r="G66"/>
  <c r="G165"/>
  <c r="G138" i="20"/>
  <c r="G15" i="17"/>
  <c r="F26" i="20"/>
  <c r="F29"/>
  <c r="F28"/>
  <c r="F27"/>
  <c r="F43" i="15"/>
  <c r="G42"/>
  <c r="G106" i="14"/>
  <c r="F24" i="18"/>
  <c r="G19" s="1"/>
  <c r="G92" i="17"/>
  <c r="G134" i="20"/>
  <c r="G16" i="13"/>
  <c r="G113" i="23"/>
  <c r="G8" i="26"/>
  <c r="G49" i="19"/>
  <c r="G159" s="1"/>
  <c r="G33" i="17"/>
  <c r="G38" i="10"/>
  <c r="G31" i="13"/>
  <c r="G52" i="14"/>
  <c r="G46"/>
  <c r="G3"/>
  <c r="G75" i="21"/>
  <c r="G166" s="1"/>
  <c r="G30" i="8"/>
  <c r="G12"/>
  <c r="G14" i="16"/>
  <c r="G88" i="11"/>
  <c r="G42" i="16"/>
  <c r="G87" i="17"/>
  <c r="G11" i="22"/>
  <c r="G61"/>
  <c r="F85" i="21"/>
  <c r="G84"/>
  <c r="G3" i="12"/>
  <c r="G49" i="18"/>
  <c r="G97" i="15"/>
  <c r="G21" i="26"/>
  <c r="G10" i="13"/>
  <c r="G3"/>
  <c r="G10" i="14"/>
  <c r="G3" i="20"/>
  <c r="G137" i="21"/>
  <c r="G45" i="10"/>
  <c r="G44" i="12"/>
  <c r="G3" i="16"/>
  <c r="G129" i="15"/>
  <c r="G142" i="20"/>
  <c r="G53" i="18"/>
  <c r="G201" s="1"/>
  <c r="G176"/>
  <c r="G93"/>
  <c r="G125"/>
  <c r="G21" i="17"/>
  <c r="G111" i="13"/>
  <c r="G42" i="8"/>
  <c r="G192" i="25"/>
  <c r="G3" i="26"/>
  <c r="G48" i="20"/>
  <c r="G90" i="21"/>
  <c r="G3"/>
  <c r="G100" i="17"/>
  <c r="G25" i="13"/>
  <c r="G61" i="20"/>
  <c r="G29" i="16"/>
  <c r="G24"/>
  <c r="G35"/>
  <c r="G127" i="10"/>
  <c r="G7" i="11"/>
  <c r="G20"/>
  <c r="G213"/>
  <c r="G156"/>
  <c r="G150"/>
  <c r="G72" i="22"/>
  <c r="G52"/>
  <c r="G88" s="1"/>
  <c r="G43"/>
  <c r="G168" i="20"/>
  <c r="G28" i="18"/>
  <c r="G98"/>
  <c r="G163"/>
  <c r="G44" i="24"/>
  <c r="G51" i="10"/>
  <c r="G18" i="14"/>
  <c r="G101"/>
  <c r="G54" i="16"/>
  <c r="G76" i="18"/>
  <c r="G38" i="23"/>
  <c r="G162"/>
  <c r="G128" i="19"/>
  <c r="G18"/>
  <c r="G37"/>
  <c r="G160" s="1"/>
  <c r="G69" i="23"/>
  <c r="G83"/>
  <c r="G93"/>
  <c r="G10" i="19"/>
  <c r="G59"/>
  <c r="G101"/>
  <c r="F89" i="21"/>
  <c r="G158" i="23"/>
  <c r="G140" i="19"/>
  <c r="G119"/>
  <c r="G64"/>
  <c r="F100" i="14"/>
  <c r="G97" s="1"/>
  <c r="G55" i="21"/>
  <c r="G3" i="19"/>
  <c r="G72"/>
  <c r="F136"/>
  <c r="G135" s="1"/>
  <c r="G167" i="18"/>
  <c r="G119"/>
  <c r="G106"/>
  <c r="G3"/>
  <c r="G85"/>
  <c r="G112"/>
  <c r="F91"/>
  <c r="F184"/>
  <c r="G183" s="1"/>
  <c r="G36"/>
  <c r="G203" s="1"/>
  <c r="G11"/>
  <c r="G54" i="23"/>
  <c r="G194"/>
  <c r="G172"/>
  <c r="G175"/>
  <c r="G120"/>
  <c r="G3"/>
  <c r="G62"/>
  <c r="G187"/>
  <c r="G166"/>
  <c r="G45"/>
  <c r="G77"/>
  <c r="G89"/>
  <c r="G108"/>
  <c r="G32"/>
  <c r="G26"/>
  <c r="G199"/>
  <c r="G182"/>
  <c r="G214" l="1"/>
  <c r="G97" i="8"/>
  <c r="G226" i="11"/>
  <c r="G176" i="20"/>
  <c r="G89" i="22"/>
  <c r="G178" i="20"/>
  <c r="G116" i="14"/>
  <c r="G44" i="31"/>
  <c r="G86" i="24"/>
  <c r="G135" i="17"/>
  <c r="G167" i="21"/>
  <c r="G94" i="8"/>
  <c r="G121" i="13"/>
  <c r="G114" i="14"/>
  <c r="G219" i="11"/>
  <c r="G153" i="9"/>
  <c r="G118" i="14"/>
  <c r="G190" i="25"/>
  <c r="G200" i="18"/>
  <c r="G158" i="9"/>
  <c r="G162" i="10"/>
  <c r="G170" i="21"/>
  <c r="G215" i="23"/>
  <c r="G156" i="15"/>
  <c r="G134" i="17"/>
  <c r="G90" i="22"/>
  <c r="G100" i="8"/>
  <c r="G202" i="18"/>
  <c r="G96" i="8"/>
  <c r="G144" i="16"/>
  <c r="G158" i="10"/>
  <c r="G212" i="23"/>
  <c r="G221" i="11"/>
  <c r="G55" i="27"/>
  <c r="G87" i="24"/>
  <c r="G156" i="10"/>
  <c r="G29" i="26"/>
  <c r="G217" i="23"/>
  <c r="G154" i="9"/>
  <c r="G157" i="10"/>
  <c r="G117" i="14"/>
  <c r="G119" i="13"/>
  <c r="G199" i="18"/>
  <c r="G168" i="21"/>
  <c r="G157" i="15"/>
  <c r="G213" i="23"/>
  <c r="G161" i="19"/>
  <c r="G88" i="24"/>
  <c r="G165" i="19"/>
  <c r="G151" i="9"/>
  <c r="G119" i="14"/>
  <c r="G216" i="23"/>
  <c r="G169" i="21"/>
  <c r="G198" i="18"/>
  <c r="G204"/>
  <c r="G162" i="19"/>
  <c r="G28" i="5"/>
  <c r="D28" s="1"/>
  <c r="D36" s="1"/>
  <c r="G136" i="17"/>
  <c r="G57" i="27"/>
  <c r="G143" i="16"/>
  <c r="G120" i="13"/>
  <c r="G188" i="25"/>
  <c r="G73" i="12"/>
  <c r="F11" i="5" s="1"/>
  <c r="B11" s="1"/>
  <c r="C11" s="1"/>
  <c r="G157" i="19"/>
  <c r="G222" i="11"/>
  <c r="G165" i="21"/>
  <c r="G152" i="9"/>
  <c r="G133" i="17"/>
  <c r="G174" i="20"/>
  <c r="G122" i="13"/>
  <c r="G189" i="25"/>
  <c r="G159" i="10"/>
  <c r="G25" i="20"/>
  <c r="G177" s="1"/>
  <c r="G223" i="11"/>
  <c r="G191" i="25"/>
  <c r="G179" i="20"/>
  <c r="G155" i="10"/>
  <c r="G158" i="19"/>
  <c r="G141" i="16"/>
  <c r="G155" i="15"/>
  <c r="G142" i="16"/>
  <c r="G132" i="17"/>
  <c r="G175" i="20"/>
  <c r="G220" i="11"/>
  <c r="G154" i="15"/>
  <c r="G47" i="31"/>
  <c r="F10" i="5" s="1"/>
  <c r="B10" s="1"/>
  <c r="C10" s="1"/>
  <c r="G153" i="15"/>
  <c r="G197" i="18"/>
  <c r="G36" i="5" l="1"/>
  <c r="E28"/>
  <c r="E36" s="1"/>
  <c r="G164" i="19"/>
  <c r="G194" i="18" s="1"/>
  <c r="G59" i="27"/>
  <c r="G26" i="5" s="1"/>
  <c r="D26" s="1"/>
  <c r="E26" s="1"/>
  <c r="G92" i="22"/>
  <c r="G99" i="8"/>
  <c r="F9" i="5" s="1"/>
  <c r="F31" s="1"/>
  <c r="G157" i="9"/>
  <c r="F12" i="5" s="1"/>
  <c r="G194" i="25"/>
  <c r="G90" i="24"/>
  <c r="G29" i="5" s="1"/>
  <c r="D29" s="1"/>
  <c r="E29" s="1"/>
  <c r="G115" i="14"/>
  <c r="G121" s="1"/>
  <c r="F16" i="5" s="1"/>
  <c r="B16" s="1"/>
  <c r="C16" s="1"/>
  <c r="G138" i="17"/>
  <c r="G41" i="31" s="1"/>
  <c r="G124" i="13"/>
  <c r="F15" i="5" s="1"/>
  <c r="B15" s="1"/>
  <c r="C15" s="1"/>
  <c r="G172" i="21"/>
  <c r="G210" i="23" s="1"/>
  <c r="G225" i="11"/>
  <c r="F14" i="5" s="1"/>
  <c r="G27"/>
  <c r="G161" i="10"/>
  <c r="F13" i="5" s="1"/>
  <c r="G160" i="15"/>
  <c r="F18" i="5"/>
  <c r="B18" s="1"/>
  <c r="C18" s="1"/>
  <c r="F21"/>
  <c r="G181" i="20"/>
  <c r="G147" i="16"/>
  <c r="G219" i="23"/>
  <c r="F25" i="5" s="1"/>
  <c r="B25" s="1"/>
  <c r="C25" s="1"/>
  <c r="G206" i="18"/>
  <c r="G9" i="5" l="1"/>
  <c r="G31" s="1"/>
  <c r="G209" i="23"/>
  <c r="F24" i="5"/>
  <c r="B9"/>
  <c r="F32"/>
  <c r="F20"/>
  <c r="B20" s="1"/>
  <c r="C20" s="1"/>
  <c r="D27"/>
  <c r="E27" s="1"/>
  <c r="G37"/>
  <c r="D37" s="1"/>
  <c r="E37" s="1"/>
  <c r="G13"/>
  <c r="D13" s="1"/>
  <c r="E13" s="1"/>
  <c r="B13"/>
  <c r="C13" s="1"/>
  <c r="G12"/>
  <c r="D12" s="1"/>
  <c r="E12" s="1"/>
  <c r="B12"/>
  <c r="C12" s="1"/>
  <c r="G14"/>
  <c r="D14" s="1"/>
  <c r="E14" s="1"/>
  <c r="B14"/>
  <c r="C14" s="1"/>
  <c r="G21"/>
  <c r="D21" s="1"/>
  <c r="E21" s="1"/>
  <c r="B21"/>
  <c r="C21" s="1"/>
  <c r="G220" i="23"/>
  <c r="G25" i="5" s="1"/>
  <c r="D25" s="1"/>
  <c r="E25" s="1"/>
  <c r="G149" i="15"/>
  <c r="G139" i="16"/>
  <c r="G148" s="1"/>
  <c r="D130" i="17"/>
  <c r="G130" s="1"/>
  <c r="G147" i="15"/>
  <c r="G151"/>
  <c r="G195" i="18"/>
  <c r="G207" s="1"/>
  <c r="F23" i="5"/>
  <c r="G39" i="31"/>
  <c r="F19" i="5"/>
  <c r="F33" s="1"/>
  <c r="F17"/>
  <c r="B17" s="1"/>
  <c r="C17" s="1"/>
  <c r="G146" i="15"/>
  <c r="G40" i="31"/>
  <c r="G71" i="12"/>
  <c r="F22" i="5"/>
  <c r="G150" i="15"/>
  <c r="G148"/>
  <c r="C31" i="5" l="1"/>
  <c r="C9"/>
  <c r="D9"/>
  <c r="D31" s="1"/>
  <c r="G20"/>
  <c r="D20" s="1"/>
  <c r="E20" s="1"/>
  <c r="B31"/>
  <c r="F34"/>
  <c r="B24"/>
  <c r="C24" s="1"/>
  <c r="G24"/>
  <c r="D24" s="1"/>
  <c r="E24" s="1"/>
  <c r="B23"/>
  <c r="C23" s="1"/>
  <c r="F35"/>
  <c r="B19"/>
  <c r="C19" s="1"/>
  <c r="G22"/>
  <c r="D22" s="1"/>
  <c r="E22" s="1"/>
  <c r="B22"/>
  <c r="C22" s="1"/>
  <c r="G48" i="31"/>
  <c r="G10" i="5" s="1"/>
  <c r="D10" s="1"/>
  <c r="E10" s="1"/>
  <c r="F130" i="17"/>
  <c r="G23" i="5"/>
  <c r="D23" s="1"/>
  <c r="E23" s="1"/>
  <c r="G139" i="17"/>
  <c r="G18" i="5" s="1"/>
  <c r="D18" s="1"/>
  <c r="E18" s="1"/>
  <c r="G74" i="12"/>
  <c r="G11" i="5" s="1"/>
  <c r="G17"/>
  <c r="D17" s="1"/>
  <c r="E17" s="1"/>
  <c r="G161" i="15"/>
  <c r="G19" i="5" s="1"/>
  <c r="E9" l="1"/>
  <c r="E31" s="1"/>
  <c r="D19"/>
  <c r="E19" s="1"/>
  <c r="G33"/>
  <c r="D11"/>
  <c r="E11" s="1"/>
  <c r="B32" l="1"/>
  <c r="G32"/>
  <c r="D32" s="1"/>
  <c r="E32" l="1"/>
  <c r="C32"/>
  <c r="B33"/>
  <c r="D33"/>
  <c r="E33" s="1"/>
  <c r="C33" l="1"/>
  <c r="G34"/>
  <c r="C34" l="1"/>
  <c r="D34"/>
  <c r="E34" s="1"/>
  <c r="B34"/>
  <c r="B35"/>
  <c r="G35"/>
  <c r="C35" s="1"/>
  <c r="D35" l="1"/>
  <c r="E35" s="1"/>
</calcChain>
</file>

<file path=xl/sharedStrings.xml><?xml version="1.0" encoding="utf-8"?>
<sst xmlns="http://schemas.openxmlformats.org/spreadsheetml/2006/main" count="3630" uniqueCount="3001">
  <si>
    <t>Wetlands that are narrower than the channel, lake, or estuary they adjoin are likely to have much less effect on water temperature in those receiving waters.</t>
  </si>
  <si>
    <t>Conservation Investment</t>
  </si>
  <si>
    <t>Mitigation Investment</t>
  </si>
  <si>
    <t>S5</t>
  </si>
  <si>
    <t>Fish Access or Use</t>
  </si>
  <si>
    <t>&lt;1% or none</t>
  </si>
  <si>
    <t>Tidal Proximity</t>
  </si>
  <si>
    <t>25-50%</t>
  </si>
  <si>
    <t>F8</t>
  </si>
  <si>
    <t>F9</t>
  </si>
  <si>
    <t>Internal Gradient</t>
  </si>
  <si>
    <t>Most waterbirds favor ponded areas (that typically are flat) rather than flowing water that typifies slope and riverine wetlands.</t>
  </si>
  <si>
    <t>extensive evidence, high intensity*</t>
  </si>
  <si>
    <t>potentially (based on high-intensity* land use) or scattered evidence</t>
  </si>
  <si>
    <t>potentially (based on low-intensity* land use) with little or no direct evidence</t>
  </si>
  <si>
    <t>Many pollinating species depend on such microtopographic features for nest sites and cover.</t>
  </si>
  <si>
    <t>Function Score for Aquatic Invertebrate Habitat</t>
  </si>
  <si>
    <t>Drier Water Regime - Internal Causes</t>
  </si>
  <si>
    <t>Drier Water Regime - External Causes</t>
  </si>
  <si>
    <r>
      <t xml:space="preserve">Wetter Water Regime - </t>
    </r>
    <r>
      <rPr>
        <b/>
        <i/>
        <sz val="12"/>
        <rFont val="Arial"/>
        <family val="2"/>
      </rPr>
      <t>External</t>
    </r>
    <r>
      <rPr>
        <b/>
        <sz val="12"/>
        <rFont val="Arial"/>
        <family val="2"/>
      </rPr>
      <t xml:space="preserve"> Causes</t>
    </r>
  </si>
  <si>
    <t>S9</t>
  </si>
  <si>
    <t>Severe (3 points)</t>
  </si>
  <si>
    <t>Medium (2 points)</t>
  </si>
  <si>
    <t>Mild (1 point)</t>
  </si>
  <si>
    <t>Vegetation provides more food and cover to invertebrates than do bare areas, so invertebrate density and diversity is typically greater.</t>
  </si>
  <si>
    <t>Carbon Sequestration (CS)</t>
  </si>
  <si>
    <t>Aquatic Invertebrate Habitat (INV)</t>
  </si>
  <si>
    <t>Anadromous Fish Habitat (FA)</t>
  </si>
  <si>
    <t>Waterbird Feeding Habitat (WBF)</t>
  </si>
  <si>
    <t>Waterbird Nesting Habitat (WBN)</t>
  </si>
  <si>
    <t>Pollinator Habitat (POL)</t>
  </si>
  <si>
    <t>Function Score for Carbon Sequestration</t>
  </si>
  <si>
    <t>10 to 25%</t>
  </si>
  <si>
    <t>&gt;25%</t>
  </si>
  <si>
    <t>Regardless of the accessibility and quality of a wetland, if anadromous fish cannot access the larger watershed of which it is a part, the wetland will be unable to currently support anadromous fish.</t>
  </si>
  <si>
    <t>&lt;25%</t>
  </si>
  <si>
    <t>Domestic Wells</t>
  </si>
  <si>
    <t>Mostly true</t>
  </si>
  <si>
    <t>Altered Timing of Water Inputs</t>
  </si>
  <si>
    <t>Dense vegetation offers frictional resistance to water flow, promoting sedimentation of suspended particles, as well as reducing the resuspension of bottom sediments by waves and currents.</t>
  </si>
  <si>
    <t>These features cumulatively decelerate runoff, thus allowing for more sedimentation to occur, although usually only to a minor degree.</t>
  </si>
  <si>
    <t>F66</t>
  </si>
  <si>
    <t>N Fixers</t>
  </si>
  <si>
    <r>
      <t xml:space="preserve">those species together do </t>
    </r>
    <r>
      <rPr>
        <b/>
        <sz val="10"/>
        <rFont val="Arial Narrow"/>
        <family val="2"/>
      </rPr>
      <t xml:space="preserve">not </t>
    </r>
    <r>
      <rPr>
        <sz val="10"/>
        <rFont val="Arial Narrow"/>
        <family val="2"/>
      </rPr>
      <t>comprise &gt; 50% of the areal cover of native herbaceous plants at any time during the year.</t>
    </r>
  </si>
  <si>
    <t>&lt;10%</t>
  </si>
  <si>
    <t>Mostly untrue</t>
  </si>
  <si>
    <t>5-50%</t>
  </si>
  <si>
    <t>&gt;50%</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</si>
  <si>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</si>
  <si>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</si>
  <si>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</si>
  <si>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</si>
  <si>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</si>
  <si>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</si>
  <si>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</si>
  <si>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</si>
  <si>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</si>
  <si>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</si>
  <si>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</si>
  <si>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</si>
  <si>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</si>
  <si>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</si>
  <si>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Wetlands with upland inclusions allow animals to move more conveniently between uplands and wetlands, using resources in each.</t>
  </si>
  <si>
    <t>These wetland species are particularly valued because of their rarity and/or declining populations as listed by agencies.</t>
  </si>
  <si>
    <t>Data</t>
  </si>
  <si>
    <t>F56</t>
  </si>
  <si>
    <t>Deadwood</t>
  </si>
  <si>
    <t>Organic matter accumultation (vegetative litter) in several stages of decomposition</t>
  </si>
  <si>
    <t>Buffer condition (width, connectivity, etc.)</t>
  </si>
  <si>
    <t>Disease/ vigor</t>
  </si>
  <si>
    <t>F10</t>
  </si>
  <si>
    <t>F18</t>
  </si>
  <si>
    <t>F65</t>
  </si>
  <si>
    <t>F12</t>
  </si>
  <si>
    <t>F46</t>
  </si>
  <si>
    <t>F</t>
  </si>
  <si>
    <t>V</t>
  </si>
  <si>
    <t>S8</t>
  </si>
  <si>
    <t>persistent vs. seldom</t>
  </si>
  <si>
    <t>persistent vs. seasonal</t>
  </si>
  <si>
    <t>slightly longer or more often</t>
  </si>
  <si>
    <t xml:space="preserve">seldom vs. persistent </t>
  </si>
  <si>
    <t>seasonal vs. persistent</t>
  </si>
  <si>
    <t>slightly shorter or less often</t>
  </si>
  <si>
    <t>became very flashy or controlled</t>
  </si>
  <si>
    <t>became mildly flashy or controlled</t>
  </si>
  <si>
    <t>Usual toxicity of most toxic contaminants</t>
  </si>
  <si>
    <t>domestic effluent, cropland, or 303d for nutrients</t>
  </si>
  <si>
    <t>mildly impacting (livestock, pets, low density residential)</t>
  </si>
  <si>
    <t>Frequency &amp; duration of input</t>
  </si>
  <si>
    <t>AA proximity to main sources (actual or potential)</t>
  </si>
  <si>
    <t>Erosion in CA</t>
  </si>
  <si>
    <t>Recentness of significant soil disturbance in the CA</t>
  </si>
  <si>
    <t>current &amp; ongoing</t>
  </si>
  <si>
    <t>1-12 months ago</t>
  </si>
  <si>
    <t>&gt;1 yr ago</t>
  </si>
  <si>
    <t>AA proximity to actual or potential sources</t>
  </si>
  <si>
    <t>Aspect</t>
  </si>
  <si>
    <t>Function Score for Pollinator Habitat</t>
  </si>
  <si>
    <t>Function Score for Feeding Waterbird Habitat</t>
  </si>
  <si>
    <t>Function Score for Nesting Waterbird Habitat</t>
  </si>
  <si>
    <t>Function Score for Songbird, Raptor, &amp; Mammal Habitat</t>
  </si>
  <si>
    <t>Wetlands with greater plant richness are likely to be more valuable to pollinators if other factors already suggest the wetland has high capacity to support pollinators.</t>
  </si>
  <si>
    <t>&gt;30%</t>
  </si>
  <si>
    <t>Greater microtopography implies greater heterogeneity of water, vegetation, and disturbance regimes, which together should indicate higher capacity to support a wide variety of invertebrates.</t>
  </si>
  <si>
    <t>Score</t>
  </si>
  <si>
    <t>Steeper gradients imply a greater likelihood that whatever organic matter is produced will be transported offsite.</t>
  </si>
  <si>
    <t xml:space="preserve">Function Score for Phosphorus Retention </t>
  </si>
  <si>
    <t>Function Score for Nitrate Removal</t>
  </si>
  <si>
    <t>Upland Inclusions</t>
  </si>
  <si>
    <t>Somewhat true</t>
  </si>
  <si>
    <t>Although wetlands that never contain surface water may still be visited by feeding waterbirds, they are used by fewer species.</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</si>
  <si>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</si>
  <si>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</si>
  <si>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</si>
  <si>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Reason for Rejection</t>
  </si>
  <si>
    <r>
      <t xml:space="preserve">those species together comprise </t>
    </r>
    <r>
      <rPr>
        <b/>
        <sz val="10"/>
        <rFont val="Arial Narrow"/>
        <family val="2"/>
      </rPr>
      <t>&gt; 50%</t>
    </r>
    <r>
      <rPr>
        <sz val="10"/>
        <rFont val="Arial Narrow"/>
        <family val="2"/>
      </rPr>
      <t xml:space="preserve"> of the areal cover of </t>
    </r>
    <r>
      <rPr>
        <b/>
        <sz val="10"/>
        <rFont val="Arial Narrow"/>
        <family val="2"/>
      </rPr>
      <t xml:space="preserve">native </t>
    </r>
    <r>
      <rPr>
        <sz val="10"/>
        <rFont val="Arial Narrow"/>
        <family val="2"/>
      </rPr>
      <t>herbaceous plants at any time during the year.</t>
    </r>
  </si>
  <si>
    <t>Used as a classifier.</t>
  </si>
  <si>
    <t>S6</t>
  </si>
  <si>
    <t>S7</t>
  </si>
  <si>
    <t>&gt;10%</t>
  </si>
  <si>
    <t>6-10%</t>
  </si>
  <si>
    <t xml:space="preserve">&lt;5% </t>
  </si>
  <si>
    <t>Function Score for Native Plant Habitat</t>
  </si>
  <si>
    <t>Score for Wetland Sensitivity</t>
  </si>
  <si>
    <t>Many wetland invertebrates inhabit the soil, and potentially are harmed by soil disturbance such as from tillage or compaction.</t>
  </si>
  <si>
    <t>F2</t>
  </si>
  <si>
    <t>F3</t>
  </si>
  <si>
    <r>
      <t xml:space="preserve">those species together comprise </t>
    </r>
    <r>
      <rPr>
        <b/>
        <sz val="10"/>
        <rFont val="Arial Narrow"/>
        <family val="2"/>
      </rPr>
      <t>&gt; 50%</t>
    </r>
    <r>
      <rPr>
        <sz val="10"/>
        <rFont val="Arial Narrow"/>
        <family val="2"/>
      </rPr>
      <t xml:space="preserve"> of the areal cover of</t>
    </r>
    <r>
      <rPr>
        <b/>
        <sz val="10"/>
        <rFont val="Arial Narrow"/>
        <family val="2"/>
      </rPr>
      <t xml:space="preserve"> </t>
    </r>
    <r>
      <rPr>
        <sz val="10"/>
        <rFont val="Arial Narrow"/>
        <family val="2"/>
      </rPr>
      <t>native shrub species.</t>
    </r>
  </si>
  <si>
    <r>
      <t xml:space="preserve">those species together do </t>
    </r>
    <r>
      <rPr>
        <b/>
        <sz val="10"/>
        <rFont val="Arial Narrow"/>
        <family val="2"/>
      </rPr>
      <t xml:space="preserve">not </t>
    </r>
    <r>
      <rPr>
        <sz val="10"/>
        <rFont val="Arial Narrow"/>
        <family val="2"/>
      </rPr>
      <t>comprise &gt; 50% of the areal cover of native shrub species.</t>
    </r>
  </si>
  <si>
    <t>F67</t>
  </si>
  <si>
    <t>&lt;3 yrs ago</t>
  </si>
  <si>
    <t xml:space="preserve">3-9 yrs ago </t>
  </si>
  <si>
    <t>10-100 yrs ago</t>
  </si>
  <si>
    <t>3-9 yrs ago</t>
  </si>
  <si>
    <t>Water level decrease</t>
  </si>
  <si>
    <t>Inundation now vs. previously</t>
  </si>
  <si>
    <t>Average water level increase</t>
  </si>
  <si>
    <t>These areas were designated based on a rigorous nomination and screening process by ornithologists.</t>
  </si>
  <si>
    <t>Most waterbirds favor ponded areas (that typically are flat) rather than flowing water that typifies slope wetlands.</t>
  </si>
  <si>
    <t>F59</t>
  </si>
  <si>
    <t>infrequent &amp; mainly during scattered events</t>
  </si>
  <si>
    <t>F44</t>
  </si>
  <si>
    <t>New Wetland</t>
  </si>
  <si>
    <t xml:space="preserve">industrial effluent or 303d* for toxics </t>
  </si>
  <si>
    <t>frequent but mostly seasonal</t>
  </si>
  <si>
    <t>frequent and year-round</t>
  </si>
  <si>
    <t>infrequent &amp; during high runoff events mainly</t>
  </si>
  <si>
    <t>Function Score for Water Storage</t>
  </si>
  <si>
    <t>Function Score for Sediment Retention &amp; Stabilization</t>
  </si>
  <si>
    <t>Sustained Scientific Use</t>
  </si>
  <si>
    <t># of physical feature patch types</t>
  </si>
  <si>
    <t>S3</t>
  </si>
  <si>
    <t>S2</t>
  </si>
  <si>
    <t>Rejected Indicators</t>
  </si>
  <si>
    <t>Spatial extent of resulting wetter condition</t>
  </si>
  <si>
    <t>When most of the timing shift began</t>
  </si>
  <si>
    <t>shift of weeks</t>
  </si>
  <si>
    <t>shift of days</t>
  </si>
  <si>
    <t>shift of hours or minutes</t>
  </si>
  <si>
    <t>intermediate</t>
  </si>
  <si>
    <t>Function Score for Anadromous Fish Habitat</t>
  </si>
  <si>
    <t>Function Score for Non-anadromous Fish Habitat</t>
  </si>
  <si>
    <t>Duration</t>
  </si>
  <si>
    <t>Timing of soil alteration</t>
  </si>
  <si>
    <t>Such areas have been chosen through a systematic selection process by biologists and birders in each state.</t>
  </si>
  <si>
    <t>See above.</t>
  </si>
  <si>
    <t>50-95%</t>
  </si>
  <si>
    <t>#</t>
  </si>
  <si>
    <t>Fluc6</t>
  </si>
  <si>
    <t>Depth6</t>
  </si>
  <si>
    <t>VwidthAbs6</t>
  </si>
  <si>
    <t>OutDura6</t>
  </si>
  <si>
    <t>Constric6</t>
  </si>
  <si>
    <t>ThruFlo6</t>
  </si>
  <si>
    <t>Nfixer6</t>
  </si>
  <si>
    <t>Gcover6</t>
  </si>
  <si>
    <t>SoilTex6</t>
  </si>
  <si>
    <t>Gradient6</t>
  </si>
  <si>
    <t>NewWet6</t>
  </si>
  <si>
    <t>AqPlantCov6</t>
  </si>
  <si>
    <t>Wettype8</t>
  </si>
  <si>
    <t>SeasPct8</t>
  </si>
  <si>
    <t>AqCov8</t>
  </si>
  <si>
    <t>PermWpct8</t>
  </si>
  <si>
    <t>ABpct8</t>
  </si>
  <si>
    <t>IsoWet8</t>
  </si>
  <si>
    <t>Fluc8</t>
  </si>
  <si>
    <t>Depth8</t>
  </si>
  <si>
    <t>Interspers8</t>
  </si>
  <si>
    <t>ThruFlo8</t>
  </si>
  <si>
    <t>Nfixers8</t>
  </si>
  <si>
    <t>WoodDown8</t>
  </si>
  <si>
    <t>Gcover8</t>
  </si>
  <si>
    <t>Girreg8</t>
  </si>
  <si>
    <t>NatVegPctC8</t>
  </si>
  <si>
    <t>CUbuffLUtyp8</t>
  </si>
  <si>
    <t>TidalProx8</t>
  </si>
  <si>
    <t>Landscape</t>
  </si>
  <si>
    <t>Hydroperiod</t>
  </si>
  <si>
    <t>Connectivity</t>
  </si>
  <si>
    <t>Structure</t>
  </si>
  <si>
    <t>Groundw8</t>
  </si>
  <si>
    <t>SeasWpct9</t>
  </si>
  <si>
    <t>Shade9</t>
  </si>
  <si>
    <t>WoodAbove9</t>
  </si>
  <si>
    <t>AqPlantCov9</t>
  </si>
  <si>
    <t>Depth9</t>
  </si>
  <si>
    <t>Interspers9</t>
  </si>
  <si>
    <t>GroundW9</t>
  </si>
  <si>
    <t>OutDura9</t>
  </si>
  <si>
    <t>Thruflo9</t>
  </si>
  <si>
    <t>BuffLU9</t>
  </si>
  <si>
    <t>TidalProx9</t>
  </si>
  <si>
    <t>Access9</t>
  </si>
  <si>
    <t>ImpervCA9</t>
  </si>
  <si>
    <t>AltTime9</t>
  </si>
  <si>
    <t>SedIn9</t>
  </si>
  <si>
    <t>Fishing9</t>
  </si>
  <si>
    <t>WbirdFeed</t>
  </si>
  <si>
    <t>PermWpct10</t>
  </si>
  <si>
    <t>WoodAbove10</t>
  </si>
  <si>
    <t>ABpct10</t>
  </si>
  <si>
    <t>Depth10</t>
  </si>
  <si>
    <t>DepthEven10</t>
  </si>
  <si>
    <t>Interspers10</t>
  </si>
  <si>
    <t>OutDura10</t>
  </si>
  <si>
    <t>ThruFlo10</t>
  </si>
  <si>
    <t>NatVegCUpct10</t>
  </si>
  <si>
    <t>Access10</t>
  </si>
  <si>
    <t>AltTime10</t>
  </si>
  <si>
    <t>PopDist10</t>
  </si>
  <si>
    <t>Productivity</t>
  </si>
  <si>
    <t>ImpervCA</t>
  </si>
  <si>
    <t>PermWpct9</t>
  </si>
  <si>
    <t>Wettype9</t>
  </si>
  <si>
    <t>BuffPctNat9</t>
  </si>
  <si>
    <t>WbirdFeed10</t>
  </si>
  <si>
    <t>Wettype10</t>
  </si>
  <si>
    <t>Nfix10</t>
  </si>
  <si>
    <t>Groundw10</t>
  </si>
  <si>
    <t>HydroRegime</t>
  </si>
  <si>
    <t>Karst10</t>
  </si>
  <si>
    <t>Anoxia Risk</t>
  </si>
  <si>
    <t>Lake10</t>
  </si>
  <si>
    <t>BuffSlope2</t>
  </si>
  <si>
    <t>BuffSlope3</t>
  </si>
  <si>
    <t>Wettype11</t>
  </si>
  <si>
    <t>Fluctu11</t>
  </si>
  <si>
    <t>PermWpct11</t>
  </si>
  <si>
    <t>WoodAbove11</t>
  </si>
  <si>
    <t>ABpct11</t>
  </si>
  <si>
    <t>IsoWet11</t>
  </si>
  <si>
    <t>Interspers11</t>
  </si>
  <si>
    <t>Vwidth11</t>
  </si>
  <si>
    <t>TreeVar11</t>
  </si>
  <si>
    <t>WoodDown11</t>
  </si>
  <si>
    <t>Gcover11</t>
  </si>
  <si>
    <t>Girreg11</t>
  </si>
  <si>
    <t>Inclus11</t>
  </si>
  <si>
    <t>GroundW11</t>
  </si>
  <si>
    <t>Core1_11</t>
  </si>
  <si>
    <t>Core2_11</t>
  </si>
  <si>
    <t>NatVegPct11</t>
  </si>
  <si>
    <t>BuffLU11</t>
  </si>
  <si>
    <t>RoadCirc11</t>
  </si>
  <si>
    <t>RdDis11</t>
  </si>
  <si>
    <t>NatVegProx11</t>
  </si>
  <si>
    <t>NatCov2mi11</t>
  </si>
  <si>
    <t>ScapeLU11</t>
  </si>
  <si>
    <t>NatVegSize11</t>
  </si>
  <si>
    <t>PondProx11</t>
  </si>
  <si>
    <t>FishAcc11</t>
  </si>
  <si>
    <t>GDD11</t>
  </si>
  <si>
    <t>Toxic11</t>
  </si>
  <si>
    <t>AcidicPool10</t>
  </si>
  <si>
    <t>Aspect11</t>
  </si>
  <si>
    <t>Aspect4</t>
  </si>
  <si>
    <t>Climate</t>
  </si>
  <si>
    <t>Waterscape</t>
  </si>
  <si>
    <t>Fringe12</t>
  </si>
  <si>
    <t>SeasWpct12</t>
  </si>
  <si>
    <t>PermWpct12</t>
  </si>
  <si>
    <t>ABpct12</t>
  </si>
  <si>
    <t>IsoWet12</t>
  </si>
  <si>
    <t>Karst8</t>
  </si>
  <si>
    <t>Depth12</t>
  </si>
  <si>
    <t>DepthEven12</t>
  </si>
  <si>
    <t>Interspers12</t>
  </si>
  <si>
    <t>EmPct12</t>
  </si>
  <si>
    <t>Mudflat12</t>
  </si>
  <si>
    <t>Gradient12</t>
  </si>
  <si>
    <t>Core12a</t>
  </si>
  <si>
    <t>Core12b</t>
  </si>
  <si>
    <t>PondProx12</t>
  </si>
  <si>
    <t>BigPondProx12</t>
  </si>
  <si>
    <t>TidalProx12</t>
  </si>
  <si>
    <t>Fish12a</t>
  </si>
  <si>
    <t>_Tox12</t>
  </si>
  <si>
    <t>Duckhunt</t>
  </si>
  <si>
    <t>Rare12</t>
  </si>
  <si>
    <t>Beaver12</t>
  </si>
  <si>
    <t>Wettype12</t>
  </si>
  <si>
    <t>Wettype13</t>
  </si>
  <si>
    <t>Fringe13</t>
  </si>
  <si>
    <t>Fluctu13</t>
  </si>
  <si>
    <t>PermWpct13</t>
  </si>
  <si>
    <t>ISOdry13</t>
  </si>
  <si>
    <t>Depth13</t>
  </si>
  <si>
    <t>DepthEven13</t>
  </si>
  <si>
    <t>Interspers13</t>
  </si>
  <si>
    <t>VwidthAbs13</t>
  </si>
  <si>
    <t>AqPlantCov13</t>
  </si>
  <si>
    <t>EmPct13</t>
  </si>
  <si>
    <t>SnagB13</t>
  </si>
  <si>
    <t>TreeForm13</t>
  </si>
  <si>
    <t>Gradient13</t>
  </si>
  <si>
    <t>Core1_13</t>
  </si>
  <si>
    <t>Core2_13</t>
  </si>
  <si>
    <t>BuffNatPct13</t>
  </si>
  <si>
    <t>BuffLUtype13</t>
  </si>
  <si>
    <t>ShoreSlope13</t>
  </si>
  <si>
    <t>RdDis13</t>
  </si>
  <si>
    <t>PondProx13</t>
  </si>
  <si>
    <t>LakeProx13</t>
  </si>
  <si>
    <t>Acidic13</t>
  </si>
  <si>
    <t>Beaver13</t>
  </si>
  <si>
    <t>SeasWpct</t>
  </si>
  <si>
    <t>PermWpct14</t>
  </si>
  <si>
    <t>WoodPatt14</t>
  </si>
  <si>
    <t>SnagsD14</t>
  </si>
  <si>
    <t>WoodDown14</t>
  </si>
  <si>
    <t>Gcover14</t>
  </si>
  <si>
    <t>Girreg14</t>
  </si>
  <si>
    <t>Inclus14</t>
  </si>
  <si>
    <t>Cliffs14</t>
  </si>
  <si>
    <t>Beaver14</t>
  </si>
  <si>
    <t>Core14a</t>
  </si>
  <si>
    <t>Core14b</t>
  </si>
  <si>
    <t>UpEdge14</t>
  </si>
  <si>
    <t>CUtypeLU14</t>
  </si>
  <si>
    <t>PopCtr14</t>
  </si>
  <si>
    <t>RdBox14</t>
  </si>
  <si>
    <t>DisRd14</t>
  </si>
  <si>
    <t>NatVegProx14</t>
  </si>
  <si>
    <t>NatVegPctScape14</t>
  </si>
  <si>
    <t>ScapeLU14</t>
  </si>
  <si>
    <t>NatVegSize14</t>
  </si>
  <si>
    <t>PondProx14</t>
  </si>
  <si>
    <t>_IBA14</t>
  </si>
  <si>
    <t>Rare14</t>
  </si>
  <si>
    <t>Interspers14</t>
  </si>
  <si>
    <t>Vwidth14</t>
  </si>
  <si>
    <t>Nfix14</t>
  </si>
  <si>
    <t>ShrubDiv14</t>
  </si>
  <si>
    <t>Songbird, Raptor, &amp; Mammal Habitat (SBM)</t>
  </si>
  <si>
    <t>Type of Land Cover Alteration</t>
  </si>
  <si>
    <t>Contaminants in food webs are detrimental in the long term.</t>
  </si>
  <si>
    <t>S4</t>
  </si>
  <si>
    <t>5 to 30%</t>
  </si>
  <si>
    <t>30 to 60%</t>
  </si>
  <si>
    <t>60 to 90%</t>
  </si>
  <si>
    <t>Downed Wood</t>
  </si>
  <si>
    <t>Input timing now vs. previously</t>
  </si>
  <si>
    <t>Flashiness or muting</t>
  </si>
  <si>
    <t>SeasPct</t>
  </si>
  <si>
    <t>IsoDry</t>
  </si>
  <si>
    <t>Fluctua</t>
  </si>
  <si>
    <t>OutDura</t>
  </si>
  <si>
    <t>Constric</t>
  </si>
  <si>
    <t>ThruFlo</t>
  </si>
  <si>
    <t>Girreg</t>
  </si>
  <si>
    <t>Gradient</t>
  </si>
  <si>
    <t>FloodBdg</t>
  </si>
  <si>
    <t>CApct</t>
  </si>
  <si>
    <t>CAunveg</t>
  </si>
  <si>
    <t>Transport</t>
  </si>
  <si>
    <t>Large water level fluctuations pose the possibility of increased shoreline erosion, which can be partly alleviated by wetlands, thus making those wetlands more valuable as shoreline stabilizers.</t>
  </si>
  <si>
    <t>F55</t>
  </si>
  <si>
    <t>Predominant Depth Class</t>
  </si>
  <si>
    <t>Surrounding land cover</t>
  </si>
  <si>
    <t>Number of activities that could alter water regime or soils</t>
  </si>
  <si>
    <t>Water quality</t>
  </si>
  <si>
    <t>S1</t>
  </si>
  <si>
    <t>Public Use &amp; Recognition (PU)</t>
  </si>
  <si>
    <t>Spatial extent of altered soil</t>
  </si>
  <si>
    <r>
      <t xml:space="preserve">Soil or Sediment Alteration </t>
    </r>
    <r>
      <rPr>
        <b/>
        <i/>
        <sz val="12"/>
        <rFont val="Arial"/>
        <family val="2"/>
      </rPr>
      <t>Within the Assessment Area</t>
    </r>
  </si>
  <si>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</si>
  <si>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</si>
  <si>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</si>
  <si>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</si>
  <si>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</si>
  <si>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</si>
  <si>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</si>
  <si>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</si>
  <si>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</si>
  <si>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</si>
  <si>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</si>
  <si>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</si>
  <si>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</si>
  <si>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</si>
  <si>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</si>
  <si>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</si>
  <si>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</si>
  <si>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BuffLUpd</t>
  </si>
  <si>
    <t>Core1pd</t>
  </si>
  <si>
    <t>Core2pd</t>
  </si>
  <si>
    <t>PopCtr15</t>
  </si>
  <si>
    <t>DistRdPD</t>
  </si>
  <si>
    <t>PondProx15</t>
  </si>
  <si>
    <t>NewWetPD</t>
  </si>
  <si>
    <t>AltTime20</t>
  </si>
  <si>
    <t>SedDisturb20</t>
  </si>
  <si>
    <t>ScorePOLf</t>
  </si>
  <si>
    <t>WettypePD</t>
  </si>
  <si>
    <t>MossPD</t>
  </si>
  <si>
    <t>NfixPD</t>
  </si>
  <si>
    <t>SeasWpctPD</t>
  </si>
  <si>
    <t>SizePD</t>
  </si>
  <si>
    <t>GWpd</t>
  </si>
  <si>
    <t>InterspersPD</t>
  </si>
  <si>
    <t>BeaverPD</t>
  </si>
  <si>
    <t>FlucPD</t>
  </si>
  <si>
    <t>GDDpd</t>
  </si>
  <si>
    <t>ShrubSun11</t>
  </si>
  <si>
    <t>Aquatic Structure</t>
  </si>
  <si>
    <t>Terrestrial Structure</t>
  </si>
  <si>
    <t>Aquatic Fertility</t>
  </si>
  <si>
    <t>Terrestrial Fertility</t>
  </si>
  <si>
    <t>ScoreSBM</t>
  </si>
  <si>
    <t>Friction</t>
  </si>
  <si>
    <t>Groundwater Input</t>
  </si>
  <si>
    <t>OutDur</t>
  </si>
  <si>
    <t>Entrain</t>
  </si>
  <si>
    <t>Frozen</t>
  </si>
  <si>
    <t>Depth2_</t>
  </si>
  <si>
    <t>Soil2_</t>
  </si>
  <si>
    <t>Groundw2_</t>
  </si>
  <si>
    <t>OutDur2_</t>
  </si>
  <si>
    <t>Aspect2_</t>
  </si>
  <si>
    <t>AnadFish7</t>
  </si>
  <si>
    <t>Fringe7b</t>
  </si>
  <si>
    <t>ShadeIn7</t>
  </si>
  <si>
    <t>OutDur7</t>
  </si>
  <si>
    <t>Aspect7v</t>
  </si>
  <si>
    <t>Imperv7</t>
  </si>
  <si>
    <t>InvScore2</t>
  </si>
  <si>
    <t>AnadScore2</t>
  </si>
  <si>
    <t>ResFishScore2</t>
  </si>
  <si>
    <t>Gwater7</t>
  </si>
  <si>
    <t>Shade7</t>
  </si>
  <si>
    <t>ISOdry7</t>
  </si>
  <si>
    <t>Depth7</t>
  </si>
  <si>
    <t>Aspect7</t>
  </si>
  <si>
    <t>Fluc2</t>
  </si>
  <si>
    <t>SeasPct2</t>
  </si>
  <si>
    <t>AqPlantCov2</t>
  </si>
  <si>
    <t>DepthC2</t>
  </si>
  <si>
    <t>WatEdgeSlope2</t>
  </si>
  <si>
    <t>WidthAbs2</t>
  </si>
  <si>
    <t>OutDur2</t>
  </si>
  <si>
    <t>Constric2</t>
  </si>
  <si>
    <t>ThruFlo2</t>
  </si>
  <si>
    <t>Gcover2</t>
  </si>
  <si>
    <t>Girreg2</t>
  </si>
  <si>
    <t>Gradient2</t>
  </si>
  <si>
    <t>GDD2</t>
  </si>
  <si>
    <t>MaxFluc2</t>
  </si>
  <si>
    <t>Inflo2</t>
  </si>
  <si>
    <t>CAnatPct2</t>
  </si>
  <si>
    <t>SedIn2</t>
  </si>
  <si>
    <t>CApct2</t>
  </si>
  <si>
    <t>ImpervPctSS</t>
  </si>
  <si>
    <t>TransportSS</t>
  </si>
  <si>
    <t>Erodible2</t>
  </si>
  <si>
    <t>Lake3</t>
  </si>
  <si>
    <t>Persis3</t>
  </si>
  <si>
    <t>AqPlantCov3</t>
  </si>
  <si>
    <t>Fluctu3</t>
  </si>
  <si>
    <t>DomDepth3</t>
  </si>
  <si>
    <t>VegWabs3</t>
  </si>
  <si>
    <t>OutDura3</t>
  </si>
  <si>
    <t>Constric3</t>
  </si>
  <si>
    <t>ThruFlo3</t>
  </si>
  <si>
    <t>Gcover3</t>
  </si>
  <si>
    <t>Girreg3</t>
  </si>
  <si>
    <t>SoilTex3</t>
  </si>
  <si>
    <t>Gradient3</t>
  </si>
  <si>
    <t>GDD3</t>
  </si>
  <si>
    <t>CApctB3</t>
  </si>
  <si>
    <t>Inflo3</t>
  </si>
  <si>
    <t>Groundw3</t>
  </si>
  <si>
    <t>NatCApct3</t>
  </si>
  <si>
    <t>ErodScore3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</si>
  <si>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</si>
  <si>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</si>
  <si>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</si>
  <si>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</si>
  <si>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</si>
  <si>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</si>
  <si>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</si>
  <si>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</si>
  <si>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</si>
  <si>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</si>
  <si>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</si>
  <si>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</si>
  <si>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</si>
  <si>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</si>
  <si>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</si>
  <si>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</si>
  <si>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</si>
  <si>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</si>
  <si>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</si>
  <si>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</si>
  <si>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</si>
  <si>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</si>
  <si>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UpEdgeShape4</t>
  </si>
  <si>
    <t>NewWet</t>
  </si>
  <si>
    <t>SoilDisturb4</t>
  </si>
  <si>
    <t>CAnatPct4</t>
  </si>
  <si>
    <t>BuffSlope4</t>
  </si>
  <si>
    <t>Aquifer4</t>
  </si>
  <si>
    <t>PopDist4</t>
  </si>
  <si>
    <t>Capct4</t>
  </si>
  <si>
    <t>Imperv4</t>
  </si>
  <si>
    <t>Transport4</t>
  </si>
  <si>
    <t>AqPlantCov5</t>
  </si>
  <si>
    <t>Groundw6</t>
  </si>
  <si>
    <t>ToxData2</t>
  </si>
  <si>
    <t>Nfix9</t>
  </si>
  <si>
    <t>Karst9</t>
  </si>
  <si>
    <t>ToxData9</t>
  </si>
  <si>
    <t>ToxData10</t>
  </si>
  <si>
    <t>Wetlands with greater plant richness are likely to be more valuable to supporting a variety of songbirds and mammals if other factors already suggest the wetland has high capacity to support those.</t>
  </si>
  <si>
    <t>Karst16a</t>
  </si>
  <si>
    <t>Karst6a</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</si>
  <si>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</si>
  <si>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</si>
  <si>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</si>
  <si>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</si>
  <si>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</si>
  <si>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</si>
  <si>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</si>
  <si>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</si>
  <si>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</si>
  <si>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</si>
  <si>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</si>
  <si>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</si>
  <si>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</si>
  <si>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</si>
  <si>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</si>
  <si>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</si>
  <si>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</si>
  <si>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</si>
  <si>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</si>
  <si>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</si>
  <si>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</si>
  <si>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</si>
  <si>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</si>
  <si>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</si>
  <si>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</si>
  <si>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Wetland Ecological Condition</t>
  </si>
  <si>
    <t>Ownership</t>
  </si>
  <si>
    <t>Overall percent cover</t>
  </si>
  <si>
    <r>
      <t xml:space="preserve">Excessive Sediment Loading </t>
    </r>
    <r>
      <rPr>
        <b/>
        <i/>
        <sz val="12"/>
        <rFont val="Arial"/>
        <family val="2"/>
      </rPr>
      <t>from Contributing Area</t>
    </r>
  </si>
  <si>
    <t>Regeneration (especially of woody plants)</t>
  </si>
  <si>
    <t>Difficult to survey and meaningfully quantify.</t>
  </si>
  <si>
    <t>2-5%</t>
  </si>
  <si>
    <t>Transport From Upslope</t>
  </si>
  <si>
    <t>Alteration of a wetland's water quality or its normal water or sediment regime is usually followed by invasion by non-native species, making these an indicator of past or ongoing alteration.</t>
  </si>
  <si>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</si>
  <si>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</si>
  <si>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To meet all their life history requirements, most amphibians require uplands in close proximity to, or interspersed within, suitable wetlands.</t>
  </si>
  <si>
    <t>5-30%</t>
  </si>
  <si>
    <t>Stressors</t>
  </si>
  <si>
    <t>F48</t>
  </si>
  <si>
    <t>Woody Diameter Classes</t>
  </si>
  <si>
    <t>F11</t>
  </si>
  <si>
    <t>F13</t>
  </si>
  <si>
    <t>F14</t>
  </si>
  <si>
    <t>F16</t>
  </si>
  <si>
    <t>F23</t>
  </si>
  <si>
    <t>F25</t>
  </si>
  <si>
    <t>F26</t>
  </si>
  <si>
    <t>F27</t>
  </si>
  <si>
    <t>F28</t>
  </si>
  <si>
    <t>F34</t>
  </si>
  <si>
    <t>F35</t>
  </si>
  <si>
    <t>Visibility</t>
  </si>
  <si>
    <t>F1</t>
  </si>
  <si>
    <t>F5</t>
  </si>
  <si>
    <t xml:space="preserve">Road corridors are often followed by ravens and mammals that prey on waterbird eggs and young. </t>
  </si>
  <si>
    <t>Road corridors are a significant vector for non-native plants that can reduce native plant richness if they invade nearby wetlands.</t>
  </si>
  <si>
    <t>long-lasting, minimal veg recovery</t>
  </si>
  <si>
    <t>long-lasting but mostly revegetated</t>
  </si>
  <si>
    <t xml:space="preserve">short-term, revegetated, not intense </t>
  </si>
  <si>
    <t>Complex microtopography reflects and provides more extensive habitat for small mammals and some songbirds.</t>
  </si>
  <si>
    <t>F7</t>
  </si>
  <si>
    <t>F19</t>
  </si>
  <si>
    <t>F21</t>
  </si>
  <si>
    <t>Rationale</t>
  </si>
  <si>
    <t>Amphibians are especially valued when the same wetland's structure also strongly supports important consumers such as waterbirds (e.g., herons) and mammals which prey upon them.</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</si>
  <si>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</si>
  <si>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</si>
  <si>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</si>
  <si>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The portion of a wetland that is accessible to visitors is assumed to be an important determinant of frequence of visitation</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</si>
  <si>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</si>
  <si>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</si>
  <si>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</si>
  <si>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</si>
  <si>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Wetland Type</t>
  </si>
  <si>
    <t>Distance by Road to Nearest Population Center</t>
  </si>
  <si>
    <t>F62</t>
  </si>
  <si>
    <t>Function Score for Low Flow Augmentation</t>
  </si>
  <si>
    <t>Function Scores</t>
  </si>
  <si>
    <t>Function Score for Invertebrates</t>
  </si>
  <si>
    <t>Function Score for Water Cooling</t>
  </si>
  <si>
    <t>Summer streamflow is critical to supporting this group's productivity and diversity.</t>
  </si>
  <si>
    <t>The need to cool surface waters is likely to be greatest at locations where much of the contributing area is clearcut or paved, thus generating warmer inputs to streams.</t>
  </si>
  <si>
    <t>Wetlands that have no outflow are likely to have only minimal effect on temperature of other water bodies.</t>
  </si>
  <si>
    <t>GroundW5</t>
  </si>
  <si>
    <t>SeasWpct5</t>
  </si>
  <si>
    <t>PermWpct5</t>
  </si>
  <si>
    <t>IsoWet5</t>
  </si>
  <si>
    <t>Depth5</t>
  </si>
  <si>
    <t>VwidthAbs5</t>
  </si>
  <si>
    <t>MossCov5</t>
  </si>
  <si>
    <t>OutDura5</t>
  </si>
  <si>
    <t>Constric5</t>
  </si>
  <si>
    <t>TreeForm5</t>
  </si>
  <si>
    <t>SoilTex5</t>
  </si>
  <si>
    <t>NewWet5</t>
  </si>
  <si>
    <t>Wettype5</t>
  </si>
  <si>
    <t>Fluctu5</t>
  </si>
  <si>
    <t>SeasWpct6</t>
  </si>
  <si>
    <t>StructureA</t>
  </si>
  <si>
    <t>StructureB</t>
  </si>
  <si>
    <t>persist0</t>
  </si>
  <si>
    <t>woodydbh0</t>
  </si>
  <si>
    <t>Sngs0</t>
  </si>
  <si>
    <t>downwood0</t>
  </si>
  <si>
    <t>gcover0</t>
  </si>
  <si>
    <t>girreg0</t>
  </si>
  <si>
    <t>herbsens0</t>
  </si>
  <si>
    <t>herbdiv0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</si>
  <si>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</si>
  <si>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</si>
  <si>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</si>
  <si>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</si>
  <si>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</si>
  <si>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</si>
  <si>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</si>
  <si>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</si>
  <si>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</si>
  <si>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</si>
  <si>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</si>
  <si>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</si>
  <si>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</si>
  <si>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</si>
  <si>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</si>
  <si>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</si>
  <si>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</si>
  <si>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</si>
  <si>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Wetter</t>
  </si>
  <si>
    <t>WetterEx</t>
  </si>
  <si>
    <t>Drier</t>
  </si>
  <si>
    <t>DrierEx</t>
  </si>
  <si>
    <t>AltTiming</t>
  </si>
  <si>
    <t>Toxic</t>
  </si>
  <si>
    <t>SedLoad</t>
  </si>
  <si>
    <t>SoilDisturb</t>
  </si>
  <si>
    <t>EmSens1_C</t>
  </si>
  <si>
    <t>HerbDom1</t>
  </si>
  <si>
    <t>RareAll</t>
  </si>
  <si>
    <t>BareGpct</t>
  </si>
  <si>
    <t>GirregCQ</t>
  </si>
  <si>
    <t>Under natural unimpacted conditions, many but not all wetlands will have extensive microtopography.</t>
  </si>
  <si>
    <t>Lack of vegetative cover suggests a wetland may be in poor condition as a result of human-related impacts, but could also be the result of natural limitations or events.</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</si>
  <si>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</si>
  <si>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</si>
  <si>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</si>
  <si>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</si>
  <si>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</si>
  <si>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</si>
  <si>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</si>
  <si>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</si>
  <si>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</si>
  <si>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</si>
  <si>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</si>
  <si>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</si>
  <si>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</si>
  <si>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</si>
  <si>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</si>
  <si>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</si>
  <si>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</si>
  <si>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</si>
  <si>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</si>
  <si>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</si>
  <si>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</si>
  <si>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</si>
  <si>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</si>
  <si>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</si>
  <si>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Erodib_S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</si>
  <si>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</si>
  <si>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</si>
  <si>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</si>
  <si>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</si>
  <si>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</si>
  <si>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WBFscore10</t>
  </si>
  <si>
    <t>SBMscore10</t>
  </si>
  <si>
    <t>This is the primary indicator of a wetland's potential for supporting summer flow in connected downslope streams.</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</si>
  <si>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</si>
  <si>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</si>
  <si>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</si>
  <si>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</si>
  <si>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Stream Flow Support (SFS)</t>
  </si>
  <si>
    <t>Surface Water Storage (WS)</t>
  </si>
  <si>
    <t>SoilTex</t>
  </si>
  <si>
    <t>Groundw</t>
  </si>
  <si>
    <t>Subsurface</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</si>
  <si>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</si>
  <si>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</si>
  <si>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</si>
  <si>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</si>
  <si>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See the above. This indicator is highly correlated to it but is not identical.</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</si>
  <si>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</si>
  <si>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</si>
  <si>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 xml:space="preserve">Flatter wetlands are more likely than steep ones to slow runoff, facilitating more deposition of organic matter that is associated with it. However, a Pennsylvania study found that slope wetlands tended to have moderate to high rates of organic matter accretion compared with other wetland geomorphic types (Wardrop &amp; Brooks 1998). Also, methane emissions may be less from sloping wetlands, due to greater aeration of their soils (Tauchnitz et al. 2008). </t>
  </si>
  <si>
    <t>NOTE: No indicators addressing VALUES of this function are currently proposed because its value is diffused throughout the entire planet.</t>
  </si>
  <si>
    <t>Nitrogen added to a wetland by N-fixing plants can increase the wetland's overall plant productivity, potentially making more organic matter available for export. Presence of alder in conifer woodlands also can speed the decomposition of organic material from the conifers (Fyles &amp; Fyles 1993) perhaps making it more useful for supporting aquatic life.</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</si>
  <si>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</si>
  <si>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</si>
  <si>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</si>
  <si>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</si>
  <si>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Type of Cover in Buffer</t>
  </si>
  <si>
    <t>Flatter wetlands are more likely than steep ones to slow runoff, facilitating more deposition of suspended matter and the phosphorus that is associated with it. Ground cover becomes more important to sediment stabilization in wetlands on slopes.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</si>
  <si>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</si>
  <si>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</si>
  <si>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</si>
  <si>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Soil temperatures are warmer for longer on south-facing slopes, and this is essential for denitrification which removes soluble N (Kim et al. 2007). However, those soils should not be dried out to less than 70% saturation by those warmer conditions (Hefting et al. 2006).</t>
  </si>
  <si>
    <t>Leaves of nitrogen-fixing plants such as alder have been shown to support higher densities and richness of aquatic and terrestrial invertebrates (Wipfli 2007, Wipfli &amp; Musselwhite 2004, Hernandez et al. 2005, LeSage et al. 2005). From that, it can be inferred that fish production should be higher in alder wetlands as well, where food is limiting fish survival.</t>
  </si>
  <si>
    <t xml:space="preserve">Obviously, a wetland containing toxic substances has much less capacity to support anadromous fish. Resident fish are especially prone to bioaccumulation of locally-sourced metals (e.g., Deniseger et al. 1990). </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</si>
  <si>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</si>
  <si>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</si>
  <si>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</si>
  <si>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</si>
  <si>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Results for this Assessment Area (AA):</t>
  </si>
  <si>
    <t>Competition/ Light</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</si>
  <si>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</si>
  <si>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</si>
  <si>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</si>
  <si>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</si>
  <si>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Summary Ratings for Grouped Functions:</t>
  </si>
  <si>
    <t>OF1</t>
  </si>
  <si>
    <t>OF2</t>
  </si>
  <si>
    <t>OF3</t>
  </si>
  <si>
    <t>OF4</t>
  </si>
  <si>
    <t>OF5</t>
  </si>
  <si>
    <t>OF6</t>
  </si>
  <si>
    <t>OF7</t>
  </si>
  <si>
    <t>OF8</t>
  </si>
  <si>
    <t>OF9</t>
  </si>
  <si>
    <t>OF10</t>
  </si>
  <si>
    <t>OF11</t>
  </si>
  <si>
    <t>OF12</t>
  </si>
  <si>
    <t>OF13</t>
  </si>
  <si>
    <t>OF14</t>
  </si>
  <si>
    <t>OF15</t>
  </si>
  <si>
    <t>OF16</t>
  </si>
  <si>
    <t>OF17</t>
  </si>
  <si>
    <t>OF18</t>
  </si>
  <si>
    <t>OF19</t>
  </si>
  <si>
    <t>OF20</t>
  </si>
  <si>
    <t>OF22</t>
  </si>
  <si>
    <t>OF26</t>
  </si>
  <si>
    <t>OF28</t>
  </si>
  <si>
    <t>OF29</t>
  </si>
  <si>
    <t>OF30</t>
  </si>
  <si>
    <t>OF31</t>
  </si>
  <si>
    <t>OF32</t>
  </si>
  <si>
    <t>OF33</t>
  </si>
  <si>
    <t>OF34</t>
  </si>
  <si>
    <t>OF35</t>
  </si>
  <si>
    <t>OF37</t>
  </si>
  <si>
    <t>OF38</t>
  </si>
  <si>
    <t>OF21</t>
  </si>
  <si>
    <t>OF23</t>
  </si>
  <si>
    <t>Impervious areas do not contribute many terrestrial insects to aquatic food chains, may reduce aquatic productivity due to high turbidity and sedimentation of spawning areas, and can raise stream temperatures to levels harmful to anadromous fish.</t>
  </si>
  <si>
    <t>Fringe Wetland</t>
  </si>
  <si>
    <t>Lacustrine Wetland</t>
  </si>
  <si>
    <t xml:space="preserve">Sites that remain continually moist (saturated) but not flooded may be more likely to retain phosphorus (Aldous et al. 2007). </t>
  </si>
  <si>
    <t>Wetlands that are never inundated cannot support anadromous fish directly.</t>
  </si>
  <si>
    <t>SatPct9</t>
  </si>
  <si>
    <t>SatPct8</t>
  </si>
  <si>
    <t>SatPct11</t>
  </si>
  <si>
    <t>SatPct12</t>
  </si>
  <si>
    <t>SatPct14</t>
  </si>
  <si>
    <t>SatPct13</t>
  </si>
  <si>
    <t>SatPct15</t>
  </si>
  <si>
    <t>SatPct7</t>
  </si>
  <si>
    <t>When water remains entirely belowground, water temperatures in summer remain cooler than if exposed aboveground.</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</si>
  <si>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</si>
  <si>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</si>
  <si>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</si>
  <si>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</si>
  <si>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 xml:space="preserve">Macroinvertebrate and fish community composition is impacted beginning at about 5% impervious surface, a number that varies depending on the proportion of agricultural land as well (Waite et al. 2008). Comparing data from multiple regions, Utz et al. (2009) reported that aquatic invertebrates sensitive to impervious cover were generally lost when impervious cover was in the range of 3% (most sensitive taxa) to 23%. </t>
  </si>
  <si>
    <t>Literature Cited</t>
  </si>
  <si>
    <t>Arnold, C. L. and C. J. Gibbons. 1996. Impervious surface coverage: The emergence of a key environmental indicator. Journal of the American Planning Association 62:243-258.</t>
  </si>
  <si>
    <t>Detenbeck, N., C. Elonen, D. Taylor, A. Cotter, F. Puglisi, and W. Sanville. 2002. Effects of agricultural activities and best management practices on water quality of seasonal prairie pothole wetlands. Wetlands Ecology and Management 10:335-354.</t>
  </si>
  <si>
    <t>Leopold, L. B. 1968. Hydrology for Urban Land Planning—A Guidebook on the Hydrologic Effects of Urban Land Use. United States Department of the Interior, U.S. Geological Survey, Circular 554, Washington, DC.</t>
  </si>
  <si>
    <t>Quinton, W. L. and N. T. Roulet. 1998. Spring and summer runoff hydrology of a subarctic patterned wetland. Arctic and Alpine Research 30:285-294.</t>
  </si>
  <si>
    <t>Roulet, N. T. and M. K. Woo. 1988. Run-off generation in a low arctic drainage-basin. Journal of Hydrology 101:213-226.</t>
  </si>
  <si>
    <t>Spence, C., X. J. Guan, and R. Phillips. 2011. The hydrological functions of a boreal wetland. Wetlands 31:75-85.</t>
  </si>
  <si>
    <t>Waite, T. A. and L. G. Campbell. 2006. Controlling the false discovery rate and increasing statistical power in ecological studies. Ecoscience 13:439-442.</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</si>
  <si>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</si>
  <si>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</si>
  <si>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Brosofske, K. D., J. Chen, R. J. Naiman, and J. F. Franklin. 1997. Harvesting effects on microclimatic gradients from small streams to uplands in western Washington. Ecological Applications 7:1188-1200.</t>
  </si>
  <si>
    <t>Gomi, T., R. D. Moore, and A. S. Dhakal. 2006. Headwater stream temperature response to clear-cut harvesting with different riparian treatments, coastal British Columbia, Canada. Water Resources Research 42:WO8437.</t>
  </si>
  <si>
    <t>Meleason, M. A. and J. M. Quinn. 2004. Influence of riparian buffer width on air temperature at Whangapoua Forest, Coromandel Peninsula, New Zealand. Forest Ecology and Management 191:365-371.</t>
  </si>
  <si>
    <t>Mellina, E., R. D. Moore, S. G. Hinch, J. S. Macdonald, and G. Pearson. 2002. Stream temperature responses to clearcut logging in British Columbia: the moderating influences of groundwater and headwater lakes. Canadian Journal of Fisheries and Aquatic Sciences 59:1886-1900.</t>
  </si>
  <si>
    <t>Nelitz, M. A., E. A. MacIsaac, and R. M. Peterman. 2007. A science-based approach for identifying temperature-sensitive streams for rainbow trout. North American Journal of Fisheries Management 27:405-424.</t>
  </si>
  <si>
    <t>Reinelt, L. E. and R. R. Horner. 1990. Characterization of the Hydrology and Water Quality of Palustrine Wetlands Affected by Urban Stormwater. King County Resource Planning Section, Seattle, WA.</t>
  </si>
  <si>
    <t>Sridhar, V., A. L. Sansone, J. LaMarche, T. Dubin, and D. P. Lettenmaier. 2004. Prediction of stream temperature in forested watersheds. Journal of the American Water Resources Association 40:197-213.</t>
  </si>
  <si>
    <t>Stephenson, J. M. and A. Morin. 2009. Covariation of stream community structure and biomass of algae, invertebrates and fish with forest cover at multiple spatial scales. Freshwater Biology 54:2139-2154.</t>
  </si>
  <si>
    <t>Alberti, M., D. Booth, K. Hill, B. Coburn, C. Avolio, S. Coe, and D. Spirandelli. 2007. The impact of urban patterns on aquatic ecosystems: An empirical analysis in Puget lowland sub-basins. Landscape and Urban Planning 80:345-361.</t>
  </si>
  <si>
    <t>Amatya, D. M., R. W. Skaggs, J. W. Gilliam, and J. H. Hughes. 2003. Effects of orifice-weir outlet on hydrology and water quality of a drained forested watershed. Southern Journal of Applied Forestry 27:130-142.</t>
  </si>
  <si>
    <t>Dillaha, T. A., J. H. Sherrard, D. Lee, S. Mostaghimi, and V. O. Shanholtz. 1988. Evaluation of vegetative filter strips as a best management practice for feed lots. Journal Water Pollution Control Federation 60:1231-1238.</t>
  </si>
  <si>
    <t>Dillaha, T. A., R. B. Reneau, S. Mostaghimi, and D. Lee. 1989. Vegetative filter strips for agricultural nonpoint source pollution-control. Transactions of the  ASAE 32:513-519.</t>
  </si>
  <si>
    <t>Evans, R. D. and F. H. Rigler. 1983. A test of lead-210 dating for the measurement of whole lake soft sediment accumulation. Canadian Journal of Fisheries and Aquatic Sciences 40:506-515.</t>
  </si>
  <si>
    <t>Gomi, T. and R. C. Sidle. 2003. Bed load transport in managed steep-gradient headwater streams of southeastern Alaska. Water Resources Research 39:1336-1350.</t>
  </si>
  <si>
    <t>Heinemann, H. G. 1981. A new sediment trap efficency curve for small reservoirs Water Resources Bulletin 17:825-830.</t>
  </si>
  <si>
    <t>Hogan, D. M. and M. R. Walbridge. 2007. Urbanization and nutrient retention in freshwater riparian wetlands. Ecological Applications 17:1142-1155.</t>
  </si>
  <si>
    <t>Knutson, P., J. Ford, M. Inskeep, and J. Oyler. 1981. National survey of planted salt marshes (Vegetative stabilization and wave stress). Wetlands 1:129-157.</t>
  </si>
  <si>
    <t>McBride, M. and D. B. Booth. 2005. Urban impacts on physical stream condition: Effects of spatial scale, connectivity, and longitudinal trends. Journal of the American Water Resources Association 41:565-580.</t>
  </si>
  <si>
    <t>Morris, A. W., A. J. Bale, and R. J. M. Howland. 1981. Nutrient distributions in an estuary - evidence of chemical precipitation of dissolved silicate and phosphate. Estuarine Coastal and Shelf Science 12:205-216.</t>
  </si>
  <si>
    <t>Nieswand, G. H., R. M. Hordon, T. B. Shelton, B. B. Chavooshian, and S. Blarr. 1990. Buffer strips to protect water-supply reservoirs - A model and recommendations. Water Resources Bulletin 26:959-966.</t>
  </si>
  <si>
    <t>Nolan, K. M. and D. C. Marron. 1985. Contrast in stream-channel response to major storms in two mountainous areas of California. Geology 13:135-138.</t>
  </si>
  <si>
    <t>Phillips, J. D. 1989. An evaluation of the factors determining the effectiveness of water quality buffer zones. Journal of Hydrology 107:133-145.</t>
  </si>
  <si>
    <t>Polyakov, V., A. Fares, and M. H. Ryder. 2005. Precision riparian buffers for the control of nonpoint source pollutant loading into surface water: A review. Environmental Reviews 13:129-144.</t>
  </si>
  <si>
    <t>Trimble, G. R., Jr. and R. S. Sartz. 1957. How far from a stream should a logging road be located? Journal of Forestry 55:339-341.</t>
  </si>
  <si>
    <t>White, W. J., L. A. Morris, D. B. Warnell, A. P. Pinho, C. R. Jackson, and L. T. West. 2007. Sediment retention by forested filter strips in the Piedmont of Georgia. Journal of Soil and Water Conservation 62:453-463.</t>
  </si>
  <si>
    <t>Wigington, P. J., T. J. Moser, and D. R. Lindeman. 2005. Stream network expansion: a riparian water quality factor. Hydrological Processes 19:1715-1721.</t>
  </si>
  <si>
    <t>Zhang, X., X. Liu, M. Zhang, R. A. Dahlgren, and M. Eitzel. 2010. A review of vegetated buffers and a meta-analysis of their mitigation efficacy in reducing nonpoint source pollution. Journal of Environmental Quality 39:76-84.</t>
  </si>
  <si>
    <t>Aldous, A., P. McCormick, C. Ferguson, S. Graham, and C. Craft. 2005. Hydrologic regime controls soil phosphorus fluxes in restoration and undisturbed wetlands. Restoration Ecology 13:341-347.</t>
  </si>
  <si>
    <t>Aldous, A. R., C. B. Craft, C. J. Stevens, M. J. Barry, and L. B. Bach. 2007. Soil phosphorus release from a restoration wetland, Upper Klamath Lake, Oregon. Wetlands 27:1025-1035.</t>
  </si>
  <si>
    <t>Burley, K. L., E. E. Prepas, and P. A. Chambers. 2001. Phosphorus release from sediments in hardwater eutrophic lakes: the effects of redox-sensitive and -insensitive chemical treatments. Freshwater Biology 46:1061-1074.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</si>
  <si>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</si>
  <si>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</si>
  <si>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Hoffmann, C. C., C. Kjaergaard, J. Uusi-Kamppa, H. C. B. Hansen, and B. Kronvang. 2009. Phosphorus retention in riparian buffers: Review of their efficiency. Journal of Environmental Quality 38:1942-1955.</t>
  </si>
  <si>
    <t>Knox, A. K., R. A. Dahgren, K. W. Tate, and E. R. Atwill. 2008. Efficacy of natural wetlands to retain nutrient, sediment and microbial pollutants. Journal of Environmental Quality 37:1837-1846.</t>
  </si>
  <si>
    <t>Prepas, E. E., B. Pinel-Alloul, D. Planas, G. Méthot, S. Paquet, and S. Reedyk. 2001. Forest harvest impacts on water quality and aquatic biota on the Boreal Plain: Introduction to the TROLS lake program. Canadian Journal of Fisheries and Aquatic Sciences 58:421-436.</t>
  </si>
  <si>
    <t>Prescott, C. E., L. Vesterdal, J. Pratt, K. H. Venner, L. M. de Montigny, and J. A. Trofymow. 2000. Nutrient concentrations and nitrogen mineralization in forest floors of single species conifer plantations in coastal British Columbia. Canadian Journal of Forest Research 30:1341-1352.</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</si>
  <si>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</si>
  <si>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</si>
  <si>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Snyder, D. T. and J. L. Morace. 1997. Nitrogen and Phosphorus Loading from Drained Wetlands Adjacent to Upper Klamath and Agency Lakes, Oregon. US Geological Survey Water Resources Investigations Report 97-4059. US Geological Survey, Fort Collins, CO.</t>
  </si>
  <si>
    <t>Banner, A., P. LePage, J. Moran, and A. de Groot. 2005. Pattern, Process, and Productivity in Hypermaritime Forests of Coastal British Columbia– a synthesis of 7-year results. B.C. Ministry of Forests, Resources Branch, Victoria, B.C.</t>
  </si>
  <si>
    <t>Bayley, S. E. and R. L. Mewhort. 2004. Plant community structure and junctional differences between marshes and fens in the southern boreal region of Alberta, Canada. Wetlands 24:277-294.</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</si>
  <si>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</si>
  <si>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Bragazza, L., T. Tahvanainen, L. Kutnar, H. Rydin, J. Limpens, M. Hájek, P. Grosvernier, T. Hájek, P. Hajkova, I. Hansen, P. Iacumin, and R. Gerdol. 2004. Nutritional constraints in ombrotrophic Sphagnum plants under increasing atmospheric nitrogen deposition in Europe. New Phytologist 163.</t>
  </si>
  <si>
    <t>Cortini, F. and P. G. Comeau. 2008. Effects of red alder and paper birch competition on juvenile growth of three conifer species in southwestern British Columbia. Forest Ecology and Management 256:1795-1803.</t>
  </si>
  <si>
    <t>Dosskey, M. G. 2001. Toward quantifying water pollution abatement in response to installing buffers on crop land. Environmental Management 28:577-598.</t>
  </si>
  <si>
    <t>Fellman, J. B. and D. V. D'Amore. 2007. Nitrogen and phosphorus mineralization in three wetland types in Southeast Alaska, USA. Wetlands 27:44-53.</t>
  </si>
  <si>
    <t>Gunderson, L. H., S. R. Carpenter, C. Folke, P. Olsson, and G. D. Peterson. 2006. Water RATs (resilience, adaptability, and transformability) in lake and wetland social-ecological systems. Ecology and Society 11:16.</t>
  </si>
  <si>
    <t>Hazlett, P., K. Broad, A. Gordon, P. Sibley, J. Buttle, and D. Larmer. 2008. The importance of catchment slope to soil water N and C concentrations in riparian zones: implications for riparian buffer width. Canadian Journal of Forest Research-Revue Canadienne De Recherche Forestiere 38:16-30.</t>
  </si>
  <si>
    <t>Hefting, M., B. Beltman, D. Karssenberg, K. Rebel, M. van Riessen, and M. Spijker. 2006. Water quality dynamics and hydrology in nitrate loaded riparian zones in the Netherlands. Environmental Pollution 139:143-156.</t>
  </si>
  <si>
    <t>Heijmans, M. M. P. D., H. Klees, W. de Visser, and F. Berendse. 2002. Response of a Sphagnum bog plant community to elevated CO2 and N supply. Plant Ecology 162:123-134.</t>
  </si>
  <si>
    <t>Hunt, P. G., T. A. Matheny, and K. S. Ro. 2007. Nitrous oxide accumulation in soils from riparian buffers of a coastal plain watershed-carbon/nitrogen ratio control. Journal of Environmental Quality 36:1368-1376.</t>
  </si>
  <si>
    <t>Kim, I. J., S. L. Hutchinson, J. M. S. Hutchinson, and C. B. Young. 2007. Riparian ecosystem management model: sensitivity to soil, vegetation, and weather input parameters. Journal of the American Water Resources Association 43:1171-1182.</t>
  </si>
  <si>
    <t>Kroeger, K. D. and M. A. Charette. 2008. Nitrogen biogeochemistry of submarine groundwater discharge. Limnology and Oceanography 53:1025-1079.</t>
  </si>
  <si>
    <t>Lertzman, K. P., G. D. Sutherland, A. Inselberg, and S. C. Saunders. 1996. Canopy gaps and the landscape mosaic in a coastal temperate rain forest. Ecology 77:1254-1270.</t>
  </si>
  <si>
    <t>Li, Y. and D. H. Vitt. 1997. Patterns of retention and utilization of aerially deposited nitrogen in boreal peatlands. Ecoscience. Sainte-Foy 4:106-116.</t>
  </si>
  <si>
    <t>Madden, S. S., G. R. Robinson, and J. G. Arnason. 2007. Spatial variation in stream water quality in relation to riparian buffer dimensions in a rural watershed of eastern New York state. Northeastern Naturalist 14:605-618.</t>
  </si>
  <si>
    <t>Mayer, P. M., S. K. Reynolds, Jr., M. D. McCutchen, and T. J. Canfield. 2007. Meta-analysis of nitrogen removal in riparian buffers. Journal of Environmental Quality 36:1172-1180.</t>
  </si>
  <si>
    <t>Pinay, G., T. O'Keefe, R. Edwards, and R. J. Naiman. 2003. Potential denitrification activity in the landscape of a western Alaska drainage basin. Ecosystems 6:336-343.</t>
  </si>
  <si>
    <t>Sanborn, P. T., C. M. Preston, and R. Brockley. 2002. N-2-fixation by Sitka alder in a young lodgepole pine stand in central interior British Columbia, Canada. Forest Ecology and Management 167:223-231.</t>
  </si>
  <si>
    <t>Shaffer, P. W. and T. L. Ernst. 1999. Distribution of soil organic matter in freshwater emergent/open water wetlands in the Portland, Oregon metropolitan area. Wetlands 19:505-516.</t>
  </si>
  <si>
    <t>Shrestha, R. R., A. J. Berland, M. A. Schnorbus, and A. T. Werner. 2011. Climate Change Impacts on Hydro-Climatic Regimes in the Peace and Columbia Watersheds, British Columbia, Canada. Pacific Climate Impacts Consortium. University of Victoria, Victoria, BC.</t>
  </si>
  <si>
    <t>Song, K., D. Liu, Z. Wang, B. Zhang, C. Jin, F. Li, and H. Liu. 2008. Land use change in Sanjiang Plain and its driving forces analysis since 1954. ACTA Georaphica Sinica-Chinese Edition 63:93.</t>
  </si>
  <si>
    <t>Van Hoewyk, D., P. M. Groffman, E. Kiviat, G. Mihocko, and G. Stevens. 2000. Soil nitrogen dynamics in organic and mineral soil calcareous wetlands in eastern New York. Soil Science Society of America Journal 64: 2168–2173.</t>
  </si>
  <si>
    <t>Wigington, P. J., S. M. Griffith, J. A. Field, J. E. Baham, W. R. Horwath, J. Owen, J. H. Davis, S. C. Rain, and J. J. Steiner. 2003. Nitrate removal effectiveness of a riparian buffer along a small agricultural stream in western Oregon. Journal of Environmental Quality 32:162-170.</t>
  </si>
  <si>
    <t>Zaman, M., M. L. Nguyen, F. Matheson, J. D. Blennerhassett, and B. F. Quin. 2007. Can soil amendments (zeolite or lime) shift the balance between nitrous oxide and dinitrogen emissions from pasture and wetland soils receiving urine or urea-N? Australian Journal of Soil Research 45:543-553.</t>
  </si>
  <si>
    <t>Altor, A. and W. Mitsch. 2008. Pulsing hydrology, methane emissions and carbon dioxide fluxes in created marshes: A 2-year ecosystem study. Wetlands 28:423-438.</t>
  </si>
  <si>
    <t>Belyea, L. R. and N. Malmer. 2004. Carbon sequestration in peatland: patterns and mechanisms of response to climate change. Global Change Biology 10:1043-1052.</t>
  </si>
  <si>
    <t>Blanco-Canqui, H. and R. Lal. 2004. Mechanisms of Carbon Sequestration in Soil Aggregates. Critical Reviews in Plant Sciences 23:481-504.</t>
  </si>
  <si>
    <t>Blodau, C., B. Mayer, S. Peiffer, and T. R. Moore. 2007. Support for an anaerobic sulfur cycle in two Canadian peatland soils. Journal of Geophysical Research: Biogeosciences 112:G02004.</t>
  </si>
  <si>
    <t>Bridgham, S. D. and C. J. Richardson. 2003. Endogenous versus exogenous nutrient control over decomposition and mineralization in North Carolina peatlands. Biogeochemistry 65:151-178.</t>
  </si>
  <si>
    <t>Cheng, W., K. Yagi, H. Akiyama, S. Nishimura, S. Sudo, T. Fumoto, T. Hasegawa, A. E. Hartley, and J. P. Megonigal. 2007. An empirical model of soil chemical properties that regulate methane production in Japanese rice paddy soils. Journal of Environmental Quality 36:1920-1925.</t>
  </si>
  <si>
    <t>Collins, M. E. and R. 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</si>
  <si>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 V., J. B. Fellman, R. T. Edwards, and E. Hood. 2010. Controls on dissolved organic matter concentrations in soils and streams from a forested wetland and sloping bog in southeast Alaska. Ecohydrology 3:249-261.</t>
  </si>
  <si>
    <t>den Ouden, J. and P. Alaback. 1996. Successional trends and biomass of mosses on windthrow mounds in the temperate rainforests of Southeast Alaska. Vegetatio 124:115-128.</t>
  </si>
  <si>
    <t>Edwards, G. C., G. M. Dias, G. W. Thurtell, G. E. Kidd, N. T. Roulet, C. A. Kelly, J. W. M. Rudd, A. Moore, and L. Halfpenny-Mitchell. 2001. Methane fluxes from a wetland using the flux-gradient technique; the measurement of methane flux from a natural wetland pond and adjacent vegetated wetlands using a TDL-based flux-gradient technique. Water, Air and Soil Pollution: Focus 1:447-454.</t>
  </si>
  <si>
    <t>Fennessy, M. S., A. Rokosch, and J. J. Mack. 2008. Patterns of plant decomposition and nutrient cycling in natural and created wetlands. Wetlands 28:300-310.</t>
  </si>
  <si>
    <t>Gauci, V., D. J. G. Gowing, E. R. C. Hornibrook, J. M. Davis, and N. B. Dise. 2010. Woody stem methane emission in mature wetland alder trees. Atmospheric Environment 44:2157-2160.</t>
  </si>
  <si>
    <t>Glatzel, S., N. Basiliko, and T. Moore. 2004. Carbon dioxide and methane production potentials of peats from natural, harvested, and restored sites, eastern Quebec, Canada. Wetlands 24:261-267.</t>
  </si>
  <si>
    <t>Glenn, A. J., L. B. Flanagan, K. H. Syed, and P. J. Carlson. 2006. Comparison of net ecosystem CO2 exchange in two peatlands in western Canada with contrasting dominant vegetation, Sphagnum and Carex. Agricultural and Forest Meteorology 140:115-135.</t>
  </si>
  <si>
    <t>Green, S. M. and A. J. Baird. 2012. A mesocosm study of the role of the sedge Eriophorum angustifolium in the efflux of methane-including that due to episodic ebullition-from peatlands. Plant and Soil 351:207-218.</t>
  </si>
  <si>
    <t>Gunnarsson, U. 2005. Global patterns of Sphagnum productivity. Journal of Bryology 27:269-279.</t>
  </si>
  <si>
    <t>Hines, M. E., K. N. Duddleston, and J. P. Chanton. 2006. Uncoupling of the pathway of methanogenesis in northern wetlands: connection to vegetation, and implications for variability and predictability. American Geophysical Union URL:http://www.agu.org.</t>
  </si>
  <si>
    <t>Hines, M. E., K. N. Duddleston, J. N. Rooney-Varga, D. Fields, and J. P. Chanton. 2008. Uncoupling of acetate degradation from methane formation in Alaskan wetlands: Connections to vegetation distribution. Global Biogeochemical Cycles 22:GB2017.</t>
  </si>
  <si>
    <t>Hossler, K. and V. Bouchard. 2010. Soil development and establishment of carbon-based properties in created freshwater marshes. Ecological Applications 20:539-553.</t>
  </si>
  <si>
    <t>Keller, J. K., J. R. White, S. D. Bridgham, and J. Pastor. 2004. Climate change effects on carbon and nitrogen mineralization in peatlands through changes in soil quality. Global Change Biology 10:1053-1064.</t>
  </si>
  <si>
    <t>Kelly, C. A., J. W. M. Rudd, R. A. Bodaly, N. P. Roulet, V. L. St. Louis, A. Heyes, T. R. Moore, S. Schiff, R. Aravena, K. J. Scott, B. Dyck, R. Harris, B. Warner, and G. Edwards. 1997. Increases in fluxes of greenhouse gases and methyl mercury following flooding of an experimental reservoir. Environmental Science and Technology 31:1334-1344.</t>
  </si>
  <si>
    <t>Law, C. 2008. Predicting and monitoring the effects of large-scale ocean iron fertilization on marine trace gas emissions. Marine Ecology Progress Series 364.</t>
  </si>
  <si>
    <t>Li, C., J. B. Cui, S. Ge, and C. Trettin. 2004. Modeling impacts of management on carbon sequestration and trace gas emissions in forested wetland ecosystems. Journal of Environmental Management 33:S176–S186.</t>
  </si>
  <si>
    <t>Liblik, L. K., T. R. Moore, J. L. Bubier, and S. D. Robinson. 1997. Methane emissions from wetlands in the zone of discontinuous permafrost: Fort Simpson, Northwest Territories, Canada. Global Biogeochemical Cycles 11:485-494.</t>
  </si>
  <si>
    <t>Magenheimer, J. F., T. R. Moore, G. L. Chmura, and R. J. Daoust. 1996. Methane and carbon dioxide flux from a macrotidal salt marsh, Bay of Fundy, New Brunswick. Estuaries 19:139-145.</t>
  </si>
  <si>
    <t>Mitsch, W. J., L. Zhang, C. J. Anderson, A. E. Altor, and M. E. Hernandez. 2005. Creating riverine wetlands: Ecological succession, nutrient retention, and pulsing effects. Ecological Engineering 25:510-527.</t>
  </si>
  <si>
    <t>Moosavi, N. H. and M. Chehrazi. 1994. Post emergence control of winter wild oat (Avena ludoviciana DUR) and littleseed cannarygrass (Phalaris minor Retz.) in wheat (Triticum aestivum L. "Arvand"). The Scientific Journal of Agriculture 17.</t>
  </si>
  <si>
    <t>Moosavi, S. C., P. M. Crill, E. R. Pullman, D. W. Funk, and K. M. Peterson. 1996. Controls on CH4 flux from an Alaskan boreal wetland. Global Biogeochemical Cycles 10:287-296.</t>
  </si>
  <si>
    <t>Pelletier, L., T. R. Moore, N. T. Roulet, M. Garneau, and V. Beaulieu-Audy. 2007. Methane fluxes from three peatlands in the La Grande Riviere watershed, James Bay lowland, Canada. Journal of Geophysical Research-Biogeosciences 112:G01018.</t>
  </si>
  <si>
    <t>Price, J. S., A. L. Heathwaite, and A. J. Baird. 2003. Hydrological processes in abandoned and restored peatlands: An overview of management approaches. Wetlands Ecology and Management 11:65-83.</t>
  </si>
  <si>
    <t>Rose, C. and W. G. Crumpton. 2006. Spatial patterns in dissolved oxygen and methane concentrations in a prairie pothole wetland in Iowa, USA. Wetlands 26:1020-1025.</t>
  </si>
  <si>
    <t>Rumburg, C. B. and W. A. Sawyer. 1965. Response of wet-meadow vegetation to length and depth of surface water from wild-flood irrigation. Agronomy Journal 57:245–247.</t>
  </si>
  <si>
    <t>Ryan, M. G. and B. E. Law. 2005. Interpreting, measuring, and modeling soil respiration. Biogeochemistry 73:3-27.</t>
  </si>
  <si>
    <t>Smemo, K. A. and J. B. Yavitt. 2006. A multi-year perspective on methane cycling in a shallow peat fen in central New York State, USA. Wetlands 26:20-29.</t>
  </si>
  <si>
    <t>Smialek, J., V. Bouchard, B. Lippmann, M. Quigley, T. Granata, J. Martin, and L. Brown. 2006. Effect of a woody (Salix nigra) and an herbaceous (Juncus effusus) macrophyte species on methane dynamics and denitrification. Wetlands 26:509-517.</t>
  </si>
  <si>
    <t>Smith, L. K., W. M. Lewis, J. P. Chanton, G. Cronin, and S. K. Hamilton. 2000. Methane emissions from the Orinoco River floodplain, Venezuela. Biogeochemistry 51:113-140.</t>
  </si>
  <si>
    <t>Strack, M., M. F. Waller, and J. M. Waddington. 2006. Sedge succession and peatland methane dynamics: A potential feedback to climate change. Ecosystems 9:278-287.</t>
  </si>
  <si>
    <t>Tauchnitz, N., R. Brumme, S. Bernsdorf, and R. Meissner. 2008. Nitrous oxide and methane fluxes of a pristine slope mire in the German National Park Harz Mountains. Plant and Soil 303:131-138.</t>
  </si>
  <si>
    <t>Thormann, M. N. and S. E. Bayley. 1997. Response of aboveground net primary plant production to nitrogen and phosphorus fertilization in peatlands in southern boreal Alberta, Canada. Wetlands 17:502-512.</t>
  </si>
  <si>
    <t>Tranvik, L. J., J. A. Downing, J. B. Cotner, S. A. Loiselle, R. G. Striegl, T. J. Ballatore, P. Dillon, K. Finlay, K. Fortino, L. B. Knoll, P. L. Kortelainen, T. Kutser, S. Larsen, I. Laurion, D. M. Leech, S. L. McCallister, D. M. McKnight, J. M. Melack, E. Overholt, J. A. Porter, Y. Prairie, W. H. Renwick, F. Roland, B. S. Sherman, D. W. Schindler, S. Sobek, A. Tremblay, M. J. Vanni, A. M. Verschoor, E. von Wachenfeldt, and G. A. Weyhenmeyer. 2009. Lakes and reservoirs as regulators of carbon cycling and climate. Limnology and Oceanography 54:2298-2314.</t>
  </si>
  <si>
    <t>Tuittila, E. S., V. M. Komulainen, H. Vasander, H. Nykanen, P. J. Martikainen, and J. Laine. 2000. Methane dynamics of a restored cut-away peatland. Global Change Biology 6:569-581.</t>
  </si>
  <si>
    <t>Updegraff, K., J. Pastor, S. D. Bridgham, and C. A. Johnston. 1995. Environmental and substrate controls over carbon and nitrogen mineralization in northern wetlands. Ecological Applications 5:151-163.</t>
  </si>
  <si>
    <t>Valentine, D. W., E. A. Holland, and D. S. Schimel. 1994. Ecosystem and physiological controls over methane production in northern wetlands. Journal of Geophysical Research-Atmospheres 99:1563-1571.</t>
  </si>
  <si>
    <t>Waddington, J. M. and M. R. Turetsky. 2008. Peatland ecohydrology: Water-vegetation-carbon interactions in a changing climate. Geophysical Research Abstracts 10:EGU2008-A-08409.</t>
  </si>
  <si>
    <t>Wardrop, D. H. and R. P. Brooks. 1998. The occurrence and impact of sedimentation in central Pennsylvania wetlands. Environmental Monitoring and Assessment 51:119-130.</t>
  </si>
  <si>
    <t>Westermann, P. and B. K. Ahring. 1987. Dynamics of methane production, sulfate reduction, and denitrification in a permanently waterlogged alder swamp. Applied and Environmental Microbiology 53:2554-2559.</t>
  </si>
  <si>
    <t>White, H. K., C. M. Reddy, and T. I. Eclinton. 2008. Radiocarbon-based assessment of fossil fuel-derived contaminant associations in sediments. Environmental Science &amp; Technology 42:5428-5434.</t>
  </si>
  <si>
    <t>Willey, Z. and B. Chameides. 2008. Harnessing Farms and Forests in the Low-Carbon Economy. How to Create, Measure, and Verify Greenhouse Gas Offsets. Duke University Press, Durham, NC, USA/London, UK.</t>
  </si>
  <si>
    <t>Williams, C. J. and J. B. Yavitt. 2010. Temperate wetland methanogenesis: The importance of vegetation type and root ethanol production. Soil Science Society of America Journal 74:317-325.</t>
  </si>
  <si>
    <t>Alsfeld, A. J., J. L. Bowman, and A. Deller-Jacobs. 2009. Effects of woody debris, microtopography, and organic matter amendments on the biotic community of constructed depressional wetlands. Biological Conservation 142:247-255.</t>
  </si>
  <si>
    <t>Fellman, J. B., E. Hood, D. V. D'Amore, R. T. Edwards, and D. White. 2009. Seasonal changes in the chemical quality and biodegradability of dissolved organic matter exported from soils to streams in coastal temperate rainforest watersheds. Biogeochemistry 95:277-293.</t>
  </si>
  <si>
    <t>Fitzgerald, D. F., J. S. Price, and J. J. Gibson. 2003. Hillslope-swamp interactions and flow pathways in a hyper-maritime rainforest, British Columbia. Hydrological Processes 17:3005-3022.</t>
  </si>
  <si>
    <t>Booth, D. B., D. Hartley, and R. Jackson. 2002. Forest cover, impervious-surface area, and the mitigation of storm water impacts. Journal of American Water Resources Association 38:835-845.</t>
  </si>
  <si>
    <t>Brown, T. G. and G. F. Hartman. 1988. Contribution of seasonally flooded lands and minor tributaries to the production of coho salmon in Carnation Creek, British Columbia. Transactions of the American Fisheries Society 117:546-551.</t>
  </si>
  <si>
    <t>Colosimo, M. F. and P. R. Wilcock. 2007. Alluvial sedimentation and erosion in an urbanizing watershed, Gwynns Falls, Maryland. Journal of the American Water Resources Association 43:499–521.</t>
  </si>
  <si>
    <t>Cookson, N. and M. S. Schorr. 2009. Correlations of watershed housing density with environmental conditions and fish assemblages in a Tennessee Ridge and Valley stream. Journal of Freshwater Ecology 24:553-561.</t>
  </si>
  <si>
    <t>Delgado, J., N. Arroyo, J. Arevalo, and J. Fernandez-Palacios. 2007. Edge effects of roads on temperature, light, canopy cover, and canopy height in laurel and pine forests (Tenerife, Canary Islands). Landscape Urban Planning 81:328-340.</t>
  </si>
  <si>
    <t>Fausch, K. D. and T. G. Northcote. 1992. Large woody debris and salmonid habitat in a small coastal British Columbia stream. Canadian Journal of Fisheries and Aquatic Sciences 49: 682-693.</t>
  </si>
  <si>
    <t>Freeman, M. C., C. M. Pringle, and C. R. Jackson. 2007. Hydrologic connectivity and the contribution of stream headwaters to ecological integrity at regional scales. Journal of the American Water Resources Association 43:5-14.</t>
  </si>
  <si>
    <t>Hansen, A. J., R. L. Knight, J. M. Marzluff, S. Powell, K. Brown, P. H. Gude, and K. Jones. 2005. Effects of exurban development on biodiversity: patterns, mechanisms, and research needs. Ecological Applications 15:1893-1905.</t>
  </si>
  <si>
    <t>Henning, J. A., R. E. Gresswell, and I. A. Fleming. 2006. Juvenile salmonid use of freshwater emergent wetlands in the floodplain and its implications for conservation management. North American Journal of Fisheries Management 26:367-376.</t>
  </si>
  <si>
    <t>Henning, J. A., R. E. Gresswell, and I. A. Fleming. 2007. Use of seasonal freshwater wetlands by fishes in a temperate river floodplain. Journal of Fish Biology 71:476-492.</t>
  </si>
  <si>
    <t>Hepinstall, J. A., M. Alberti, and J. M. Marzluff. 2008. Predicting land cover change and avian community responses in rapidly urbanizing environments. Landscape Ecology 23:1257-1276.</t>
  </si>
  <si>
    <t>Hernandez, O., R. W. Merritt, and M. S. Wipfli. 2005. Benthic invertebrate community structure is influenced by forest succession after clearcut logging in southeastern Alaska. Hydrobiologia 533:45-59.</t>
  </si>
  <si>
    <t>Konrad, C. P., D. B. Booth, and S. J. Burges. 2005. Effects of urban development in the Puget Lowland, Washington, on interannual streamflow patterns: Consequences for channel form and streambed disturbance. Water Resources Research 41.</t>
  </si>
  <si>
    <t>LeSage, C. M., R. W. Merritt, and M. S. Wipfli. 2005. Headwater riparian invertebrate communities associated with red alder and conifer wood and leaf litter in southeastern Alaska. Northwest Science 79:218-232.</t>
  </si>
  <si>
    <t>May, C. W., R. R. Horner, J. R. Karr, B. W. Mar, and E. B. Welch. 1997. The Cumulative Effects of Urbanization on Small Streams in the Puget Sound Lowland Ecoregion. University of Washington, Seattle, WA.</t>
  </si>
  <si>
    <t>Miltner, R. J., D. White, and C. Yoder. 2004. The biotic integrity of streams in urban and suburbanizing landscapes. Landscape and Urban Planning 69:87-100.</t>
  </si>
  <si>
    <t>Morgan II, R. P., K. M. Kline, and S. F. Cushman. 2007. Relationships among nutrients, chloride and biological indices in urban Maryland streams. Urban Ecosystems 10:153-166.</t>
  </si>
  <si>
    <t>Roy, A. H., C. L. Faust, M. C. Freeman, and J. L. Meyer. 2005. Reach-scale effects of riparian forest cover on urban stream ecosystems. Canadian Journal of Fisheries and Aquatic Sciences 62:2312-2329.</t>
  </si>
  <si>
    <t>Shandas, V. and M. Alberti. 2009. Exploring the role of vegetation fragmentation on aquatic conditions: Linking upland with riparian areas in Puget Sound lowland streams. Landscape and Urban Planning 90:66-75.</t>
  </si>
  <si>
    <t>Shields, C. A., L. E. Band, N. Law, P. M. Groffman, S. S. Kaushal, K. Savvas, G. T. Fisher, and K. T. Belt. 2008. Streamflow distribution of non–point source nitrogen export from urban-rural catchments in the Chesapeake Bay watershed. Water Resources Research 44:W09416.</t>
  </si>
  <si>
    <t>Walsh, C. J. and J. Kunapo. 2009. The importance of upland flow paths in determining urban effects on stream ecosystems. Journal of the North American Benthological Society 28:977-990.</t>
  </si>
  <si>
    <t>Welsh Jr, H. H. and G. R. Hodgson. 2008. Amphibians as metrics of critical biological thresholds in forested headwater streams of the Pacific Northwest, U.S.A. Freshwater Biology 53:1470-1488.</t>
  </si>
  <si>
    <t>Wipfli, M. S. and J. Musslewhite. 2004. Density of red alder (Alnus rubra) in headwaters influences invertebrate and detritus subsidies to downstream fish habitats in Alaska. Hydrobiologia 520:153-163.</t>
  </si>
  <si>
    <t>Wipfli, M. S. 1997. Terrestrial invertebrates as salmonid prey and nitrogen sources in streams: contrasting old-growth and young-growth riparian forests in southeastern Alaska, USA. Canadian Journal of Fisheries and Aquatic Sciences 54:1259-1269.</t>
  </si>
  <si>
    <t>Wipfli, M. S., J. S. Richardson, and R. J. Naiman. 2007. Ecological linkages between headwaters and downstream ecosystems: Transport of organic matter, invertebrates, and wood down headwater channels. Journal of the American Water Resources Association 43:72-85.</t>
  </si>
  <si>
    <t>Deniseger, J., L. J. Erickson, A. Austin, M. Roch, and M. J. R. Clark. 1990. The effects of decreasing heavy metal concentrations on the biota of Buttle Lake, Vancouver Island, British Columbia. Water Resources Bulletin 24:403-416.</t>
  </si>
  <si>
    <t xml:space="preserve">Wipfli, M. S., J. S. Richardson, and R. J. Naiman. 2007. Ecological linkages between headwaters and downstream ecosystems: Transport of organic matter, invertebrates, and wood down headwater channels. Journal of the American Water Resources Association 43:72-85. </t>
  </si>
  <si>
    <t>Yoder, C. O., R. J. Miltner, and D. White. 1999. Assessing the Status of Aquatic Life Designated Uses in Urban and Suburban Watersheds. . Pages 16-28 in A. Everson et al., editor. Proceedings of National Conference on Retrofit Opportunities for Water Resource Protection in Urban Environments. Chicago, IL February 9-12, 1998. Technology Transfer and Support Division, National Risk Management Research Laboratory, Office of Research and Development, U.S. Environmental Protection Agency, Cincinnati, Ohio.</t>
  </si>
  <si>
    <t>Baxter, C. V., K. D. Fausch, and W. Carl Saunders. 2005. Tangled webs: reciprocal flows of invertebrate prey link streams and riparian zones. Freshwater Biology 50:201-220.</t>
  </si>
  <si>
    <t>Cannings, S. G. and R. A. Cannings. 1994. The Odonata of the northern Cordilleran peatlands of North America. Memoirs of the Entomological Society of Canada 169:89-110.</t>
  </si>
  <si>
    <t>Christie, K. S. and T. E. Reimchen. 2008. Presence of salmon increases passerine density on Pacific Northwest streams. The Auk 125:51-59.</t>
  </si>
  <si>
    <t>Claeson, S. M., J. L. Li, J. E. Compton, and P. A. Bisson. 2006. Response of nutrients, biofilm, and benthic insects to salmon carcass addition. Canadian Journal of Fisheries and Aquatic Sciences 63:1230-1241.</t>
  </si>
  <si>
    <t>Corcoran, R. M., J. R. Lovvorn, and P. J. Heglund. 2009. Long-term change in limnology and invertebrates in Alaskan boreal wetlands. Hydrobiologia 620:77–89.</t>
  </si>
  <si>
    <t>Fischer, J. R., M. C. Quist, S. L. Wigen, A. J. Schaefer, T. W. Stewart, and T. M. Isenhart. 2010. Assemblage and population-level responses of stream fish to riparian buffers at multiple spatial scales. Transactions of the American Fisheries Society 139:185-200.</t>
  </si>
  <si>
    <t>Frimpong, E. A., T. M. Sutton, K. J. Lim, P. J. Hrodey, B. A. Engel, T. P. Simon, J. G. Lee, and D. C. LeMaster. 2005. Determination of optimal riparian forest buffer dimensions for stream biota-landscape association models using multi metric and multi variate responses. Canadian Journal of Fisheries and Aquatic Sciences 62:1-6.</t>
  </si>
  <si>
    <t>Gende, S. M. and M. F. Willson. 2001. Passerine densities in riparian forests of southeast Alaska: potential effects of anadromous spawning salmon. The Condor 103:624-629.</t>
  </si>
  <si>
    <t>Gregory, S. V., F. J. Swanson, W. A. McKee, and K. W. Cummins. 1991. An ecosystem perspective of riparian zones: Focus on links between land and water. Bioscience 41:540-550.</t>
  </si>
  <si>
    <t>Hoover, S. E. R., L. G. W. Shannon, and J. D. Ackerman. 2007. The effect of riparian condition on invertebrate drift in mountain streams. Aquatic Sciences 69:544-553.</t>
  </si>
  <si>
    <t>Kiffney, P. M. and J. P. Bull. 2000. Factors controlling periphyton accrual during summer in headwater streams of southwestern British Columbia, Canada. Journal of Freshwater Ecology 15:339-351.</t>
  </si>
  <si>
    <t>Kiffney, P. M., J. S. Richardson, and J. P. Bull. 2003. Responses of periphyton and insects to experimental manipulation of riparian buffer width along forest streams. Journal of Applied Ecology 40:1060-1076.</t>
  </si>
  <si>
    <t>Knutson, K. L., V. Naef, and Washington (State) Department of Fish and Wildlife. 1997. Management Recommendations for Washington's Priority Habitats: Riparian. Washington Department of Fish and Wildlife, Olympia, WA.</t>
  </si>
  <si>
    <t>McDade, M. H., F. J. Swanson, W. A. McKee, J. F. Franklin, and J. Van Sickle. 1990. Source  distances for coarse woody debris entering small streams in western Oregon and Washington USA. Canadian Journal of Forest Research 20:326-330.</t>
  </si>
  <si>
    <t>Meleason, M. A., S. V. Gregory, and J. P. Bolte. 2003. Implications of riparian management strategies on wood in streams of the Pacific Northwest. Ecological Applications 13:1212-1221.</t>
  </si>
  <si>
    <t>Moldenke, A. R. and C. V. Linden. 2007. Effects of clearcutting and riparian buffers on the yield of adult aquatic macroinvertebrates from headwater streams. Forest Science 53:308-319.</t>
  </si>
  <si>
    <t>Moore, J. W. and D. E. Schindler. 2008. Biotic disturbance and benthic community dynamics in salmon-bearing streams. Journal of Animal Ecology 77:275-284.</t>
  </si>
  <si>
    <t>Murphy, M. 1995. Forestry Impacts on Freshwater Habitat of Anadromous Salmonids in the Pacific Northwest and Alaska – Requirements for Protection and Restoration. NOAA Coastal Ocean Program Decision Analysis Series No. 7. U.S. Department of Commerce, National Oceanic and Atmospheric Administration Coastal Ocean Office, NOAA Coastal Ocean Office, Silver Springs, MD.</t>
  </si>
  <si>
    <t>Naiman, R. J., R. E. Bilby, and P. A. Bisson. 2000. Riparian ecology and management in the Pacific Coastal Rain Forest. Bioscience 50:996-1011.</t>
  </si>
  <si>
    <t>Ober, H. K. and J. P. Hayes. 2008. Influence of forest riparian vegetation on abundance and biomass of nocturnal flying insects. Forest Ecology and Management 256:1124-1132.</t>
  </si>
  <si>
    <t>Richards, C., L. B. Johnson, and G. E. Host. 1996. Landscape-scale influences on stream habitats and biota. Canadian Journal of Fisheries and Aquatic Sciences 53:295-311.</t>
  </si>
  <si>
    <t>Richardson, J. S., R. E. Bilby, and C. A. Bondar. 2005. Organic matter dynamics in small streams of the Pacific Northwest. Journal of the American Water Resources Association 41:921-934.</t>
  </si>
  <si>
    <t>Robison, E. G. and R. L. Beschta. 1990. Identifying trees in riparian areas that can provide coarse woody debris to streams. Forest Science 36:790-801.</t>
  </si>
  <si>
    <t>Roth, B. M., I. C. Kaplan, G. G. Sass, P. T. Johnson, A. E. Marburg, A. C. Yannarell, T. D. Havlicek, T. V. Willis, M. G. Turner, and S. R. Carpenter. 2007. Linking terrestrial and aquatic ecosystems: The role of woody habitat in lake food webs. Ecological Modelling 203:439-452.</t>
  </si>
  <si>
    <t>Utz, R. M., R. H. Hilderbrand, and D. M. Boward. 2009. Identifying regional differences in threshold responses of aquatic invertebrates to land cover gradients. Ecological Indicators 9:556-567.</t>
  </si>
  <si>
    <t>Wenger, S. and L. Fowler. 2000. Protecting stream and river corridors : creating effective local riparian buffer ordinances. Carl Vinson Institute of Government, the University of Georgia, Athens, GA.</t>
  </si>
  <si>
    <t>Wipfli, M. S., J. S. Richardson, and R. J. Naiman. 2007. Ecological linkages between headwaters and downstream ecosystems: transport of organic matter, invertebrates, and wood down headwater channels. Journal of the American Water Resources Association 43:72-85.</t>
  </si>
  <si>
    <t>Ball, B. A., J. S. Kominoski, H. E. Adams, S. E. Jones, E. S. Kane, T. D. Loecke, W. M. Mahaney, J. P. Martina, C. M. Prather, T. M. P. Robinson, and C. T. Solomon. 2010. Direct and terrestrial vegetation-mediated effects of environmental change on aquatic ecosystem processes. Bioscience 60:590-601.</t>
  </si>
  <si>
    <t>Chan-McLeod, A. C. A. and A. Moy. 2007. Evaluating residual tree patches as stepping stones and short-term refugia for red-legged frogs. Journal of Wildlife Management 71:1836-1844.</t>
  </si>
  <si>
    <t>Cushman, S. A. 2006. Effects of habitat loss and fragmentation on amphibians: a review and prospectus. Biological Conservation 128:231-240.</t>
  </si>
  <si>
    <t>Eigenbrod, F., S. J. Hecnar, and L. Fahrig. 2008a. Accessible habitat: an improved measure of the effects of habitat loss and roads on wildlife populations. Landscape Ecology:159-168.</t>
  </si>
  <si>
    <t>Eigenbrod, F., S. J. Hecnar, and L. Fahrig. 2008b. The relative effects of road traffic and forest cover on anuran populations. Biological Conservation 141:35-46.</t>
  </si>
  <si>
    <t>Hawkins, C. P., M. L. Murphy, N. H. Anderson, and M. A. Wilzbach. 1983. Density of fish and salamanders in relation to riparian canopy and physical habitat in streams of the northwestern United-States. Canadian Journal of Fisheries and Aquatic Sciences 40:1173-1185.</t>
  </si>
  <si>
    <t>Marsh, D. M. 2007. Edge effects of gated and ungated roads on terrestrial salamanders. Journal of Wildlife Management 71:389-394.</t>
  </si>
  <si>
    <t>Semlitsch, R. D., T. J. Ryan, K. Ramed, M. Chatfield, B. Drehman, N. Pekarek, M. Spath, and A. Watland. 2007. Salamander abundance along road edges and within abandoned logging roads in Appalachian forests. Conservation Biology 21:159-167.</t>
  </si>
  <si>
    <t>Burger, J. 1981. The effect of human activity on birds at a coastal bay. Biological Conservation 21:231-241.</t>
  </si>
  <si>
    <t>Epners, C. A., S. E. Bayley, J. E. Thompson, and W. M. Tonn. 2010. Influence of fish assemblage and shallow lake productivity on waterfowl communities in the Boreal Transition Zone of western Canada. Freshwater Biology 55:2265-2280.</t>
  </si>
  <si>
    <t>Haig, S. M., D. W. Mehlman, and L. W. Oring. 1998. Avian movements and wetland connectivity in landscape conservation. Conservation Biology 12:749-758.</t>
  </si>
  <si>
    <t>Klein, M. L., S. R. Humphrey, and H. F. Percival. 1995. Effects of ecotourism on distribution of waterbirds in a wildlife refuge. Conservation Biology 9:1454-1465.</t>
  </si>
  <si>
    <t>Savard, J.-P. L., W. S. Boyd, and G. E. J. Smith. 1994. Waterfowl–wetland relationships in the Aspen Parkland of British Columbia: comparison of analytical methods. Hydrobiologia 279/280:309-325.</t>
  </si>
  <si>
    <t>Taft, O. W. and S. M. Haig. 2005. The value of agricultural wetlands as invertebrate resources for wintering shorebirds. Agriculture, Ecosystems &amp; Environment 110:249-256.</t>
  </si>
  <si>
    <t>Thormann, M. N. and S. E. Bayley. 1997. Aboveground plant production and nutrient content of the vegetation in six peatlands in Alberta, Canada. Plant Ecology 131:1-16.</t>
  </si>
  <si>
    <t>Andren, H. 1994. Effects of habitat fragmentation on birds and mammals in landscapes with different proportions of suitable habitat – a review. Oikos 71:355-366.</t>
  </si>
  <si>
    <t>Awade, M. and J. P. Metzger. 2008. Using gap-crossing capacity to evaluate functional connectivity of two Atlantic rainforest birds and their response to fragmentation. Austral Ecology 33:863 - 871.</t>
  </si>
  <si>
    <t>Aznar, J. C. and A. Desrochers. 2008. Building for the future: Abandoned beaver ponds promote bird diversity. Ecoscience 15:250-257.</t>
  </si>
  <si>
    <t>Barber, J. R., K. R. Crooks, and K. M. Fristrup. 2010. The costs of chronic noise exposure for terrestrial organisms. Trends in Ecology &amp; Evolution 25:180-189.</t>
  </si>
  <si>
    <t>Belisle, M. and A. Desrochers. 2002. Gap-crossing decisions by forest birds: an empirical basis for parameterizing spatially-explicit, individual-based models. Landscape Ecology 17:219-231.</t>
  </si>
  <si>
    <t>Benitez-Lopez, A., R. Alkemade, and P. A. Verweij. 2010. The impacts of roads and other infrastructure on mammal and bird populations: A meta-analysis. Biological Conservation 143:1307-1316.</t>
  </si>
  <si>
    <t>Chace, J. F. and J. J. Walsh. 2006. Urban effects on native avifauna: a review. Landscape and Urban Planning 74:46-69.</t>
  </si>
  <si>
    <t>Clevenger, A. P., B. Chruszczc, and K. E. Gunson. 2003. Spatial patterns and factors influencing small vertebrate fauna road-kill aggregations. Biological Conservation 109:15-26.</t>
  </si>
  <si>
    <t>Creegan, H. P. and P. E. Osborne. 2005. Gap-crossing decisions of woodland songbirds in Scotland: an experimental approach. Journal of Applied Ecology 42:678-687.</t>
  </si>
  <si>
    <t>Desrochers, A. and S. J. Hannon. 1997. Gap crossing decisions by forest songbirds during the post-fledging period. Conservation Biology 11:1204-1210.</t>
  </si>
  <si>
    <t>Donnelly, R. and J. M. Marzluff. 2004. Importance of reserve size and landscape context to urban bird conservation. Conservation Biology 18:733-745.</t>
  </si>
  <si>
    <t>Donnelly, R. and J. Marzluff. 2006. Relative importance of habitat quantity, structure, and spatial pattern to birds in urbanizing environments. Urban Ecosystems 9:99-117.</t>
  </si>
  <si>
    <t>Drever, M. C. and K. Martin. 2010. Response of woodpeckers to changes in forest health and harvest: Implications for conservation of avian biodiversity. Forest Ecology and Management 259:958-966.</t>
  </si>
  <si>
    <t xml:space="preserve">Fahrig, L. and T. Rytwinski. 2009. Effects of roads on animal abundance: an empirical review and synthesis. Ecology and Society 14:21. http://www.ecologyandsociety.org/vol14/iss21/art21/ </t>
  </si>
  <si>
    <t>Forman, R. T. T., B. Reineking, and A. M. Hersperger. 2002. Road traffic and nearby grassland bird patterns in a suburbanizing landscape. Environmental Management 29:782-800.</t>
  </si>
  <si>
    <t>Grindal, S. D., J. L. Morissette, and R. M. Brigham. 1999. Concentration of bat activity in riparian habitats over an elevational gradient. Canadian Journal of Zoology 77:972-977.</t>
  </si>
  <si>
    <t>Grindal, S. D. and R. M. Brigham. 1999. Impacts of forest harvesting on habitat use by foraging insectivorous bats at different spatial scales. Ecoscience 6:25-34.</t>
  </si>
  <si>
    <t>Grover, A. M. and G. A. Baldassarre. 1995. Bird species richness within beaver ponds in south-central New York. Wetlands 15:108-118.</t>
  </si>
  <si>
    <t>Lees, A. C. and C. A. Peres. 2009. Gap-crossing movements predict species occupancy in Amazonian Forest Fragments. Oikos 118:280-290.</t>
  </si>
  <si>
    <t>Martin, J. L., S. A. Stockton, S. Allombert, and A. J. Gaston. 2010. Top-down and bottom-up consequences of unchecked ungulate browsing on plant and animal diversity in temperate forests: lessons from a deer introduction. Biological Invasions 12:353-371.</t>
  </si>
  <si>
    <t>Massey, B., R. Bowen, C. Griffin, and K. McGarigal. 2008. A classification-tree analysis of nesting habitat in an island population of Northern Harriers. Condor 110:177-183.</t>
  </si>
  <si>
    <t>Mazerolle, M. J., B. Drolet, and A. Desrochers. 2001. Small-mammal responses to peat mining of southeastern Canadian bogs. Canadian Journal of Zoology 79:296-302.</t>
  </si>
  <si>
    <t>Minor, E. and D. Urban. 2010. Forest bird communities across a gradient of urban development. Urban Ecosystems 13:51-71.</t>
  </si>
  <si>
    <t>Oneal, A. S. and J. T. Rotenberry. 2009. Scale-dependent habitat relations of birds in riparian corridors in an urbanizing landscape. Landscape and Urban Planning 92:264-275.</t>
  </si>
  <si>
    <t>Ortega, Y. K. and D. E. Capen. 2002. Roads as edges: effects on birds in forested landscapes. Forest Science 48:381-390.</t>
  </si>
  <si>
    <t>Ott, R. A. and G. P. Juday. 2002. Canopy gap characteristics and their implications for management in the temperate rainforests of southeast Alaska. Forest Ecology and Management 159:271-291.</t>
  </si>
  <si>
    <t>Pennington, D. N. 2008. Riparian Bird Communities Along an Urban Gradient: Effects of Local Vegetation, Landscape Biophysical Heterogeneity, and Spatial Scale. Ph. D. Dissertation. University of Minnesota, Twin Cities, MN.</t>
  </si>
  <si>
    <t>Poulin, J.-F., M.-A. Villard, M. Edman, P. J. Goulet, and A.-M. Eriksson. 2008. Thresholds in nesting habitat requirements of an old forest specialist, the Brown Creeper (Certhia americana), as conservation targets. Biological Conservation 141:1129-1137.</t>
  </si>
  <si>
    <t>Rail, J. F., M. Darveau, A. Desrochers, and J. Huot. 1997. Territorial responses of boreal forest birds to habitat gaps. Condor 99:976-980.</t>
  </si>
  <si>
    <t>Robertson, O. J. and J. Q. Radford. 2009. Gap-crossing decisions of forest birds in a fragmented landscape. Austral Ecology 34:435-446.</t>
  </si>
  <si>
    <t>Schaub, A., J. Ostwald, and B. M. Siemers. 2008. Foraging bats avoid noise. Journal of Experimental Biology 211:3174-3180.</t>
  </si>
  <si>
    <t>Schieck, J., K. Lertzman, B. Nyberg, and R. Page. 1995. Effects of patch size on birds in old-growth montane forests. Conservation Biology 9:1072-1084.</t>
  </si>
  <si>
    <t>Shirley, S. M. 2005. Habitat use by riparian and upland birds in oldgrowth coastal British Columbia rainforest. Wilson Bulletin 117:245-257.</t>
  </si>
  <si>
    <t>Slabbekoorn, H. and E. A. P. Ripmeester. 2008. Birdsong and anthropogenic noise: implications and applications for conservation. Molecular Ecology 17:72-83.</t>
  </si>
  <si>
    <t>Smith, C. M. and D. G. Wachob. 2006. Trends associated with residential development in riparian breeding bird habitat along the Snake River in Jackson Hole, WY, USA: Implications for conservation planning. Biological Conservation 128:431-446.</t>
  </si>
  <si>
    <t>Sperry, D. M., M. Kissling, and T. L. George. 2008. Avian nest survival in coastal forested buffer strips on Prince of Wales Island, Alaska. Condor 110:740-746.</t>
  </si>
  <si>
    <t>Thiemann, J. A., C. R. Webster, M. A. Jenkins, P. M. Hurley, J. H. Rock, and P. S. White. 2009. Herbaceous-layer impoverishment in a post-agricultural southern Appalachian landscape. American Midland Naturalist 162:148-168.</t>
  </si>
  <si>
    <t>Tremblay, M. A. and C. C. St. Clair. 2009. Factors affecting the permeability of transportation and riparian corridors to the movements of songbirds in an urban landscape. Journal of Applied Ecology 46:1314-1322.</t>
  </si>
  <si>
    <t>Tremblay, M. A. and C. C. St Clair. 2011. Permeability of a heterogeneous urban landscape to the movements of forest songbirds. Journal of Applied Ecology 48:679-688.</t>
  </si>
  <si>
    <t>Trombulak, S. C. and C. A. Frissell. 2000. Review of ecological effects of roads on terrestrial and aquatic communities. Conservation Biology 14:18-30.</t>
  </si>
  <si>
    <t>Vermaat, J. E., N. Vigneau, and N. Omtzigt. 2008. Viability of meta-populations of wetland birds in a fragmented landscape: testing the key-patch approach. Biodiversity and Conservation 17:2263-2273.</t>
  </si>
  <si>
    <t>Whitaker, D. M., A. L. Carroll, and W. A. Montevecchi. 2000. Elevated numbers of flying insects and insectivorous birds in riparian buffer strips. Canadian Journal of Zoology 78:740-747.</t>
  </si>
  <si>
    <t>Zmihorski, M. 2010. The effect of windthrow and its management on breeding bird communities in a managed forest. Biodiversity and Conservation 19:1871-1882.</t>
  </si>
  <si>
    <t>Savage, J., T. A. Wheeler, A. M. A. Moores, and A. G. Taillefer. 2011. Effects of habitat size, vegetation cover, and surrounding land use on Diptera diversity in temperate Nearctic bogs. Wetlands 31:125-134.</t>
  </si>
  <si>
    <t>Most waterbirds require some unflooded shoreline for nesting, while also needing large areas of water and emergent vegetation for feeding.</t>
  </si>
  <si>
    <t>Function Score for Amphibian Habitat</t>
  </si>
  <si>
    <t>Function Score for Resident Fish Habitat</t>
  </si>
  <si>
    <t xml:space="preserve"> </t>
  </si>
  <si>
    <t>Anderson, P. D. and M. A. Meleason. 2009. Discerning responses of down wood and understory vegetation abundance to riparian buffer width and thinning treatments: an equivalence-inequivalence approach. Canadian Journal of Forest Research 39:2470-2485.</t>
  </si>
  <si>
    <t>Baldwin, L. K. and G. E. Bradfield. 2007. Bryophyte responses to fragmentation in temperate coastal rainforests: a functional group approach. Biological Conservation 136:408-422.</t>
  </si>
  <si>
    <t>Bayley, S. E. and J. K. Guimond. 2008. Effects of river connectivity on marsh vegetation community structure and species richness in montane floodplain wetlands in Jasper National Park, Alberta, Canada. Ecoscience 15:377-388.</t>
  </si>
  <si>
    <t>Bayley, S. E. and J. K. Guimond. 2009. Above ground biomass and nutrient limitations in relation to river connectivity in montane floodplain marshes. Wetlands 29:1243-1254.</t>
  </si>
  <si>
    <t>Bedford, B. L. and K. S. Godwin. 2003. Fens of the United States: distribution, characteristics, and scientific connection versus legal isolation. Wetlands 23:608-629.</t>
  </si>
  <si>
    <t>Bliss, S. A. and P. H. Zedler. 1997. The germination process in vernal pools: sensitivity to environmental conditions and effects on community structure. Oecologia 113:67-73.</t>
  </si>
  <si>
    <t>Boudreault, C., Y. Bergeron, P. Drapeau, and L. M. Loopez. 2008. Edge effects on epiphytic lichens in remnant stands of managed landscapes in the eastern boreal forest of Canada. Forest Ecology and Management 255:1461-1471.</t>
  </si>
  <si>
    <t>Cadenasso, M. L. and S. T. A. Pickett. 2001. Effect of edge structure on the flux of species into forest interiors. Conservation Biology 15:91-97.</t>
  </si>
  <si>
    <t>DeGasperi, C. L., H. B. Berge, K. R. Whiting, J. J. Burkey, J. L. Cassin, and R. R. Fuerstenberg. 2009. LIinking hydrologic alteration to biological impairment in urbanizing streams of the Puget Lowland, Washington, USA. Journal of the American Water Resources Association 45:512-533.</t>
  </si>
  <si>
    <t>Ehrenfeld, J. G., B. Ravit, and K. Elgersma. 2005. Feedback in the plant-soil system. Annual Review of Environment and Resources 30:75-115.</t>
  </si>
  <si>
    <t>Gignac, L. D. and M. R. T. Dale. 2007. Effects of size, shape, and edge on vegetation in remnants of the upland boreal mixed-wood forest in agro-environments of Alberta, Canada. Canadian Journal of Botany 85:273-284.</t>
  </si>
  <si>
    <t>Heithecker, T. D. and C. B. Halpern. 2007. Edge-related gradients in microclimate in forest aggregates following structural retention harvests in western Washington. Forest Ecology and Management 248:163-173.</t>
  </si>
  <si>
    <t>Houlahan, J. E., P. A. Keddy, K. Makkay, and C. S. Findlay. 2006. The effects of adjacent land use on wetland species richness and community composition. Wetlands 26:79-96.</t>
  </si>
  <si>
    <t>Hylander, K., B. G. Jonsson, and C. Nilsson. 2002. Evaluating buffer strips along boreal streams using bryophytes as indicators. Ecological Applications 12:797-806.</t>
  </si>
  <si>
    <t>Magee, T. K. and M. E. Kentula. 2005. Response of wetland plant species to hydrologic conditions. Wetlands Ecology and Management 13:163-181.</t>
  </si>
  <si>
    <t>Malmer, N., C. Albinsson, B. M. Svensson, and B. Wallén. 2003. Interferences between Sphagnum and vascular plants: effects on plant community structure and peat formation. Oikos 100:469-482.</t>
  </si>
  <si>
    <t>McClellan, M. H., T. Brock, and J. F. Baichtal. 2003. Calcareous fens in southeast Alaska. US Department of Agriculture, Forest Service, Pacific Northwest Research Station, Portland, OR.</t>
  </si>
  <si>
    <t>Moore, T. R. 1989. Growth and net production of Sphagnum at five fen sites, subarctic eastern Canada. Canadian Journal of Botany 67:1203–1207.</t>
  </si>
  <si>
    <t>Nekola, J. C. and P. S. White. 1999. Distance decay of similarity in biogeography and ecology. Journal of Biogeography 26:867–878.</t>
  </si>
  <si>
    <t>Pollock, M. M., R. J. Naiman, and T. A. Hanley. 1998. Plant species richness in riparian wetlands - a test of biodiversity theory. Ecology 79:94-105.</t>
  </si>
  <si>
    <t>Radies, D., D. Coxson, C. Johnson, and K. Konwicki. 2009. Predicting canopy macrolichen diversity and abundance within old-growth inland temperate rainforests. Forest Ecology and Management 259:86-97.</t>
  </si>
  <si>
    <t>Rogers, D. A., T. P. Rooney, T. J. Hawbaker, V. C. Radeloff, and D. M. Waller. 2009. Paying the extinction debt in southern Wisconsin forest understories. Conservation Biology 23:1497-1506.</t>
  </si>
  <si>
    <t>Rooney, R. C. and S. E. Bayley. 2011. Relative influence of local- and landscape-level habitat quality on aquatic plant diversity in shallow open-water wetlands in Alberta's boreal zone: direct and indirect effects. Landscape Ecology 26:1023-1034.</t>
  </si>
  <si>
    <t>Šamonil, P., K. Král, and L. Hort. 2010. The role of tree uprooting in soil formation: A critical literature review. Geoderma 157:65-79.</t>
  </si>
  <si>
    <t>Wright, J. P., C. G. Jones, and A. S. Flecker. 2002. An ecosystem engineer, the beaver, increases species richness at the landscape scale. Oecologia 132:96-101.</t>
  </si>
  <si>
    <t>Bahuguna, D., S. J. Mitchell, and Y. Miquelajauregui. 2010. Windthrow and recruitment of large woody debris in riparian stands. Forest Ecology and Management 259:2048-2055.</t>
  </si>
  <si>
    <t>Cole, C., R. Brooks, and D. Wardrop. 1997. Wetland hydrology as a function of hydrogeomorphic (HGM) subclass. Wetlands 17:456-467.</t>
  </si>
  <si>
    <t>Engelhardt, K. A. M. and J. A. Kadlec. 2001. Species traits, species richness and the resilience of wetlands after disturbance. Journal of Aquatic Plant Management 39:36-39.</t>
  </si>
  <si>
    <t>Hennings, L. A. and W. D. Edge. 2003. Riparian bird community structure in Portland, Oregon: habitat, urbanization, and spatial scale patterns. The Condor 105:288-302.</t>
  </si>
  <si>
    <t>Leibowitz, S. G. 2003. Isolated wetlands and their functions: An ecological perspective. Wetlands 23:517-531.</t>
  </si>
  <si>
    <t>Martin, D. J. and R. A. Grotefendt. 2007. Stand mortality in buffer strips and the supply of woody debris to streams in Southeast Alaska. Canadian Journal of Forest Research 37:36-49.</t>
  </si>
  <si>
    <t>Martin, D. B. and W. Hartman. 1987. The effect of cultivation on sediment composition and deposition in prairie pothole wetlands. Water Air Soil Pollution 34:45-53.</t>
  </si>
  <si>
    <t>Oberts, G. L. 1977. Water Quality Effects of Potential Urban Best Management Practices: A Literature Review. Technical Bulletin No. 97. Wisconsin Department of Natural Resources, Madison, WI.</t>
  </si>
  <si>
    <t>Stohlgren, T. J., G. W. Chong, L. D. Schell, K. A. Rimar, Y. Otsuki, M. Lee, M. A. Kalkhan, and C. A. Villa. 2002. Assessing vulnerability to invasion by nonnative plant species at multiple spatial scales. Environmental Management 29:566-577.</t>
  </si>
  <si>
    <t>Werner, K. J. and J. B. Zedler. 2002. How sedge meadow soils, microtopography, and vegetation respond to sedimentation. Wetlands 22:451-466.</t>
  </si>
  <si>
    <t>Whigham, D. F. and T. E. Jordan. 2003. Isolated wetlands and water quality. Wetlands 23:541-549.</t>
  </si>
  <si>
    <t>Whited, P. M. 2001. Sedimentation of depressional wetlands in agricultural settings. Wetland Restoration, Enhancement, and Management http://www.sedlab.olemiss.edu/projects/rodrigue/restoration_technote/IVB.pdf.</t>
  </si>
  <si>
    <t>Wigand, C., R. A. McKinney, M. A. Charpentier, M. M. Chintala, and G. B. Thursby. 2003. Relationships of nitrogen loadings, residential development, and physical characteristics with plant structure in New England salt marshes. Estuaries 26:1494-1504.</t>
  </si>
  <si>
    <t>Soil Texture</t>
  </si>
  <si>
    <t>(2*MAX(HistAccum, PhysAccum) + Productiv +3*MethLimit) /6</t>
  </si>
  <si>
    <t xml:space="preserve">Soils with a thick organic layer have the most carbon available for export. However, moderately coarse soils (silts, loams) are better-aerated, less acidic, and thus can have greater plant productivity. Very coarse soils, unless flooded regularly by rivers, tend to be nutrient-poor thus limiting plant productivity. However, their presence may indicate periodic exposure to water currents capable of exporting carbon, and coarse soils sometimes support greater plant productivity because greater inflitration can reduce the frequency of anoxic conditions that stifle productivity of some rooted plants. </t>
  </si>
  <si>
    <t>Non-vegetated Aquatic Cover</t>
  </si>
  <si>
    <t>&gt;95% of wetland or &gt;95% of  its upland edge (if any)</t>
  </si>
  <si>
    <t>5-95% of wetland or 5-95% of its upland edge (if any)</t>
  </si>
  <si>
    <t>&lt;5% of wetland and &lt;5% of its upland edge (if any)</t>
  </si>
  <si>
    <t>When most of wetland's wetter condition began</t>
  </si>
  <si>
    <t xml:space="preserve">  Score the following 2 rows only if the wetter conditions began within past 10 years, and only for the part of the wetland that got wetter.</t>
  </si>
  <si>
    <t>&gt;20% of the wetland</t>
  </si>
  <si>
    <t>5-20% of the wetland</t>
  </si>
  <si>
    <t>&lt;5% of the wetland</t>
  </si>
  <si>
    <t>Spatial extent of wetland's resulting drier condition</t>
  </si>
  <si>
    <t>When most of wetland's drier condition began</t>
  </si>
  <si>
    <t xml:space="preserve">  Score the following 2 rows only if the drier conditions began within past 10 years, and only for the part of the wetland that got drier.</t>
  </si>
  <si>
    <t xml:space="preserve">Spatial extent within the wetland of timing shift </t>
  </si>
  <si>
    <t xml:space="preserve">&gt;95% of wetland </t>
  </si>
  <si>
    <t xml:space="preserve">5-95% of wetland </t>
  </si>
  <si>
    <t xml:space="preserve">&lt;5% of wetland </t>
  </si>
  <si>
    <t xml:space="preserve">  Score the following 2 rows only if the altered inputs began within past 10 years, and only for the part of the wetland that experiences those.</t>
  </si>
  <si>
    <t>Duration of sediment inputs to the wetland</t>
  </si>
  <si>
    <t>Recentness of significant soil alteration in wetland</t>
  </si>
  <si>
    <t>Isolated Island</t>
  </si>
  <si>
    <t>Flat Shoreline Extent</t>
  </si>
  <si>
    <t>&gt;95% of the AA</t>
  </si>
  <si>
    <t>Annual Water Fluctuation Range</t>
  </si>
  <si>
    <t>impervious surface, e.g., paved road, parking lot, building, exposed rock.</t>
  </si>
  <si>
    <t>Use of the AA by beaver during the past 5 years is (select most applicable ONE):</t>
  </si>
  <si>
    <t>Indicators</t>
  </si>
  <si>
    <t>Most feeding waterbirds are naturally drawn to more productive wetlands, which tend to be marshes, especially those along rivers and lakes (Thormann &amp; Bayley 1997, Epners et al. 2010).</t>
  </si>
  <si>
    <t>Accelerated Inputs of Contaminants and/or Salts</t>
  </si>
  <si>
    <t>Accelerated Inputs of Nutrients</t>
  </si>
  <si>
    <t>Type of loading</t>
  </si>
  <si>
    <t>high density of unmaintained septic, some types of industrial sources</t>
  </si>
  <si>
    <t>moderate density septic, cropland, secondary wastewater treatment plant</t>
  </si>
  <si>
    <t>livestock, pets, low density residential</t>
  </si>
  <si>
    <r>
      <t xml:space="preserve">* </t>
    </r>
    <r>
      <rPr>
        <b/>
        <sz val="10"/>
        <rFont val="Arial Narrow"/>
        <family val="2"/>
      </rPr>
      <t>high</t>
    </r>
    <r>
      <rPr>
        <sz val="10"/>
        <rFont val="Arial Narrow"/>
        <family val="2"/>
      </rPr>
      <t xml:space="preserve">-intensity= extensive off-road vehicle use, plowing, grading, excavation, erosion with or without veg removal; </t>
    </r>
    <r>
      <rPr>
        <b/>
        <sz val="10"/>
        <rFont val="Arial Narrow"/>
        <family val="2"/>
      </rPr>
      <t xml:space="preserve"> low</t>
    </r>
    <r>
      <rPr>
        <sz val="10"/>
        <rFont val="Arial Narrow"/>
        <family val="2"/>
      </rPr>
      <t>-intensity= veg removal only with little or no apparent erosion or disturbance of soil or sediment</t>
    </r>
  </si>
  <si>
    <t>The need to cool surface waters is likely to be greatest at locations that are the region's warmest.</t>
  </si>
  <si>
    <t>Because actual data on nitrate loads are lacking for many wetland watersheds, this approximation based on a host of N-generating activities is included as well.</t>
  </si>
  <si>
    <t>Plants are more productive at warmer soil or sediment temperatures, and this supports higher productivity of aquatic insects and ultimately resident fish. Risk of winterkill by long-duration ice cover also may be less in warmer parts of the region.</t>
  </si>
  <si>
    <t>Warmth10</t>
  </si>
  <si>
    <t>Plants are more productive at warmer soil or sediment temperatures, and this supports higher productivity of aquatic insects.</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</si>
  <si>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</si>
  <si>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</si>
  <si>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</si>
  <si>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Doerr, S. H., C. T. Llewellyn, P. Douglas, C. P. Morley, K. A. Manwaring, and C. Haskins. 2005. Extraction of compounds associated with water repellency in sandy soils of different origin. Australian Journal of Soil Research 43:225.</t>
  </si>
  <si>
    <t>Distance to Nearest Maintained Road</t>
  </si>
  <si>
    <t>North-facing wetlands are likely to be more shaded and thus cooler and more capable of contributing cool water to downslope water bodies.</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</si>
  <si>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</si>
  <si>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</si>
  <si>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</si>
  <si>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</si>
  <si>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</si>
  <si>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“New” inundation can increase the amount of carbon exported as methane and sometimes, as CO2 (Kelly et al. 1997, Petrone et al. 2005, Blodau et al. 2007, Tuittila et al. 2000, Price et al. 2003). For example, new inundation resulting from beaver activity has been shown to increase methane emissions (Roulet et. al 1997).</t>
  </si>
  <si>
    <t>Stressor Subscore=</t>
  </si>
  <si>
    <t>The larvae of many wetland invertebrates require surface water, so the absence or scarcity of that limits aquatic invertebrate richness.</t>
  </si>
  <si>
    <t>Visib12</t>
  </si>
  <si>
    <t>PopCtr12</t>
  </si>
  <si>
    <t>Warmth12</t>
  </si>
  <si>
    <t>SatPct_S</t>
  </si>
  <si>
    <r>
      <t xml:space="preserve">Assuming access permission was granted, select </t>
    </r>
    <r>
      <rPr>
        <b/>
        <sz val="10"/>
        <rFont val="Arial Narrow"/>
        <family val="2"/>
      </rPr>
      <t xml:space="preserve">ALL </t>
    </r>
    <r>
      <rPr>
        <sz val="10"/>
        <rFont val="Arial Narrow"/>
        <family val="2"/>
      </rPr>
      <t>statements that are true of the AA as it currently exists:</t>
    </r>
  </si>
  <si>
    <t>The frequency of most recreational visits declines with increasing distance from roads.</t>
  </si>
  <si>
    <t>DistRdPU</t>
  </si>
  <si>
    <r>
      <t xml:space="preserve">From the </t>
    </r>
    <r>
      <rPr>
        <b/>
        <sz val="10"/>
        <rFont val="Arial Narrow"/>
        <family val="2"/>
      </rPr>
      <t xml:space="preserve">center </t>
    </r>
    <r>
      <rPr>
        <sz val="10"/>
        <rFont val="Arial Narrow"/>
        <family val="2"/>
      </rPr>
      <t>of the AA, the distance to the nearest maintained public road (dirt or paved) is:</t>
    </r>
  </si>
  <si>
    <t>RecUse</t>
  </si>
  <si>
    <t>Enrich</t>
  </si>
  <si>
    <t>Hydrologic Stressors</t>
  </si>
  <si>
    <t>Water Quality Stressors</t>
  </si>
  <si>
    <t>Fragmentation Stressors</t>
  </si>
  <si>
    <t>Disturbance Stressors</t>
  </si>
  <si>
    <t>VisibWet</t>
  </si>
  <si>
    <t>BuffDisturbTyp</t>
  </si>
  <si>
    <t>OpenPonded7</t>
  </si>
  <si>
    <t>Interspers2</t>
  </si>
  <si>
    <t>PondedPct6</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</si>
  <si>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</si>
  <si>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</si>
  <si>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</si>
  <si>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</si>
  <si>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Longer flow paths within a wetland allow more time and opportunity for suspended sediments to be deposited.</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</si>
  <si>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</si>
  <si>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</si>
  <si>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</si>
  <si>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r>
      <t xml:space="preserve">Perkins, T. E. and M. V. Wilson. 2005. The impacts of </t>
    </r>
    <r>
      <rPr>
        <i/>
        <sz val="10"/>
        <rFont val="Arial Narrow"/>
        <family val="2"/>
      </rPr>
      <t xml:space="preserve">Phalaris arundinacea </t>
    </r>
    <r>
      <rPr>
        <sz val="10"/>
        <rFont val="Arial Narrow"/>
        <family val="2"/>
      </rPr>
      <t>(reed canarygrass) invasion on wetland plant richness in the Oregon Coast Range, USA depend on beavers. Biological Conservation 124:291-295.</t>
    </r>
  </si>
  <si>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</si>
  <si>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</si>
  <si>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</si>
  <si>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</si>
  <si>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</si>
  <si>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</si>
  <si>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Warmth</t>
  </si>
  <si>
    <t xml:space="preserve">Interception and/or Erosion Resistance </t>
  </si>
  <si>
    <t>Redox</t>
  </si>
  <si>
    <t>WetPctCA4</t>
  </si>
  <si>
    <t>FloDist4</t>
  </si>
  <si>
    <t>Warmth4</t>
  </si>
  <si>
    <t>Wetter5</t>
  </si>
  <si>
    <t>SoilDisturb5</t>
  </si>
  <si>
    <t>Warmth5</t>
  </si>
  <si>
    <t>Sedge5</t>
  </si>
  <si>
    <t>Warmth6</t>
  </si>
  <si>
    <t>FloDist6</t>
  </si>
  <si>
    <t>Wettype6</t>
  </si>
  <si>
    <t>Interspers6</t>
  </si>
  <si>
    <t>AVERAGE(GroundW, TidalProx, Elev, Wettype, Karst, Nfix)</t>
  </si>
  <si>
    <t>Beaver9</t>
  </si>
  <si>
    <t>Core9</t>
  </si>
  <si>
    <t>DistRd10</t>
  </si>
  <si>
    <t>Core10</t>
  </si>
  <si>
    <t>DepthDiv8</t>
  </si>
  <si>
    <t>HerbDiv8</t>
  </si>
  <si>
    <t>AVERAGE(Fluctu, SatPct, PermWpct, ISOwet, GroundW)</t>
  </si>
  <si>
    <t>Karst11</t>
  </si>
  <si>
    <r>
      <t>Burger, J. and M. Gochfeld. 1991. Human activity influence and diurnal and nocturnal foraging of sanderlings (</t>
    </r>
    <r>
      <rPr>
        <i/>
        <sz val="10"/>
        <rFont val="Arial Narrow"/>
        <family val="2"/>
      </rPr>
      <t>Calidris alba</t>
    </r>
    <r>
      <rPr>
        <sz val="10"/>
        <rFont val="Arial Narrow"/>
        <family val="2"/>
      </rPr>
      <t>). Condor 93:259-265.</t>
    </r>
  </si>
  <si>
    <t>Algae12</t>
  </si>
  <si>
    <r>
      <t>Hood, G. A. and S. E. Bayley. 2008. Beaver (</t>
    </r>
    <r>
      <rPr>
        <i/>
        <sz val="10"/>
        <rFont val="Arial Narrow"/>
        <family val="2"/>
      </rPr>
      <t>Castor canadensis</t>
    </r>
    <r>
      <rPr>
        <sz val="10"/>
        <rFont val="Arial Narrow"/>
        <family val="2"/>
      </rPr>
      <t>) mitigate the effects of climate on the area of open water in boreal wetlands in western Canada. Biological Conservation 141:556-567.</t>
    </r>
  </si>
  <si>
    <t>AVERAGE(Convenience, Invest, RecPot)</t>
  </si>
  <si>
    <t xml:space="preserve">Within or near the AA, there is an interpretive center, trails with interpretive signs or brochures, and/or regular guided interpretive tours. </t>
  </si>
  <si>
    <t>BMP - Soils</t>
  </si>
  <si>
    <t>BMP - Wildlife Protection</t>
  </si>
  <si>
    <t>BMPsoilsPU</t>
  </si>
  <si>
    <t>BMPwildPU</t>
  </si>
  <si>
    <t>BMP11</t>
  </si>
  <si>
    <t>BMP12</t>
  </si>
  <si>
    <t>AVERAGE(Corea, Coreb, BMP, _Tox)</t>
  </si>
  <si>
    <t>BMP13</t>
  </si>
  <si>
    <t>BMPsoils20</t>
  </si>
  <si>
    <t>_IBA13</t>
  </si>
  <si>
    <t>Rare13</t>
  </si>
  <si>
    <t>RareHerb</t>
  </si>
  <si>
    <t>Calmé, S. and A. Desrochers. 2000. Biogeographic aspects of the distribution of bird species breeding in Québec’s peatlands. Journal of Biogeography 27: 725–732.</t>
  </si>
  <si>
    <r>
      <t>Bosschieter, L. and P. W. Goedhart. 2005. Gap crossing decisions by reed warblers (</t>
    </r>
    <r>
      <rPr>
        <i/>
        <sz val="10"/>
        <rFont val="Arial Narrow"/>
        <family val="2"/>
      </rPr>
      <t>Acrocephalus scirpaceus</t>
    </r>
    <r>
      <rPr>
        <sz val="10"/>
        <rFont val="Arial Narrow"/>
        <family val="2"/>
      </rPr>
      <t>) in agricultural landscapes. Landscape Ecology 20:455–468.</t>
    </r>
  </si>
  <si>
    <t>Bakker, V. J. and D. H. Van Vuren. 2004. Gap‐crossing decisions by the red squirrel, a forest‐dependent small mammal. Conservation Biology 18:689-697.</t>
  </si>
  <si>
    <r>
      <t>Flaherty, E. A., W. P. Smith, S. Pyare, and M. Ben-David. 2008. Experimental trials of the Northern flying squirrel (</t>
    </r>
    <r>
      <rPr>
        <i/>
        <sz val="10"/>
        <rFont val="Arial Narrow"/>
        <family val="2"/>
      </rPr>
      <t>Glaucomys sabrinus</t>
    </r>
    <r>
      <rPr>
        <sz val="10"/>
        <rFont val="Arial Narrow"/>
        <family val="2"/>
      </rPr>
      <t>) traversing managed rainforest landscapes: perceptual range and fine-scale movements. Canadian Journal of Zoology-Revue Canadienne De Zoologie 86:1050-1058.</t>
    </r>
  </si>
  <si>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</si>
  <si>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</si>
  <si>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</si>
  <si>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</si>
  <si>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</si>
  <si>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</si>
  <si>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</si>
  <si>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</si>
  <si>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</si>
  <si>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</si>
  <si>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The effectiveness for retaining phosphorus for long periods (&gt;1 growing season) as a result of chemical adsorption, or from translocation by plants to belowground zones with less potential for physically or chemically  remobilizing phosphorus into the water column.</t>
  </si>
  <si>
    <t>PR</t>
  </si>
  <si>
    <t>NR</t>
  </si>
  <si>
    <t>Carbon Sequestration</t>
  </si>
  <si>
    <t>CS</t>
  </si>
  <si>
    <t>OE</t>
  </si>
  <si>
    <t>FR</t>
  </si>
  <si>
    <t>Invertebrate Habitat</t>
  </si>
  <si>
    <t>INV</t>
  </si>
  <si>
    <t>AM</t>
  </si>
  <si>
    <t>WB</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</si>
  <si>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</si>
  <si>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</si>
  <si>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</si>
  <si>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</si>
  <si>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</si>
  <si>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</si>
  <si>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</si>
  <si>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The effectiveness for maintaining or reducing temperature of downslope waters.</t>
  </si>
  <si>
    <t>The effectiveness for contributing water to streams during the driest part of a growing season.</t>
  </si>
  <si>
    <t>SFS</t>
  </si>
  <si>
    <t>The capacity to support or contribute to an abundance or diversity of waterbirds that migrate or winter but do not breed in the region.</t>
  </si>
  <si>
    <t>WBF</t>
  </si>
  <si>
    <t>The capacity to support or contribute to an abundance or diversity of waterbirds that nest in the region.</t>
  </si>
  <si>
    <t>The capacity to support or contribute to an abundance or diversity of native songbird, raptor, and mammal species and functional groups, especially those that are most dependent on wetlands or water.</t>
  </si>
  <si>
    <t>The capacity to support or contribute to a diversity of native, hydrophytic, vascular plant species, communities, and/or functional groups.</t>
  </si>
  <si>
    <t>PU</t>
  </si>
  <si>
    <t>Fyles, J. W. and I. H. Fyles. 1993. Interaction of Douglas-fir with red alder and salal foliage litter during decomposition. Canadian Journal of Forest Research 23:358-361.</t>
  </si>
  <si>
    <t>Pacific, V. J., K. G. Jensco, and B. L. McGlynn. 2010. Variable flushing mechanisms and landscape structure control stream DOC export during snowmelt in a set of nested catchments. Biogeochemistry 99:193-211.</t>
  </si>
  <si>
    <t>Wildlife Access</t>
  </si>
  <si>
    <t>Coarse: includes sand, loamy sand, gravel, cobble, stones, boulders, fluvents, fluvaquents, riverwash.</t>
  </si>
  <si>
    <t>Internal Flow Distance (Path Length)</t>
  </si>
  <si>
    <t>If they attract waterbirds, wetlands closer to settled areas may also attract greater bird-centered use by humans (e.g., birdwatching, hunting) thus increasing their value.</t>
  </si>
  <si>
    <t>FloDist1</t>
  </si>
  <si>
    <t>Warmth7</t>
  </si>
  <si>
    <t>Where a wetland comprises a large proportion of its catchment, nutrient loading is more likely to occur at rates and levels that can be processed effectively.</t>
  </si>
  <si>
    <r>
      <t xml:space="preserve">Grünfeld, S. and H. Brix. 1999. Methanogenesis and methane emissions: effects of water table, substrate type and presence of </t>
    </r>
    <r>
      <rPr>
        <i/>
        <sz val="10"/>
        <rFont val="Arial Narrow"/>
        <family val="2"/>
      </rPr>
      <t>Phragmites australis.</t>
    </r>
    <r>
      <rPr>
        <sz val="10"/>
        <rFont val="Arial Narrow"/>
        <family val="2"/>
      </rPr>
      <t xml:space="preserve"> Aquatic Botany 64.1 (1999): 63-75.</t>
    </r>
  </si>
  <si>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</si>
  <si>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</si>
  <si>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</si>
  <si>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Bunn, S. and A. Arthington. 2002. Basic principles and ecological consequences of altered flow regimes for aquatic biodiversity. Environmental Management 30:492–507.</t>
  </si>
  <si>
    <t>Brown, J. 2007. Groundwater and Biodiversity Conservation.in A. Wyers, A. Aldous, and L. Bach, editors. A Methods Guide for Integrating Groundwater Needs of Ecosystems and Species into Conservation Plans in the Pacific Northwest. The Nature Conservancy, Portland, OR.</t>
  </si>
  <si>
    <t>Excessive human traffic and free-roaming pets can harm native amphibians directly (collecting and predation) and indirectly (habitat alteration), so measures to reduce such impacts are given credit.</t>
  </si>
  <si>
    <t>Bolenbaugh, J. R., D. G. Krementz, and S. E. Lehnen. 2011. Secretive marsh bird species co-occurrences and habitat associations across the Midwest, USA. Journal of Fish and Wildlife Management 2:49-60.</t>
  </si>
  <si>
    <t>Shepherd, P. C. F. and D. B. Lank. 2004. Marine and agricultural habitat preferences of dunlin wintering in British Columbia. Journal of Wildlife Management 68:61-73.</t>
  </si>
  <si>
    <r>
      <t>Sprague, A. J., D. J. Hamilton, and A. W. Diamond. 2008. Site safety and food affect movements of Semipalmated Sandpipers (</t>
    </r>
    <r>
      <rPr>
        <i/>
        <sz val="10"/>
        <rFont val="Arial Narrow"/>
        <family val="2"/>
      </rPr>
      <t>Calidris pusilla</t>
    </r>
    <r>
      <rPr>
        <sz val="10"/>
        <rFont val="Arial Narrow"/>
        <family val="2"/>
      </rPr>
      <t>) migrating through the upper Bay of Fundy. Avian Conservation and Ecology 3:1-22.</t>
    </r>
  </si>
  <si>
    <t>Frequent traffic by people and free-roaming pets can stress some waterbirds, so measures to reduce such impacts are given credit.</t>
  </si>
  <si>
    <t>Lokemoen, J. T. and R. O. Woodward. 1992. Nesting waterfowl and water birds on natural islands in the Dakotas and Montana. Wildlife Society Bulletin 20:163-171.</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</si>
  <si>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</si>
  <si>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</si>
  <si>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</si>
  <si>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Distance to Lake</t>
  </si>
  <si>
    <t>Scannell, P.W. 2009. Effects of copper on aquatic species: a review of the literature. Tech. Rept. No. 09-04. Alaska Dept. of Fish &amp; Game, Juneau, AK.</t>
  </si>
  <si>
    <t>ToxUp2</t>
  </si>
  <si>
    <t>The capacity to support an abundance and diversity of native fish (both resident and visiting species) that are not anadromous, e.g., Dolly Varden, cutthroat trout.</t>
  </si>
  <si>
    <t>Intermediate (1 - 10% of vegetated part of the AA).</t>
  </si>
  <si>
    <t>Many (e.g., wetland-upland "mosaic", &gt;10% of the vegetated AA).</t>
  </si>
  <si>
    <t>AVERAGE[Beaver, AVERAGE(Wettype, WoodAbove, AqPlantCov, Shade, IsoWet)]</t>
  </si>
  <si>
    <t>Most songbirds prefer to nest in drier parts of wetlands because ground cover and vegetation height, which provide essential structure, tend to be greater there.</t>
  </si>
  <si>
    <t xml:space="preserve"> #</t>
  </si>
  <si>
    <t>Normalize</t>
  </si>
  <si>
    <t>Rationales</t>
  </si>
  <si>
    <t xml:space="preserve">Hirsch, R. M., J. F. Walker, J. C. Day, and R. Kollio. 1990. The influence of man on hydrologic systems. Pages 329–359 in M. G. Wolaman and H. C. Riggs, editors. Surface Water Hydrology. Geological Society of America, Boulder, CO. </t>
  </si>
  <si>
    <t>Live Store</t>
  </si>
  <si>
    <t>1-25% of the shrub plus ground cover, in the AA or along its water edge (whichever has more).</t>
  </si>
  <si>
    <t>25-50% of the shrub plus ground cover, in the AA or along its water edge (whichever has more).</t>
  </si>
  <si>
    <t>50-75% of the shrub plus ground cover, in the AA or along its water edge (whichever has more).</t>
  </si>
  <si>
    <t>&gt;75% of the shrub plus ground cover, in the AA or along its water edge (whichever has more).</t>
  </si>
  <si>
    <t>5-30% of the ponded water.</t>
  </si>
  <si>
    <t>30-70% of the ponded water.</t>
  </si>
  <si>
    <t>70-99% of the ponded water.</t>
  </si>
  <si>
    <t>Final Score=</t>
  </si>
  <si>
    <t>Dry Intercept</t>
  </si>
  <si>
    <t>Wet Intercept</t>
  </si>
  <si>
    <t>Methane Limit</t>
  </si>
  <si>
    <t>Frozen Duration</t>
  </si>
  <si>
    <t>Nutrient Availability</t>
  </si>
  <si>
    <t>Export Potential</t>
  </si>
  <si>
    <t>Vitt, D. H. 2006. Functional characteristics and indicators of boreal peatlands. Pages 9-24 in R. K. Wieder and D. H. Vitt, editors. Boreal peatland ecosystems. Springer, Berlin, Heidelberg, Germany.</t>
  </si>
  <si>
    <t>Wright, J. P., A. S. Flecker, and C. G. Jones. 2003. Local versus landscape controls on plant species richness in beaver meadows. Ecology 84:3162–3173.</t>
  </si>
  <si>
    <t>Final score=</t>
  </si>
  <si>
    <t>mostly passes through a pipe, culvert, narrowly breached dike, berm, beaver dam, or other partial obstruction (other than natural topography) that does not appear to drain the wetland artificially during most of the growing season.</t>
  </si>
  <si>
    <t>exported more quickly than usual due to ditches or pipes within the AA (or connected to its outlet or within 10 m of the AA's edge) which drain the wetland artificially, or water is pumped out of the AA.</t>
  </si>
  <si>
    <t>Freezing (Frozen Duration)</t>
  </si>
  <si>
    <t>Stain3</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</si>
  <si>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</si>
  <si>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</si>
  <si>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</si>
  <si>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</si>
  <si>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</si>
  <si>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</si>
  <si>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</si>
  <si>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</si>
  <si>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AVERAGE(Frozen Duration, Plant Cover, Nutrient Availability) WHERE:</t>
  </si>
  <si>
    <t>Stressors (lack of)</t>
  </si>
  <si>
    <t>Convenience</t>
  </si>
  <si>
    <t>Recreation Potential</t>
  </si>
  <si>
    <t>The overland flow direction of most surface water (in streams or runoff) that enters the AA is:</t>
  </si>
  <si>
    <t>AVERAGE(ISOwet, SatPct, Fluctu, MAX(SeasWpct, PermWpct), Depth, DepthEven)</t>
  </si>
  <si>
    <t>Fish13A</t>
  </si>
  <si>
    <t>TreeTypes14</t>
  </si>
  <si>
    <t>DecidTree5</t>
  </si>
  <si>
    <t>DecidTree8</t>
  </si>
  <si>
    <t>AVERAGE (AqPlantCov, Decid, DecidTree, Gcover, Depth)</t>
  </si>
  <si>
    <t>Plant Cover &amp; Type</t>
  </si>
  <si>
    <t>Select one:</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</si>
  <si>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</si>
  <si>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</si>
  <si>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</si>
  <si>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t>Upland Edge Contact</t>
  </si>
  <si>
    <t>AVERAGE [PermWpct, SatPct, SeasPct, Fluctu,GroundW) ]</t>
  </si>
  <si>
    <t>WetPctCA2</t>
  </si>
  <si>
    <t>Slowed Decomposition</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</si>
  <si>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</si>
  <si>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</si>
  <si>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</si>
  <si>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</si>
  <si>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AVERAGE(RecreaPoten, BMPsoils, BMPwildlife, LakePU)</t>
  </si>
  <si>
    <t>Weights</t>
  </si>
  <si>
    <t>Rounds, S. A. 2007. Temperature Effects of Weight Sources, Riparian Shading, and Dam Operations on the Willamette River, Oregon. Scientific Investigations Report 2007–5185. U.S. Department of the Interior, U.S. Geological Survey, Portland, OR.</t>
  </si>
  <si>
    <t>Data x Weights</t>
  </si>
  <si>
    <t>Condition Choices</t>
  </si>
  <si>
    <t>Siegel, D. I. and P. H. Glaser. 1987. Groundwater flow in a bog-fen complex, Lost River Peatland, northern Minnesota. The Journal of Ecology 75:743-754.</t>
  </si>
  <si>
    <t>Lacustrine wetlands are more likely than bogs or fens to be phosphorus-limited (Walbridge &amp; Navaratnam 2006), and thus should be more able to take up and retain phosphorus.</t>
  </si>
  <si>
    <t>Function          Indicators</t>
  </si>
  <si>
    <t>Unvegetated Surface in the Contributing Area</t>
  </si>
  <si>
    <t>Function Score for Organic Nutrient Export</t>
  </si>
  <si>
    <t>Slightly bare ground (5-20% bare between plants) is visible in places, but those areas comprise less than 5% of the unflooded parts of the AA.</t>
  </si>
  <si>
    <r>
      <t xml:space="preserve">Much bare ground (20-50% bare between plants) is visible in places, and those areas comprise </t>
    </r>
    <r>
      <rPr>
        <b/>
        <sz val="10"/>
        <rFont val="Arial Narrow"/>
        <family val="2"/>
      </rPr>
      <t>more than</t>
    </r>
    <r>
      <rPr>
        <sz val="10"/>
        <rFont val="Arial Narrow"/>
        <family val="2"/>
      </rPr>
      <t xml:space="preserve"> 5% of the unflooded parts of the AA. </t>
    </r>
  </si>
  <si>
    <t>Wetland Sensitivity (Sens)</t>
  </si>
  <si>
    <r>
      <t xml:space="preserve">Wetland Stressors </t>
    </r>
    <r>
      <rPr>
        <sz val="9"/>
        <rFont val="Arial"/>
        <family val="2"/>
      </rPr>
      <t>(STR) (higher score means more)</t>
    </r>
  </si>
  <si>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</si>
  <si>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</si>
  <si>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</si>
  <si>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</si>
  <si>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</si>
  <si>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</si>
  <si>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t>Phosphorus commonly adsorbs to suspended sediment, and wetlands that comprise a large proportion of their contributing area are more effective for retaining sediment in runoff, and thus phosphorus.</t>
  </si>
  <si>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</si>
  <si>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Annual plant productivity (and thus potentially-storable carbon) is often less in ponded wetlands than in wetlands where periodic water circulation replenishes nutrients (Thormann &amp; Bayley 1997). Also, methane emissions may be higher in ponded areas because such areas are more likely to develop anaerobic conditions (Magenheimer et al. 1996, Tranvik et al. 2009). Aerobic conditions can increase the proportion of plant production that is allocated to belowground tissue, which benefits carbon storage because such tissue is more likely to resist erosion and be incorporated into longterm storage in soil. However, organic matter in ponded areas is less subject than organic matter in channels to being transported downslope in floodwaters or groundwater and thus could be more likely to become incorporated into soils, resulting in carbon being sequestered.</t>
    </r>
    <r>
      <rPr>
        <i/>
        <sz val="10"/>
        <rFont val="Arial Narrow"/>
        <family val="2"/>
      </rPr>
      <t xml:space="preserve"> In calculations, is excluded automatically (cell goes blank) if wetland never has surface water during an average year.</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</si>
  <si>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</si>
  <si>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Provided that they hold surface water for several weeks, shallow areas support greater primary production, support higher vascular plant densities, and consequently greater invertebrate production. </t>
    </r>
    <r>
      <rPr>
        <i/>
        <sz val="10"/>
        <rFont val="Arial Narrow"/>
        <family val="2"/>
      </rPr>
      <t xml:space="preserve">In calculations, is excluded automatically (cell goes blank) if wetland never has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</si>
  <si>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</si>
  <si>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</si>
  <si>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</si>
  <si>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The model considers the presence (1) of this condition to indicate a somewhat degraded condition, but does not consider the absence (0) of this indicator a sign that a wetland is necessarily undegraded, so</t>
    </r>
    <r>
      <rPr>
        <i/>
        <sz val="10"/>
        <rFont val="Arial Narrow"/>
        <family val="2"/>
      </rPr>
      <t xml:space="preserve"> if the condition is absent, the score is changed to blank and is not used by the model.</t>
    </r>
  </si>
  <si>
    <r>
      <t>High dispersion (fragmentation) of woody cover suggests recolonization of wetlands following disturbance may take longer when future disturbances occur, due to fewer intact corridors with upland forests.</t>
    </r>
    <r>
      <rPr>
        <i/>
        <sz val="10"/>
        <rFont val="Arial Narrow"/>
        <family val="2"/>
      </rPr>
      <t xml:space="preserve"> In calculations, is excluded automatically (cell goes blank) if little or no woody cover is present.</t>
    </r>
  </si>
  <si>
    <t>Asada, T., &amp; B. G. Warner. 2005. Surface peat mass and carbon balance in a hypermaritime peatland. Soil Science Society of America Journal 69(2): 549-562.</t>
  </si>
  <si>
    <t>Function             Indicators</t>
  </si>
  <si>
    <t>Function              Indicators</t>
  </si>
  <si>
    <t>Weight</t>
  </si>
  <si>
    <t>Data  x  Weight</t>
  </si>
  <si>
    <t>Walbridge, M. R. and J. A. Navaratnam. 2006. Phosphorous in boreal peatlands. Pages 231-258 in R. K. Wieder and D. H. Vitt, editors. Boreal Peatland Ecosystems, Ecological Studies, Volume 188. Springer, Berlin, Heidelberg, Germany.</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</si>
  <si>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</si>
  <si>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</si>
  <si>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Poff, N. L., B. P. Bledsoe, and C. O. Cuhaciyan. 2006. Hydrologic variation with land use across the contiguous United States: Geomorphic and ecological consequences for stream ecosystems. Geomorphology 79:264–285.</t>
  </si>
  <si>
    <t>Dickman, M. and G. Rygiel. 1998. Municipal landfill impacts on a natural stream located in an urban wetland in regional Niagara, Ontario. The Canadian Field-Naturalist 112:619-630.</t>
  </si>
  <si>
    <t>Chadwick, D. R., B. J. Chambers, S. Anthony, P. M. Haygarth, D. Harris, and K. Smith. 2006. A measure centric approach to diffuse pollution modelling and cost curve analysis of mitigation methods. Cost-effectiveness of Best Management Practices (BMPs)? Pages 92-99 in L. Gairns, K. Chrighton, and B. Jeffrey, editors. Agriculture and the Environment VI -  Managing Rural Diffuse Pollution: Proceedings of the SAC and SEPA Biennial Conference, Edinburgh University, Edinburgh, UK, 6 April 2006. International Water Association, London, UK.</t>
  </si>
  <si>
    <t>Function                      Indicators</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</si>
  <si>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</si>
  <si>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</si>
  <si>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</si>
  <si>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</si>
  <si>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</si>
  <si>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</si>
  <si>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May, C. W. 2003. Stream-Riparian Ecosystems In the Puget Sound Lowland Eco-Region. A Review of Best Available Science. Watershed Ecology, LLC, Poulsbo, WA.</t>
  </si>
  <si>
    <t>Murphy, M. L., C. P. Hawkins, and N. H. Anderson. 1981. Effects of canopy modification and accumulated sediment on stream communities. Transactions of the American Fisheries Society 110:469-478.</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</si>
  <si>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</si>
  <si>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</si>
  <si>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Shallower water depths support greater aquatic productivity and thus are attractive to many feeding waterbirds. </t>
    </r>
    <r>
      <rPr>
        <i/>
        <sz val="10"/>
        <rFont val="Arial Narrow"/>
        <family val="2"/>
      </rPr>
      <t xml:space="preserve">In calculations, is excluded automatically (cell goes blank) if wetland never has surface water during an average year. </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</si>
  <si>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</si>
  <si>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</si>
  <si>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</si>
  <si>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Most waterbirds prefer depths of 1- 2 ft. Wetlands with greater depths will nonetheless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</si>
  <si>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</si>
  <si>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</si>
  <si>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</si>
  <si>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</si>
  <si>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</si>
  <si>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Rich, A. C., D. S. Dobkin, and L. J. Niles. 1994. Defining forest fragmentation by corridor width: the influence of narrow forest-dividing corridors on forest-nesting birds in southern New Jersey. Conservation Biology 8:1109-1121.</t>
  </si>
  <si>
    <t>St. Clair, C. C., M. Bélisle, A. Desrochers, and S. Hannon. 1998. Winter responses of forest birds to habitat corridors and gaps. Conservation Ecology 2:1-13 Online:  http://www.consecol.org/vol12/iss12/art13/.</t>
  </si>
  <si>
    <t>Mahaney, W. M., D. H. Wardrop, and R. P. Brooks. 2005. Impacts of sedimentation and nitrogen enrichment on wetland plant community structure. Plant Ecology 175:227-243.</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</si>
  <si>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</si>
  <si>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</si>
  <si>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t>Loomis, P. and R. Liebermann. 2006. Biological Impacts of Off-Road Vehicles in Alaska: A Literature Review Denali National Park and Preserve, Denali National Park and Preserve, AK.</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</si>
  <si>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</si>
  <si>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Petrone, R., K. DeVito, S. Kaufman, M. L. MacRae, and J. 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</si>
  <si>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Sum=</t>
  </si>
  <si>
    <t>Marsh</t>
  </si>
  <si>
    <t>Fen</t>
  </si>
  <si>
    <t xml:space="preserve">Wetland Types - Adjoining or Subordinate </t>
  </si>
  <si>
    <t>Swamp (with or without vernal pools)</t>
  </si>
  <si>
    <t>Height Class Interspersion</t>
  </si>
  <si>
    <t>Large Snags (Dead Standing Trees)</t>
  </si>
  <si>
    <t>Ponded Open Water - Minimum Size</t>
  </si>
  <si>
    <r>
      <t xml:space="preserve">In ducks-eye aerial view, the percentage of the ponded water that is </t>
    </r>
    <r>
      <rPr>
        <b/>
        <sz val="10"/>
        <rFont val="Arial Narrow"/>
        <family val="2"/>
      </rPr>
      <t>open</t>
    </r>
    <r>
      <rPr>
        <sz val="10"/>
        <rFont val="Arial Narrow"/>
        <family val="2"/>
      </rPr>
      <t xml:space="preserve"> (lacking emergent vegetation during most of the growing season, and unhidden by a forest or shrub canopy) is:</t>
    </r>
  </si>
  <si>
    <t xml:space="preserve">100% of the ponded water. </t>
  </si>
  <si>
    <t>Robust Emergents</t>
  </si>
  <si>
    <r>
      <t xml:space="preserve">The percentage </t>
    </r>
    <r>
      <rPr>
        <b/>
        <sz val="10"/>
        <rFont val="Arial Narrow"/>
        <family val="2"/>
      </rPr>
      <t>of the emergent vegetation</t>
    </r>
    <r>
      <rPr>
        <sz val="10"/>
        <rFont val="Arial Narrow"/>
        <family val="2"/>
      </rPr>
      <t xml:space="preserve"> cover in the AA that is cattail (</t>
    </r>
    <r>
      <rPr>
        <i/>
        <sz val="10"/>
        <rFont val="Arial Narrow"/>
        <family val="2"/>
      </rPr>
      <t>Typha</t>
    </r>
    <r>
      <rPr>
        <sz val="10"/>
        <rFont val="Arial Narrow"/>
        <family val="2"/>
      </rPr>
      <t xml:space="preserve"> spp.), common reed (</t>
    </r>
    <r>
      <rPr>
        <i/>
        <sz val="10"/>
        <rFont val="Arial Narrow"/>
        <family val="2"/>
      </rPr>
      <t>Phragmites</t>
    </r>
    <r>
      <rPr>
        <sz val="10"/>
        <rFont val="Arial Narrow"/>
        <family val="2"/>
      </rPr>
      <t>), or tall (&gt;1m) bulrush is:</t>
    </r>
  </si>
  <si>
    <t>Interspersion of Robust Emergents &amp; Open Water</t>
  </si>
  <si>
    <t>Persistent Deepwater Area</t>
  </si>
  <si>
    <t>Throughflow Resistance</t>
  </si>
  <si>
    <t>pH Measurement</t>
  </si>
  <si>
    <t>The pH in most of the AA's surface water:</t>
  </si>
  <si>
    <r>
      <t>was measured, and is:  [</t>
    </r>
    <r>
      <rPr>
        <i/>
        <sz val="10"/>
        <rFont val="Arial Narrow"/>
        <family val="2"/>
      </rPr>
      <t>enter the reading in the column to the right</t>
    </r>
    <r>
      <rPr>
        <sz val="10"/>
        <rFont val="Arial Narrow"/>
        <family val="2"/>
      </rPr>
      <t>]:</t>
    </r>
  </si>
  <si>
    <t>TDS and/or Conductivity</t>
  </si>
  <si>
    <t>The Total Dissolved Solids (TDS) in most of the AA's surface water:</t>
  </si>
  <si>
    <r>
      <t>TDS is: [</t>
    </r>
    <r>
      <rPr>
        <i/>
        <sz val="10"/>
        <rFont val="Arial Narrow"/>
        <family val="2"/>
      </rPr>
      <t xml:space="preserve">enter the reading </t>
    </r>
    <r>
      <rPr>
        <b/>
        <i/>
        <sz val="10"/>
        <rFont val="Arial Narrow"/>
        <family val="2"/>
      </rPr>
      <t xml:space="preserve">in ppm </t>
    </r>
    <r>
      <rPr>
        <i/>
        <sz val="10"/>
        <rFont val="Arial Narrow"/>
        <family val="2"/>
      </rPr>
      <t>in the column to the right, if measured, or answer next row</t>
    </r>
    <r>
      <rPr>
        <sz val="10"/>
        <rFont val="Arial Narrow"/>
        <family val="2"/>
      </rPr>
      <t>]:</t>
    </r>
  </si>
  <si>
    <t>burned &gt;30 years ago, or no evidence of a burn and no data.</t>
  </si>
  <si>
    <t>More than 1% of the AA's previously vegetated area:</t>
  </si>
  <si>
    <t>Burn History</t>
  </si>
  <si>
    <t>Calcareous Fen</t>
  </si>
  <si>
    <r>
      <t xml:space="preserve">The vegetated part of the Assessment Area (AA) is </t>
    </r>
    <r>
      <rPr>
        <b/>
        <sz val="10"/>
        <rFont val="Arial Narrow"/>
        <family val="2"/>
      </rPr>
      <t>mostly</t>
    </r>
    <r>
      <rPr>
        <sz val="10"/>
        <rFont val="Arial Narrow"/>
        <family val="2"/>
      </rPr>
      <t xml:space="preserve"> a (select ONE):</t>
    </r>
  </si>
  <si>
    <t>Few or none that meet these criteria.</t>
  </si>
  <si>
    <r>
      <t xml:space="preserve">The number of downed wood pieces </t>
    </r>
    <r>
      <rPr>
        <b/>
        <sz val="10"/>
        <rFont val="Arial Narrow"/>
        <family val="2"/>
      </rPr>
      <t xml:space="preserve">longer than 2 m </t>
    </r>
    <r>
      <rPr>
        <sz val="10"/>
        <rFont val="Arial Narrow"/>
        <family val="2"/>
      </rPr>
      <t xml:space="preserve">and with diameter </t>
    </r>
    <r>
      <rPr>
        <b/>
        <sz val="10"/>
        <rFont val="Arial Narrow"/>
        <family val="2"/>
      </rPr>
      <t>&gt;10 cm,</t>
    </r>
    <r>
      <rPr>
        <sz val="10"/>
        <rFont val="Arial Narrow"/>
        <family val="2"/>
      </rPr>
      <t xml:space="preserve"> and not persistently submerged, is:</t>
    </r>
  </si>
  <si>
    <t>Several (&gt;5 if AA is &gt;5 hectares, less for smaller AAs) meet these criteria.</t>
  </si>
  <si>
    <t>Within the part of the AA that lacks persistent surface water, the cover of moss, whether or not supporting sedges and other plants rooted in it, is:</t>
  </si>
  <si>
    <t xml:space="preserve">&lt;5% of the vegetated part of the AA. </t>
  </si>
  <si>
    <t>% Bare Ground &amp; Thatch</t>
  </si>
  <si>
    <r>
      <t>Little or no (&lt;5%) </t>
    </r>
    <r>
      <rPr>
        <i/>
        <sz val="10"/>
        <rFont val="Arial Narrow"/>
        <family val="2"/>
      </rPr>
      <t>bare ground </t>
    </r>
    <r>
      <rPr>
        <sz val="10"/>
        <rFont val="Arial Narrow"/>
        <family val="2"/>
      </rPr>
      <t>is visible between erect stems or under canopy anywhere in the vegetated AA. Ground is extensively blanketed by dense thatch, moss, lichens, graminoids with great stem densities, or plants with ground-hugging foliage. </t>
    </r>
  </si>
  <si>
    <t xml:space="preserve">Ground Irregularity </t>
  </si>
  <si>
    <r>
      <t>Within</t>
    </r>
    <r>
      <rPr>
        <sz val="10"/>
        <rFont val="Arial Narrow"/>
        <family val="2"/>
      </rPr>
      <t xml:space="preserve"> the AA, inclusions of upland that individually are &gt;100 sq.m. are:</t>
    </r>
  </si>
  <si>
    <t>Peat, to 40 cm depth or greater.</t>
  </si>
  <si>
    <t xml:space="preserve">Shorebird Feeding Habitats </t>
  </si>
  <si>
    <t>Herbaceous % of Vegetated Wetland</t>
  </si>
  <si>
    <t xml:space="preserve">Forb Cover </t>
  </si>
  <si>
    <r>
      <t xml:space="preserve">Within parts of the AA having herbaceous cover (excluding SAV), the areal cover of </t>
    </r>
    <r>
      <rPr>
        <b/>
        <sz val="10"/>
        <rFont val="Arial Narrow"/>
        <family val="2"/>
      </rPr>
      <t>forbs</t>
    </r>
    <r>
      <rPr>
        <sz val="10"/>
        <rFont val="Arial Narrow"/>
        <family val="2"/>
      </rPr>
      <t xml:space="preserve"> reaches an annual maximum of:</t>
    </r>
  </si>
  <si>
    <t xml:space="preserve">&lt;5% of the herbaceous part of the AA. </t>
  </si>
  <si>
    <t xml:space="preserve">Sedge Cover </t>
  </si>
  <si>
    <t>Sedges (Carex spp.) occupy:</t>
  </si>
  <si>
    <t xml:space="preserve">Dominance of Most Abundant Herbaceous Species </t>
  </si>
  <si>
    <r>
      <t xml:space="preserve">The percentage of the AA that </t>
    </r>
    <r>
      <rPr>
        <u/>
        <sz val="10"/>
        <rFont val="Arial Narrow"/>
        <family val="2"/>
      </rPr>
      <t xml:space="preserve">never </t>
    </r>
    <r>
      <rPr>
        <sz val="10"/>
        <rFont val="Arial Narrow"/>
        <family val="2"/>
      </rPr>
      <t>contains</t>
    </r>
    <r>
      <rPr>
        <u/>
        <sz val="10"/>
        <rFont val="Arial Narrow"/>
        <family val="2"/>
      </rPr>
      <t xml:space="preserve"> surface</t>
    </r>
    <r>
      <rPr>
        <sz val="10"/>
        <rFont val="Arial Narrow"/>
        <family val="2"/>
      </rPr>
      <t xml:space="preserve"> water during an average year (that is, except perhaps for a few hours after snowmelt or rainstorms), but which is still a wetland, is:</t>
    </r>
  </si>
  <si>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</si>
  <si>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</si>
  <si>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 of Summertime Water that Is Shaded</t>
  </si>
  <si>
    <t>&lt;5% of the water is shaded, or no surface water is present then.</t>
  </si>
  <si>
    <r>
      <t xml:space="preserve">% of AA that is Flooded </t>
    </r>
    <r>
      <rPr>
        <b/>
        <sz val="11"/>
        <rFont val="Arial Narrow"/>
        <family val="2"/>
      </rPr>
      <t xml:space="preserve">Only </t>
    </r>
    <r>
      <rPr>
        <sz val="11"/>
        <rFont val="Arial Narrow"/>
        <family val="2"/>
      </rPr>
      <t>Seasonally</t>
    </r>
  </si>
  <si>
    <r>
      <t xml:space="preserve">The percentage of the AA that is covered by unfrozen surface water </t>
    </r>
    <r>
      <rPr>
        <b/>
        <sz val="10"/>
        <rFont val="Arial Narrow"/>
        <family val="2"/>
      </rPr>
      <t>only</t>
    </r>
    <r>
      <rPr>
        <sz val="10"/>
        <rFont val="Arial Narrow"/>
        <family val="2"/>
      </rPr>
      <t xml:space="preserve"> during the wettest time of the year during most years is:</t>
    </r>
  </si>
  <si>
    <t xml:space="preserve">&gt;95% of the AA. </t>
  </si>
  <si>
    <r>
      <t xml:space="preserve">The annual fluctuation in surface water level within </t>
    </r>
    <r>
      <rPr>
        <b/>
        <sz val="10"/>
        <rFont val="Arial Narrow"/>
        <family val="2"/>
      </rPr>
      <t xml:space="preserve">most </t>
    </r>
    <r>
      <rPr>
        <sz val="10"/>
        <rFont val="Arial Narrow"/>
        <family val="2"/>
      </rPr>
      <t>of the parts of the AA that contain surface water is:</t>
    </r>
  </si>
  <si>
    <t>During most of the time when surface water is present during the growing season, its depth, averaged over the entire inundated part of the AA, is:</t>
  </si>
  <si>
    <t>Depth Classes - Evenness of Proportions</t>
  </si>
  <si>
    <r>
      <t xml:space="preserve">When present, surface water in </t>
    </r>
    <r>
      <rPr>
        <b/>
        <sz val="10"/>
        <rFont val="Arial Narrow"/>
        <family val="2"/>
      </rPr>
      <t>most</t>
    </r>
    <r>
      <rPr>
        <sz val="10"/>
        <rFont val="Arial Narrow"/>
        <family val="2"/>
      </rPr>
      <t xml:space="preserve"> of the AA usually consists of (select one):</t>
    </r>
  </si>
  <si>
    <t>Width of Vegetated Zone within Wetland</t>
  </si>
  <si>
    <r>
      <t>At the time during the growing season when the AA's water level is lowest, the average width of vegetated area</t>
    </r>
    <r>
      <rPr>
        <u/>
        <sz val="10"/>
        <rFont val="Arial Narrow"/>
        <family val="2"/>
      </rPr>
      <t xml:space="preserve"> </t>
    </r>
    <r>
      <rPr>
        <b/>
        <u/>
        <sz val="10"/>
        <rFont val="Arial Narrow"/>
        <family val="2"/>
      </rPr>
      <t xml:space="preserve">in </t>
    </r>
    <r>
      <rPr>
        <u/>
        <sz val="10"/>
        <rFont val="Arial Narrow"/>
        <family val="2"/>
      </rPr>
      <t>the AA</t>
    </r>
    <r>
      <rPr>
        <sz val="10"/>
        <rFont val="Arial Narrow"/>
        <family val="2"/>
      </rPr>
      <t xml:space="preserve"> that separates adjoining uplands from open water within the AA is:</t>
    </r>
  </si>
  <si>
    <t>&lt;1 m</t>
  </si>
  <si>
    <t>1 - 9 m</t>
  </si>
  <si>
    <t>10 - 29 m</t>
  </si>
  <si>
    <t>30 - 49 m</t>
  </si>
  <si>
    <t>50 - 100 m</t>
  </si>
  <si>
    <t>&gt; 100 m</t>
  </si>
  <si>
    <r>
      <t xml:space="preserve">During most of the part of the growing season when water is present, the percentage of the AA's water edge length that is  </t>
    </r>
    <r>
      <rPr>
        <b/>
        <sz val="10"/>
        <rFont val="Arial Narrow"/>
        <family val="2"/>
      </rPr>
      <t>nearly flat</t>
    </r>
    <r>
      <rPr>
        <sz val="10"/>
        <rFont val="Arial Narrow"/>
        <family val="2"/>
      </rPr>
      <t xml:space="preserve"> (a slope less than about 5%) is:</t>
    </r>
  </si>
  <si>
    <r>
      <t xml:space="preserve">During most of the part of the growing season when water is present, the spatial </t>
    </r>
    <r>
      <rPr>
        <b/>
        <sz val="10"/>
        <rFont val="Arial Narrow"/>
        <family val="2"/>
      </rPr>
      <t xml:space="preserve">pattern </t>
    </r>
    <r>
      <rPr>
        <sz val="10"/>
        <rFont val="Arial Narrow"/>
        <family val="2"/>
      </rPr>
      <t xml:space="preserve">of robust herbaceous vegetation (e.g., cattail, tall bulrush, buckbean) is </t>
    </r>
    <r>
      <rPr>
        <b/>
        <sz val="10"/>
        <rFont val="Arial Narrow"/>
        <family val="2"/>
      </rPr>
      <t>mostly</t>
    </r>
    <r>
      <rPr>
        <sz val="10"/>
        <rFont val="Arial Narrow"/>
        <family val="2"/>
      </rPr>
      <t>:</t>
    </r>
  </si>
  <si>
    <t>Clumped. More than 70% of such vegetation is in bands along the wetland perimeter or is clumped at one or a few sides of the surface water area.</t>
  </si>
  <si>
    <t>During most of the growing season and in waters deeper than 0.5 m, the cover for fish, aquatic invertebrates, and/or amphibians that is provided NOT by living vegetation, but by accumulations of dead wood and undercut banks is:</t>
  </si>
  <si>
    <t xml:space="preserve">Floating Algae &amp; Duckweed </t>
  </si>
  <si>
    <t>Tributary Channel</t>
  </si>
  <si>
    <r>
      <t xml:space="preserve">Input </t>
    </r>
    <r>
      <rPr>
        <sz val="11"/>
        <rFont val="Arial Narrow"/>
        <family val="2"/>
      </rPr>
      <t>Water Temperature</t>
    </r>
  </si>
  <si>
    <t>Channel Connection &amp; Outflow Duration</t>
  </si>
  <si>
    <r>
      <t xml:space="preserve">The </t>
    </r>
    <r>
      <rPr>
        <b/>
        <sz val="10"/>
        <rFont val="Arial Narrow"/>
        <family val="2"/>
      </rPr>
      <t>most persistent</t>
    </r>
    <r>
      <rPr>
        <sz val="10"/>
        <rFont val="Arial Narrow"/>
        <family val="2"/>
      </rPr>
      <t xml:space="preserve"> </t>
    </r>
    <r>
      <rPr>
        <u/>
        <sz val="10"/>
        <rFont val="Arial Narrow"/>
        <family val="2"/>
      </rPr>
      <t>surface</t>
    </r>
    <r>
      <rPr>
        <sz val="10"/>
        <rFont val="Arial Narrow"/>
        <family val="2"/>
      </rPr>
      <t xml:space="preserve"> water connection (outlet channel or pipe, ditch, or overbank water exchange) between the </t>
    </r>
    <r>
      <rPr>
        <b/>
        <sz val="10"/>
        <rFont val="Arial Narrow"/>
        <family val="2"/>
      </rPr>
      <t xml:space="preserve">AA </t>
    </r>
    <r>
      <rPr>
        <sz val="10"/>
        <rFont val="Arial Narrow"/>
        <family val="2"/>
      </rPr>
      <t>and the closest larger water body located downslope is:</t>
    </r>
  </si>
  <si>
    <t xml:space="preserve">Outflow Confinement </t>
  </si>
  <si>
    <r>
      <t>During major runoff events, in the places where</t>
    </r>
    <r>
      <rPr>
        <b/>
        <sz val="10"/>
        <rFont val="Arial Narrow"/>
        <family val="2"/>
      </rPr>
      <t xml:space="preserve"> surface</t>
    </r>
    <r>
      <rPr>
        <sz val="10"/>
        <rFont val="Arial Narrow"/>
        <family val="2"/>
      </rPr>
      <t xml:space="preserve"> water exits the AA or connected waters nearby, the water:</t>
    </r>
  </si>
  <si>
    <t>leaves through natural exits (channels or diffuse outflow), not mainly through artificial or temporary features.</t>
  </si>
  <si>
    <r>
      <t>bumps into</t>
    </r>
    <r>
      <rPr>
        <b/>
        <sz val="10"/>
        <rFont val="Arial Narrow"/>
        <family val="2"/>
      </rPr>
      <t xml:space="preserve"> herbaceous </t>
    </r>
    <r>
      <rPr>
        <sz val="10"/>
        <rFont val="Arial Narrow"/>
        <family val="2"/>
      </rPr>
      <t>vegetation but mostly remains in fairly straight channels.</t>
    </r>
  </si>
  <si>
    <r>
      <t>bumps into</t>
    </r>
    <r>
      <rPr>
        <b/>
        <sz val="10"/>
        <rFont val="Arial Narrow"/>
        <family val="2"/>
      </rPr>
      <t xml:space="preserve"> tree trunks and/or shrub stems </t>
    </r>
    <r>
      <rPr>
        <sz val="10"/>
        <rFont val="Arial Narrow"/>
        <family val="2"/>
      </rPr>
      <t>but mostly remains in fairly straight channels.</t>
    </r>
  </si>
  <si>
    <r>
      <t xml:space="preserve">bumps into tree trunks and/or shrub stems and follows a fairly </t>
    </r>
    <r>
      <rPr>
        <b/>
        <sz val="10"/>
        <rFont val="Arial Narrow"/>
        <family val="2"/>
      </rPr>
      <t>indirect</t>
    </r>
    <r>
      <rPr>
        <sz val="10"/>
        <rFont val="Arial Narrow"/>
        <family val="2"/>
      </rPr>
      <t xml:space="preserve"> path from entrance to exit (meandering, multi-branched, or braided).</t>
    </r>
  </si>
  <si>
    <t>was not measured because no surface water could be found during this visit. Enter "1".</t>
  </si>
  <si>
    <t xml:space="preserve">was not measured because no surface water could be found during this visit. Enter "1". </t>
  </si>
  <si>
    <t>was not measured, but plants that indicate saline conditions cover much of the vegetated AA. Enter "1" .</t>
  </si>
  <si>
    <t>Beaver Probability</t>
  </si>
  <si>
    <r>
      <t xml:space="preserve">evident </t>
    </r>
    <r>
      <rPr>
        <sz val="10"/>
        <rFont val="Arial Narrow"/>
        <family val="2"/>
      </rPr>
      <t>from direct observation or presence of gnawed limbs, dams, tracks, dens, lodges, or extensive stands of water-killed trees (snags).</t>
    </r>
  </si>
  <si>
    <r>
      <t>likely</t>
    </r>
    <r>
      <rPr>
        <sz val="10"/>
        <rFont val="Arial Narrow"/>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t>
    </r>
  </si>
  <si>
    <r>
      <t>unlikely</t>
    </r>
    <r>
      <rPr>
        <sz val="10"/>
        <rFont val="Arial Narrow"/>
        <family val="2"/>
      </rPr>
      <t xml:space="preserve"> because site characteristics above are deficient, and/or this is a settled area or other area where beaver are routinely removed. </t>
    </r>
  </si>
  <si>
    <t>Groundwater Strength of Evidence</t>
  </si>
  <si>
    <t xml:space="preserve">Select first applicable choice. </t>
  </si>
  <si>
    <r>
      <t xml:space="preserve">The gradient along most of the flow path </t>
    </r>
    <r>
      <rPr>
        <b/>
        <sz val="10"/>
        <rFont val="Arial Narrow"/>
        <family val="2"/>
      </rPr>
      <t xml:space="preserve">within </t>
    </r>
    <r>
      <rPr>
        <sz val="10"/>
        <rFont val="Arial Narrow"/>
        <family val="2"/>
      </rPr>
      <t>the AA is:</t>
    </r>
  </si>
  <si>
    <t>Within 30 m upslope of where the wetland transitions to upland, the upland land cover that is NOT natural is mostly (mark ONE):</t>
  </si>
  <si>
    <t xml:space="preserve">Buffer Slope </t>
  </si>
  <si>
    <t>The steepest and/or most disturbed part of the upland area that is within 30 m of the wetland and occupies &gt;10% of that upland area has a percent slope of:</t>
  </si>
  <si>
    <t>&lt;1% (flat -- almost no noticeable slope) or all the area within 30 m of the AA edge is other wetlands.</t>
  </si>
  <si>
    <t xml:space="preserve">Cliffs, Steep Banks, or Salt Lick </t>
  </si>
  <si>
    <r>
      <t xml:space="preserve">The AA is (or is within, or contains) a "new" wetland resulting from </t>
    </r>
    <r>
      <rPr>
        <b/>
        <sz val="10"/>
        <rFont val="Arial Narrow"/>
        <family val="2"/>
      </rPr>
      <t>human</t>
    </r>
    <r>
      <rPr>
        <sz val="10"/>
        <rFont val="Arial Narrow"/>
        <family val="2"/>
      </rPr>
      <t xml:space="preserve"> actions (e.g., excavation, impoundment) or debris flows, or other factors affecting what once was </t>
    </r>
    <r>
      <rPr>
        <b/>
        <sz val="10"/>
        <rFont val="Arial Narrow"/>
        <family val="2"/>
      </rPr>
      <t>upland (non-hydric) soil.</t>
    </r>
  </si>
  <si>
    <t>The maximum percentage of the wetland that is visible from the best vantage point on public roads, public parking lots, public buildings, or public maintained trails that intersect, adjoin, or are within 100 m of the AA (select one) is:</t>
  </si>
  <si>
    <t xml:space="preserve">Ownership </t>
  </si>
  <si>
    <t>Most of the AA (the wetland's assessment area) is:</t>
  </si>
  <si>
    <t xml:space="preserve">Non-consumptive Uses - Actual or Potential </t>
  </si>
  <si>
    <r>
      <t>For an average person, walking is physically possible</t>
    </r>
    <r>
      <rPr>
        <u/>
        <sz val="10"/>
        <rFont val="Arial Narrow"/>
        <family val="2"/>
      </rPr>
      <t xml:space="preserve"> in</t>
    </r>
    <r>
      <rPr>
        <sz val="10"/>
        <rFont val="Arial Narrow"/>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</si>
  <si>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</si>
  <si>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Unvisited Core Area </t>
  </si>
  <si>
    <t>Frequently Visited Area</t>
  </si>
  <si>
    <t xml:space="preserve">Consumptive Uses (Provisioning Services)  </t>
  </si>
  <si>
    <t>The closest wells or water bodies that currently provide drinking water are:</t>
  </si>
  <si>
    <r>
      <t xml:space="preserve">% of AA with </t>
    </r>
    <r>
      <rPr>
        <b/>
        <sz val="11"/>
        <rFont val="Arial Narrow"/>
        <family val="2"/>
      </rPr>
      <t xml:space="preserve">Persistent </t>
    </r>
    <r>
      <rPr>
        <sz val="11"/>
        <rFont val="Arial Narrow"/>
        <family val="2"/>
      </rPr>
      <t>Surface Water</t>
    </r>
  </si>
  <si>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</si>
  <si>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Wetter Water Regime - Internal Causes</t>
  </si>
  <si>
    <t>Unless (or even when) new wetlands are sown with plants, the number of native species often remains low for years as colonization gradually occurs and diverse plant communities become established.</t>
  </si>
  <si>
    <t xml:space="preserve">Size of Largest Nearby Vegetated Tract or Corridor </t>
  </si>
  <si>
    <t xml:space="preserve">Degraded Water Upstream </t>
  </si>
  <si>
    <t xml:space="preserve">Degraded Water Downstream </t>
  </si>
  <si>
    <t>Water Quality Sensitivity</t>
  </si>
  <si>
    <t>Other Conservation Designation</t>
  </si>
  <si>
    <t>&lt;100 m</t>
  </si>
  <si>
    <t>100 - 500 m</t>
  </si>
  <si>
    <t>0.5- 1 km</t>
  </si>
  <si>
    <t>1 - 5 km</t>
  </si>
  <si>
    <t>&gt;5 km</t>
  </si>
  <si>
    <t>&lt;10 m</t>
  </si>
  <si>
    <t>10 - 25 m</t>
  </si>
  <si>
    <t>25 - 50 m</t>
  </si>
  <si>
    <t>&gt;500 m</t>
  </si>
  <si>
    <t>0.01 - 0.1 hectare</t>
  </si>
  <si>
    <t>0.1 - 1 hectare</t>
  </si>
  <si>
    <t>1 to 10 hectares</t>
  </si>
  <si>
    <t>10 to 100 hectares</t>
  </si>
  <si>
    <t>100 to 1000 hectares</t>
  </si>
  <si>
    <t>100 m - 1 km</t>
  </si>
  <si>
    <t>1 -2 km</t>
  </si>
  <si>
    <t>2-5 km</t>
  </si>
  <si>
    <t>5-10 km</t>
  </si>
  <si>
    <t>&gt;10 km</t>
  </si>
  <si>
    <t>Species of Conservation Concern</t>
  </si>
  <si>
    <t>Calcareous Region</t>
  </si>
  <si>
    <t>1000-1200</t>
  </si>
  <si>
    <t>1200-1400</t>
  </si>
  <si>
    <t>1400-1600</t>
  </si>
  <si>
    <t>1600-1800</t>
  </si>
  <si>
    <r>
      <t xml:space="preserve">The distance from the AA edge to the closest (but separate) </t>
    </r>
    <r>
      <rPr>
        <b/>
        <sz val="10"/>
        <rFont val="Arial Narrow"/>
        <family val="2"/>
      </rPr>
      <t>lake</t>
    </r>
    <r>
      <rPr>
        <sz val="10"/>
        <rFont val="Arial Narrow"/>
        <family val="2"/>
      </rPr>
      <t xml:space="preserve"> (a non-tidal body of water that is ponded during most of the year and is </t>
    </r>
    <r>
      <rPr>
        <b/>
        <sz val="10"/>
        <rFont val="Arial Narrow"/>
        <family val="2"/>
      </rPr>
      <t>larger than 8 hectares</t>
    </r>
    <r>
      <rPr>
        <sz val="10"/>
        <rFont val="Arial Narrow"/>
        <family val="2"/>
      </rPr>
      <t>) during most of a normal year is:</t>
    </r>
  </si>
  <si>
    <r>
      <t xml:space="preserve">The distance from the AA edge to the closest </t>
    </r>
    <r>
      <rPr>
        <b/>
        <sz val="10"/>
        <rFont val="Arial Narrow"/>
        <family val="2"/>
      </rPr>
      <t xml:space="preserve">tidal water </t>
    </r>
    <r>
      <rPr>
        <sz val="10"/>
        <rFont val="Arial Narrow"/>
        <family val="2"/>
      </rPr>
      <t>body (regardless of its salinity) is:</t>
    </r>
  </si>
  <si>
    <t>800-1000 days</t>
  </si>
  <si>
    <t>&gt;1800 days</t>
  </si>
  <si>
    <t>Growing Degree Days</t>
  </si>
  <si>
    <t xml:space="preserve">Because of their physical structure and setting, some upland soils are intrinsically more erodible than others having the same vegetation cover and exposed to the same precipitation intensity. Wetlands located below such erodible soils have more opportunity to trap the eroded sediment and thus can be considered more valuable. </t>
  </si>
  <si>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</si>
  <si>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</si>
  <si>
    <t>AVERAGE(WbirdFeed, Fishing, Core, PopCtr, DistRd)</t>
  </si>
  <si>
    <t>The capacity to support or contribute to an abundance or diversity of native frogs, toads, salamanders, and turtles.</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</si>
  <si>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</si>
  <si>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Relative Elevation in Watershed</t>
  </si>
  <si>
    <t>Herbaceous Uniqueness</t>
  </si>
  <si>
    <t>HerbUniq</t>
  </si>
  <si>
    <t>WoodyUniq</t>
  </si>
  <si>
    <t>Distance to Large Vegetated Tract</t>
  </si>
  <si>
    <r>
      <t>Especially during migration, the diversity of waterbirds may be greater in wetlands with fish because many wetland birds (e.g., loons, herons) feed extensively on fish.</t>
    </r>
    <r>
      <rPr>
        <i/>
        <sz val="10"/>
        <rFont val="Arial Narrow"/>
        <family val="2"/>
      </rPr>
      <t xml:space="preserve"> In calculations, receives maximum indicator score if wetland has fish, but if fish absent, this indicator is ignored.</t>
    </r>
  </si>
  <si>
    <r>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t>
    </r>
    <r>
      <rPr>
        <i/>
        <sz val="10"/>
        <rFont val="Arial Narrow"/>
        <family val="2"/>
      </rPr>
      <t xml:space="preserve"> In calculations, receives maximum indicator score if wetland has water but is fishless, whereas if fish are present, this indicator is ignored.</t>
    </r>
  </si>
  <si>
    <t>PondProx</t>
  </si>
  <si>
    <t>AVERAGE(FishAcc, AVERAGE(RdDis, Toxic, Core1, Core2, BMP)</t>
  </si>
  <si>
    <t>RareHerp</t>
  </si>
  <si>
    <t>IF((Rare=1),1, IF((IBirdv=1),1, ELSE: HerbUniq</t>
  </si>
  <si>
    <t>Distance to Ponded Water</t>
  </si>
  <si>
    <t>Wetland Herbaceous Area</t>
  </si>
  <si>
    <t>&gt;100 hectares</t>
  </si>
  <si>
    <t>Wetland + Water Total Area</t>
  </si>
  <si>
    <t>AreaTotal12</t>
  </si>
  <si>
    <t>AVERAGE (SatPct, PermWpct, PondProx, Beaver, Interspers)</t>
  </si>
  <si>
    <t>Woody Uniqueness</t>
  </si>
  <si>
    <t>Such wetlands may be considered more valuable because the rare species they host contribute disproportionately to waterbird biodiversity at a regional scale.</t>
  </si>
  <si>
    <t>CovPctScape0</t>
  </si>
  <si>
    <t>Native Plant Habitat</t>
  </si>
  <si>
    <t xml:space="preserve">In Ontario, forested wetlands with the most plant species were those with the largest areas and the largest proportion of upland forest within 250 m of the wetlands (Houlahan et al. 2006). </t>
  </si>
  <si>
    <t>SizeVegConnec15</t>
  </si>
  <si>
    <t>DistBig15</t>
  </si>
  <si>
    <t>VegPctScape_S</t>
  </si>
  <si>
    <t>WetSize_S</t>
  </si>
  <si>
    <t>RareSpp_S</t>
  </si>
  <si>
    <t>AVERAGE [AVERAGE[VwidthAbs, WetSize, (AVERAGE(EmSens, ShrubPattS, WoodySens2, Gcover, UpEdge)), RareSpp]</t>
  </si>
  <si>
    <t>Elev_S</t>
  </si>
  <si>
    <t>Wetlands near headwaters have less exposure to waterborne colonizing plant propagules, thus potentially longer recovery times and greater sensitivity.</t>
  </si>
  <si>
    <t>AVERAGE [ OutDura X AVERAGE(SatPct, CUratio, IsoDry, Depth, Constric), AVERAGE(BuffSlope, Erodib, SoilTex, Beaver) ]</t>
  </si>
  <si>
    <t>Stream Flow Support</t>
  </si>
  <si>
    <t>Elev4</t>
  </si>
  <si>
    <t>Vegetated Buffer as % of Perimeter</t>
  </si>
  <si>
    <r>
      <t xml:space="preserve">During most times when surface water is present, the percentage that is </t>
    </r>
    <r>
      <rPr>
        <b/>
        <sz val="10"/>
        <rFont val="Arial Narrow"/>
        <family val="2"/>
      </rPr>
      <t xml:space="preserve">ponded </t>
    </r>
    <r>
      <rPr>
        <sz val="10"/>
        <rFont val="Arial Narrow"/>
        <family val="2"/>
      </rPr>
      <t>(stagnant, or flows so slowly that fine sediment is not held in suspension) is:</t>
    </r>
  </si>
  <si>
    <t xml:space="preserve">Trees near water edges discourage use of those areas by some waterbird species, probably because it potentially conceals or provides a perch for predators such as eagles and falcons (Shepherd &amp; Lank 2004, Sprague et al. 2008). </t>
  </si>
  <si>
    <t>In aerial ("ducks eye") view, the maximum annual cover of herbaceous vegetation (excluding moss) is:</t>
  </si>
  <si>
    <r>
      <t xml:space="preserve">% of AA </t>
    </r>
    <r>
      <rPr>
        <b/>
        <sz val="11"/>
        <rFont val="Arial Narrow"/>
        <family val="2"/>
      </rPr>
      <t xml:space="preserve">Without </t>
    </r>
    <r>
      <rPr>
        <sz val="11"/>
        <rFont val="Arial Narrow"/>
        <family val="2"/>
      </rPr>
      <t>Surface Water</t>
    </r>
  </si>
  <si>
    <r>
      <t xml:space="preserve">At mid-day during the warmest time of year, the area of surface water </t>
    </r>
    <r>
      <rPr>
        <u/>
        <sz val="10"/>
        <rFont val="Arial Narrow"/>
        <family val="2"/>
      </rPr>
      <t>within</t>
    </r>
    <r>
      <rPr>
        <sz val="10"/>
        <rFont val="Arial Narrow"/>
        <family val="2"/>
      </rPr>
      <t xml:space="preserve"> the AA that is shaded by vegetation and other features </t>
    </r>
    <r>
      <rPr>
        <b/>
        <sz val="10"/>
        <rFont val="Arial Narrow"/>
        <family val="2"/>
      </rPr>
      <t xml:space="preserve">that are </t>
    </r>
    <r>
      <rPr>
        <b/>
        <u/>
        <sz val="10"/>
        <rFont val="Arial Narrow"/>
        <family val="2"/>
      </rPr>
      <t>within</t>
    </r>
    <r>
      <rPr>
        <sz val="10"/>
        <rFont val="Arial Narrow"/>
        <family val="2"/>
      </rPr>
      <t xml:space="preserve"> the AA at that time is:</t>
    </r>
  </si>
  <si>
    <t>Nitrogen-fixing plants (e.g., alder, sweetgale, clover, lupine, other legumes) comprise:</t>
  </si>
  <si>
    <r>
      <t xml:space="preserve">&lt;1% of the shrub cover </t>
    </r>
    <r>
      <rPr>
        <b/>
        <sz val="10"/>
        <rFont val="Arial Narrow"/>
        <family val="2"/>
      </rPr>
      <t>and</t>
    </r>
    <r>
      <rPr>
        <sz val="10"/>
        <rFont val="Arial Narrow"/>
        <family val="2"/>
      </rPr>
      <t xml:space="preserve"> &lt;1% of the ground cover, or trees are the only cover.</t>
    </r>
  </si>
  <si>
    <t>Woody Height &amp; Form Diversity</t>
  </si>
  <si>
    <t>Deciduous Woody Cover</t>
  </si>
  <si>
    <t>DecidCov15</t>
  </si>
  <si>
    <t>WoodyHtDiv15</t>
  </si>
  <si>
    <t>WoodHerbMix15</t>
  </si>
  <si>
    <t>CalcFen15</t>
  </si>
  <si>
    <t>WoodyUniq20</t>
  </si>
  <si>
    <t>HerbUniq20</t>
  </si>
  <si>
    <t>RarePsp20</t>
  </si>
  <si>
    <t>AVERAGE (Beaver, NatVegCA, BuffLUpd, PondScape, PondProx)</t>
  </si>
  <si>
    <t>Invas15</t>
  </si>
  <si>
    <t>WoodSpDom15</t>
  </si>
  <si>
    <t>(4*SppArea + 3*CompetPD + 2*AqFertilPD + 2*TerrFertilPD + LscapePD + StressPD)/13)</t>
  </si>
  <si>
    <t>IF((RarePlant=1),1, ELSE: AVERAGE(SBMscore, MAX(HerbUniq, WoodyUniq), ScorePOL)</t>
  </si>
  <si>
    <t>F3A</t>
  </si>
  <si>
    <t>Denitrification may be less under evergreen canopies than under deciduous because of the more shaded (cooler) microclimate and acidic soil conditions of the former.</t>
  </si>
  <si>
    <t>Groundwater in many areas is phosphorus-rich, especially when associated with iron-rich bedrock. This increases the opportunity of the receiving wetlands to process the P, thus increasing the importance (value) of their role in the local ecosystem.</t>
  </si>
  <si>
    <r>
      <t>Collen, P. and R. J. Gibson. 2001. The general ecology of beavers (</t>
    </r>
    <r>
      <rPr>
        <i/>
        <sz val="10"/>
        <rFont val="Arial Narrow"/>
        <family val="2"/>
      </rPr>
      <t>Castor</t>
    </r>
    <r>
      <rPr>
        <sz val="10"/>
        <rFont val="Arial Narrow"/>
        <family val="2"/>
      </rPr>
      <t xml:space="preserve"> spp.), as related to their influence on stream ecosystems and riparian habitats, and the subsequent effects on fish – a review. Reviews in Fish Biology and Fisheries 10:439–461.</t>
    </r>
  </si>
  <si>
    <t>Meyer, J. L., D. L. Strayer, J. B. Wallace, S. L. Eggert, G. S. Helfman, and N. E. Leonard. 2007. The Contribution of Headwater Streams to Biodiversity in River Networks. JAWRA Journal of the American Water Resources Association 43:86-103.</t>
  </si>
  <si>
    <r>
      <t>Wipfli, M. S. and J. Musslewhite. 2004. Density of red alder (</t>
    </r>
    <r>
      <rPr>
        <i/>
        <sz val="10"/>
        <rFont val="Arial Narrow"/>
        <family val="2"/>
      </rPr>
      <t>Alnus rubra</t>
    </r>
    <r>
      <rPr>
        <sz val="10"/>
        <rFont val="Arial Narrow"/>
        <family val="2"/>
      </rPr>
      <t>) in headwaters influences invertebrate and detritus subsidies to downstream fish habitats in Alaska. Hydrobiologia 520:153-163.</t>
    </r>
  </si>
  <si>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</si>
  <si>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 xml:space="preserve">Aquatic invertebrates are especially valued in food webs when the same wetland's structure also strongly supports important consumers such as fish, bats, and birds (Baxter et al. 2005, Gende &amp; Wilson 2001, Christie &amp; Reimchen 2008). </t>
  </si>
  <si>
    <t>Schmutzer, A. C., M. J. Gray, E. C. Burton, and D. L. Miller. 2008. Impacts of cattle on amphibian larvae and the aquatic environment. Freshwater Biology 53:2613-2625.</t>
  </si>
  <si>
    <r>
      <t>Wood, W. E. and S. M. Yezerinac. 2006. Song sparrow (</t>
    </r>
    <r>
      <rPr>
        <i/>
        <sz val="10"/>
        <rFont val="Arial Narrow"/>
        <family val="2"/>
      </rPr>
      <t>Melospiza melodia</t>
    </r>
    <r>
      <rPr>
        <sz val="10"/>
        <rFont val="Arial Narrow"/>
        <family val="2"/>
      </rPr>
      <t>) song varies with urban noise. Auk 123:650-659.</t>
    </r>
  </si>
  <si>
    <t>Due to fertilizing effects of its nitrogen-fixing capacity, alder can increase the abundance of forbs important to songbirds and other wildlife.</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</si>
  <si>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</si>
  <si>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 xml:space="preserve">Soil organic matter is slow to accumulate in constructed wetlands (Alsfeld et al. 2009), so less is likely to be available for export. </t>
  </si>
  <si>
    <t>Man-made wetlands typically have less diverse vegetation and limited soil carbon, making them more sensitive to extreme natural events and slower to recover.</t>
  </si>
  <si>
    <r>
      <t xml:space="preserve">Hogg, E. H. and V. J. Lieffers. 1991. The impact of </t>
    </r>
    <r>
      <rPr>
        <i/>
        <sz val="10"/>
        <rFont val="Arial Narrow"/>
        <family val="2"/>
      </rPr>
      <t>Calamagrostis canadensis</t>
    </r>
    <r>
      <rPr>
        <sz val="10"/>
        <rFont val="Arial Narrow"/>
        <family val="2"/>
      </rPr>
      <t xml:space="preserve"> on soil thermal regimes after logging in northern Alberta. Canadian Journal of Forest Research 21:387-394.</t>
    </r>
  </si>
  <si>
    <t>The capacity to support rearing or spawning habitat of fish species that migrate from marine waters into freshwater streams to spawn.</t>
  </si>
  <si>
    <t>Anadromous Fish Habitat</t>
  </si>
  <si>
    <r>
      <t xml:space="preserve">Except when spawning, most anadromous fish spend much of their time in deep water because of the typically cooler temperatures and cover it provides. Preferred depths vary by species, season, and channel type. </t>
    </r>
    <r>
      <rPr>
        <i/>
        <sz val="10"/>
        <rFont val="Arial Narrow"/>
        <family val="2"/>
      </rPr>
      <t xml:space="preserve">In calculations, is excluded automatically (cell goes blank) if wetland never has surface water during an average year. </t>
    </r>
  </si>
  <si>
    <t>Waterbird Nesting Habitat</t>
  </si>
  <si>
    <t>Price, J. S. 1991. Evaporation from a blanket bog in a foggy coastal environment. Boundary-Layer Meteorology 57:391-406.</t>
  </si>
  <si>
    <t>Groundwater discharging into wetlands supports a wetland's capacity to cool surface runoff during summer, because groundwater in most cases is cooler than surface water during that time (Mellina et al. 2002). In this region, cooler stream temperatures are associated with a greater proportion of groundwater-discharging wetlands in stream headwaters (Monk et al. 2013).</t>
  </si>
  <si>
    <t>Monk, W. A., N. M. Wilbur, R. A. Curry, R. Gagnon, and R. N. Faux. 2013. Linking landscape variables to cold water refugia in rivers. Journal of Environmental Management 118:170-176.</t>
  </si>
  <si>
    <t>Gorham, E., J. K. Underwood, J. A. Janssens, B. Freedman, W. Maass, D. H. Waller, and J. G. Ogden. 1998. The chemistry of streams in southwestern and central Nova Scotia, with particular reference to catchment vegetation and the influence of dissolved organic carbon primarily from wetlands. Wetlands 18:115-132.</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</si>
  <si>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</si>
  <si>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Capps, K. A., R. Rancatti, N. Tomczyk, T. B. Parr, A. J. K. Calhoun, and M. Hunter Jr. 2014. Biogeochemical hotspots in forested landscapes: the role of vernal pools in denitrification and organic matter processing. Ecosystems 17:1455-1468.</t>
  </si>
  <si>
    <t>Devito, K. J., P. J. Dillon, and B. D. Lazerte. 1989. Phosphorus and nitrogen retention in five Precambrian Shield wetlands. Biogeochemistry 8:185–204.</t>
  </si>
  <si>
    <r>
      <t xml:space="preserve">Glenn, A. J., L. B. Flanagan, K. H. Syed, and P. J. Carlson. 2006. Comparison of net ecosystem CO2 exchange in two peatlands in western Canada with contrasting dominant vegetation, </t>
    </r>
    <r>
      <rPr>
        <i/>
        <sz val="10"/>
        <rFont val="Arial Narrow"/>
        <family val="2"/>
      </rPr>
      <t>Sphagnum</t>
    </r>
    <r>
      <rPr>
        <sz val="10"/>
        <rFont val="Arial Narrow"/>
        <family val="2"/>
      </rPr>
      <t xml:space="preserve"> and </t>
    </r>
    <r>
      <rPr>
        <i/>
        <sz val="10"/>
        <rFont val="Arial Narrow"/>
        <family val="2"/>
      </rPr>
      <t>Carex</t>
    </r>
    <r>
      <rPr>
        <sz val="10"/>
        <rFont val="Arial Narrow"/>
        <family val="2"/>
      </rPr>
      <t>. Agricultural and Forest Meteorology 140:115-135.</t>
    </r>
  </si>
  <si>
    <t>Dalva, M. and T. R. Moore. 1991. Sources and sinks of dissolved organic carbon in a forested swamp catchment. Biogeochemistry 15:1-19.</t>
  </si>
  <si>
    <t>Baldwin, R. F., A. J. K. Calhoun, and P. G. DeMaynadier. 2006a. The significance of hydroperiod and stand maturity for pool-breeding amphibians in forested landscapes. Canadian Journal of Zoology 84:1604-1615.</t>
  </si>
  <si>
    <t>Collins, S. J. and R. W. Russell. 2009. Toxicity of road salt to Nova Scotia amphibians. Environmental Pollution 157:320-324.</t>
  </si>
  <si>
    <t>Gravel, M., M. J. Mazerolle, and M.-A. Villard. 2012. Interactive effects of roads and weather on juvenile amphibian movements. Amphibia-Reptilia 33:113-127.</t>
  </si>
  <si>
    <t>Mazerolle, M. J. 2004. Amphibian road mortality in response to nightly variations in traffic intensity. Herpetologica 60:45-53.</t>
  </si>
  <si>
    <t>Patrick, D. A., M. L. Hunter, and A. J. K. Calhoun. 2006. Effects of experimental forestry treatments on a Maine amphibian community. Forest Ecology and Management 234:323-332.</t>
  </si>
  <si>
    <t>Patrick, D. A., E. B. Harper, M. L. Hunter Jr, and A. J. K. Calhoun. 2008. Terrestrial habitat selection and strong density-dependent mortality in recently metamorphosed amphibians. Ecology 89:2563-2574.</t>
  </si>
  <si>
    <t>Waldick, R. C., B. Freedman, and R. J. Wassersug. 1999. The consequences for amphibians of the conversion of natural, mixed-species forests to conifer plantations in southern New Brunswick. Canadian Field-Naturalist 113:408-418.</t>
  </si>
  <si>
    <t>Gibbs, J. P., J. R. Longcore, D. G. McAuley, and J. K. Ringelman. 1991. Use of Wetland Habitats by Selected Nongame Water Birds in Maine. Report No. 9. U.S. Fish and Wildlife Service, Washington, DC.</t>
  </si>
  <si>
    <t>Hierl, L. A., C. S. Loftin, J. R. Longcore, D. G. McAuley, and D. L. Urban. 2007. A multivariate assessment of changes in wetland habitat for waterbirds at Moosehorn National Wildlife Refuge, Maine, USA. Wetlands 27:141-152.</t>
  </si>
  <si>
    <t>Parker, G. R. 1991. Survival of juvenile American black ducks on a managed wetland in New Brunswick. Journal of Wildlife Management 55:466-470.</t>
  </si>
  <si>
    <t>Prince, H. H. 1968. Nest sites used by wood ducks and common goldeneyes in New Brunswick. Journal of Wildlife Management 32:489-500.</t>
  </si>
  <si>
    <t>Desrochers, A., L. Rochefort, and J.-P. L. Savard. 1998. Avian recolonization of eastern Canadian bogs after peat mining. Canadian Journal of Zoology 76:989-997.</t>
  </si>
  <si>
    <t>Drapeau, P., A. Nappi, L. Imbeau, and M. Saint-Germain. 2009. Standing deadwood for keystone bird species in the eastern boreal forest: managing for snag dynamics. The Forestry Chronicle 85:227-234.</t>
  </si>
  <si>
    <t>Whitaker, D. M. and W. A. Montevecchi. 1999. Breeding bird assemblages inhabiting riparian buffer strips in Newfoundland, Canada. The Journal of Wildlife Management:167-179.</t>
  </si>
  <si>
    <t>Wetlands, especially bogs, that are ice-free for longer during the year, as inferred from growing degree days, tend to have more plant species (Glaser 1992).</t>
  </si>
  <si>
    <t>Catling, P. M., B. Freedman, C. Stewart, J. J. Kerekes, and L. P. Lefkovitch. 1986. Aquatic plants of acid lakes in Kejimkujik National Park, Nova Scotia; floristic composition and relation to water chemistry. Canadian Journal of Botany 64:724-729.</t>
  </si>
  <si>
    <t>Glaser, P. H. 1992. Raised bogs in eastern North America--regional controls for species richness and floristic assemblages. Journal of Ecology:535-554.</t>
  </si>
  <si>
    <t>Kerekes, J. and B. Freedman. 1989. Characteristics of three acidic lakes in Kejimkujik National Park, Nova Scotia, Canada. Archives of Environmental Contamination and Toxicology 18:183-200.</t>
  </si>
  <si>
    <t>Langlois, M. N., J. S. Price, and L. Rochefort. 2015. Landscape analysis of nutrient-enriched margins (lagg) in ombrotrophic peatlands. Science of the Total Environment 505:573-586.</t>
  </si>
  <si>
    <t>Freda, J. 1986. The influence of acidic pond water on amphibians: a review. Water, Air, and Soil Pollution 30:439-450.</t>
  </si>
  <si>
    <t>Wood, J. A. and C. D. A. Rubec. 1989. Chemical characterization of several wetlands in Kejimkujik National Park, Nova Scotia. Water, Air, and Soil Pollution 46:177-186.</t>
  </si>
  <si>
    <t xml:space="preserve">Because actual data on sediment loads are lacking for many wetland watersheds, this approximation is included as well, and is based on a host of activities known in some cases to contribute excessive sediment, e.g., wetland ditching (Pavey et al. 2007). </t>
  </si>
  <si>
    <t>Pavey, B., A. Saint-Hilaire, S. Courtenay, T. Ouarda, and B. Bobee. 2007. Exploratory study of suspended sediment concentrations downstream of harvested peat bogs. Environmental Monitoring and Assessment 135:369-382.</t>
  </si>
  <si>
    <t>Mullen, S. F., J. A. Janssens, and E. Gorham. 2000. Acidity of and the concentrations of major and minor metals in the surface waters of bryophyte assemblages from 20 North American bogs and fens. Canadian Journal of Botany 78:718-727.</t>
  </si>
  <si>
    <t>Mazerolle, M. J. 2001. Amphibian activity, movement patterns, and body size in fragmented peat bogs. Journal of Herpetology 35:13-20.</t>
  </si>
  <si>
    <t>Mazerolle, M. J. 2005. Drainage ditches facilitate frog movements in a hostile landscape. Landscape Ecology 20:579-590.</t>
  </si>
  <si>
    <t>Mazerolle, M. J. and A. Desrochers. 2005. Landscape resistance to frog movements. Canadian Journal of Zoology 83:455-464.</t>
  </si>
  <si>
    <t>Karraker, N. E. and J. P. Gibbs. 2011. Road deicing salt irreversibly disrupts osmoregulation of salamander egg clutches. Environmental Pollution 159:833-835.</t>
  </si>
  <si>
    <t>Keddy, P. A. and I. C. Wisheu. 1989. Ecology, biogeography, and conservation of coastal plain plants: some general principles from the study of Nova Scotian wetlands. Rhodora:72-94.</t>
  </si>
  <si>
    <t>Hill, N. M. and P. A. Keddy. 1992. Prediction of rarities from habitat variables: coastal plain plants on Nova Scotian lakeshores. Ecology:1852-1859.</t>
  </si>
  <si>
    <t>Hinds, H. R. 1983. The Rare Vascular Plants of New Brunswick. Syllogeus Series No. 50. National Museum of Natural Sciences, Ottawa, ON.</t>
  </si>
  <si>
    <t>Hinds, H. R. 2000. Flora of New Brunswick, Second Edition. University of New Brunswick, Biology Department, Fredericton, NB.</t>
  </si>
  <si>
    <t>Moore, D. R. J., P. A. Keddy, C. L. Gaudet, and I. C. Wisheu. 1989. Conservation of wetlands: do infertile wetlands deserve a higher priority? Biological Conservation 47:203-217.</t>
  </si>
  <si>
    <t xml:space="preserve">Coarse soils tend to be less productive and in some cases this results in reduced species richness of wetland plants. Wetland soils with higher organic content often support greater plant species richness (e.g., Alsfeld et al. 2009).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</si>
  <si>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</si>
  <si>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t>Morley, T. R., A. S. Reeve, and A. J. K. Calhoun. 2011. The role of headwater wetlands in altering streamflow and chemistry in a Maine, USA catchment. Journal of American Water Resources Association (JAWRA) 47:337-349.</t>
  </si>
  <si>
    <t>Although hardly representative of the needs of all wetland-dependent songbirds and mammals, the presence of suitable wintering habitat for deer is an important component of this function. However, very high deer densities reduce habitat for ground- and understory-nesting birds.</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</si>
  <si>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</si>
  <si>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Snaith, T. V., K. F. Beazley, F. MacKinnon, and P. Duinker. 2002. Preliminary habitat suitability analysis for moose in mainland Nova Scotia, Canada. Alces 38:73-88.</t>
  </si>
  <si>
    <t>Traffic poses a hazard to songbirds and mammals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</si>
  <si>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Popescu, V. D., D. A. Patrick, M. L. Hunter, and A. J. K. Calhoun. 2012. The role of forest harvesting and subsequent vegetative regrowth in determining patterns of amphibian habitat use. Forest Ecology and Management 270:163-174.</t>
  </si>
  <si>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</si>
  <si>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t>Staicer, C. A., B. Freedman, D. Srivastava, N. Dowd, J. Kilgar, J. Hayden, F. Payne, and T. Pollock. 1994. Use of lakes by black duck broods in relation to biological, chemical, and physical features. Pages 185-199 in G. A. J. Clark, editor. Aquatic Birds in the Trophic Web of Lakes. Springer, Netherlands.</t>
  </si>
  <si>
    <t>Urban, N. R., S. E. Bayley, and S. J. Eisenreich. 1989. Export of dissolved organic carbon and acidity from peatlands. Water Resources Research 25:1619-1628.</t>
  </si>
  <si>
    <t>Srivastava, D. S., C. A. Staicer, and B. Freedman. 1995. Aquatic vegetation of Nova Scotian lakes differing in acidity and trophic status. Aquatic Botany 51:181-196.</t>
  </si>
  <si>
    <t>Krause, H. H. 1982. Nitrate formation and movement before and after clear-cutting of a monitored watershed in central New Brunswick, Canada. Canadian Journal of Forest Research 12:922-930.</t>
  </si>
  <si>
    <t>Price, J. S. and D. A. Maloney. 1994. Hydrology of a patterned bog-fen complex in southeastern Labrador, Canada. Nordic Hydrology 25:313-330.</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</si>
  <si>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</si>
  <si>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Keddy, P. A., A. J. Spavold, and C. J. Keddy. 1979. Snowmobile impact on old field and marsh vegetation in Nova Scotia, Canada: An experimental study. Environmental Management 3:409-415.</t>
  </si>
  <si>
    <t>Wisheu, I. C. and P. A. Keddy. 1994. The low competitive ability of Canada's Atlantic coastal plain shoreline flora: Implications for conservation. Biological Conservation 68:247-252.</t>
  </si>
  <si>
    <t>Freedman, B., V. Zelazny, D. Beaudette, T. Fleming, G. Johnson, S. Flemming, J. S. Gerrow, G. Forbes, and S. Woodley. 1996. Biodiversity implications of changes in the quantity of dead organic matter in managed forests. Environmental Reviews 4: 238-265.</t>
  </si>
  <si>
    <t>Several ( &gt;8/hectare) and a pond, lake, or slow-flowing water wider than 10 m is within 1 km.</t>
  </si>
  <si>
    <t>Several ( &gt;8/hectare) but above not true.</t>
  </si>
  <si>
    <r>
      <t xml:space="preserve">Including the adjoining upland area within 10 m of the wetland edge, the number of snags in the AA </t>
    </r>
    <r>
      <rPr>
        <b/>
        <sz val="10"/>
        <rFont val="Arial Narrow"/>
        <family val="2"/>
      </rPr>
      <t xml:space="preserve">with diameter &gt;25 cm </t>
    </r>
    <r>
      <rPr>
        <sz val="10"/>
        <rFont val="Arial Narrow"/>
        <family val="2"/>
      </rPr>
      <t>is:</t>
    </r>
  </si>
  <si>
    <t>&gt;30 cm</t>
  </si>
  <si>
    <t>15-30 cm</t>
  </si>
  <si>
    <t>&lt;15 cm</t>
  </si>
  <si>
    <t>0 - 15 m</t>
  </si>
  <si>
    <t>15-100 m or in groundwater</t>
  </si>
  <si>
    <t>in more distant part of contributing area</t>
  </si>
  <si>
    <t>Laenen, A. 1980. Storm Runoff as Related to Urbanization in the Portland, Oregon-Vancouver, Washington Area. Water Resources Investigations 80-689. U.S. Geological Survey, Portland, OR.</t>
  </si>
  <si>
    <t xml:space="preserve">  an impounding dam, dike, levee, weir, berm, road fill, or tidegate -- within or downgradient from the wetland, or raising of outlet culvert elevation.</t>
  </si>
  <si>
    <t xml:space="preserve">  excavation within the wetland, e.g., artificial pond, dead-end ditch</t>
  </si>
  <si>
    <t xml:space="preserve">  excavation or reflooding of upland soils that adjoined the wetland, thus expanding the area of the wetland</t>
  </si>
  <si>
    <t xml:space="preserve">  plugging of ditches or drain tile that otherwise would drain the wetland (as part of intentional restoration, or due to lack of maintenance, sedimentation, etc.)</t>
  </si>
  <si>
    <t xml:space="preserve">  compaction (e.g., ruts) and/or subsidence of the wetland's substrate as a result of machinery, livestock, or off road vehicles</t>
  </si>
  <si>
    <t xml:space="preserve">  subsidies from stormwater, wastewater effluent, or septic system leakage</t>
  </si>
  <si>
    <t xml:space="preserve">  pavement, ditches, or drain tile in the CA that incidentally increase the transport of water into the wetland</t>
  </si>
  <si>
    <t xml:space="preserve">  removal of timber in the CA or along the wetland's tributaries</t>
  </si>
  <si>
    <t xml:space="preserve">  removal of a water control structure or blockage in tributary upstream from the wetland</t>
  </si>
  <si>
    <t xml:space="preserve">  ditches or drain tile in the wetland or along its edge that accelerate outflow from the wetland</t>
  </si>
  <si>
    <t xml:space="preserve">  lowering or enlargement of a surface water exit point (e.g., culvert) or modification of a water level control structure, resulting in quicker drainage</t>
  </si>
  <si>
    <t xml:space="preserve">  accelerated downcutting or channelization of an adjacent or internal channel (incised below the historical water table level)</t>
  </si>
  <si>
    <t xml:space="preserve">  placement of fill material</t>
  </si>
  <si>
    <t xml:space="preserve">  withdrawals (e.g., pumping) of natural surface or ground water directly out of the wetland (not its tributaries)</t>
  </si>
  <si>
    <t xml:space="preserve">  a dam, dike, levee, weir, berm, or tidegate that interferes with natural inflow to the wetland</t>
  </si>
  <si>
    <t xml:space="preserve">  relocation of natural tributaries whose water would otherwise reach the wetland</t>
  </si>
  <si>
    <t xml:space="preserve">  instream water withdrawals from tributaries whose water would otherwise reach the wetland</t>
  </si>
  <si>
    <t xml:space="preserve">  groundwater withdrawals that divert water that would otherwise reach the wetland</t>
  </si>
  <si>
    <t xml:space="preserve">  flow regulation in tributaries or water level regulation in adjoining water body, or control structure at water entry points that regulates inflow to the wetland</t>
  </si>
  <si>
    <t xml:space="preserve">  snow storage areas that drain directly to the wetland</t>
  </si>
  <si>
    <t xml:space="preserve">  increased pavement and other impervious surface in the CA</t>
  </si>
  <si>
    <t xml:space="preserve">  straightening, ditching, dredging, and/or lining of tributary channels in the CA</t>
  </si>
  <si>
    <t xml:space="preserve">  stormwater or wastewater effluent (including failing septic systems), landfills, industrial facilities</t>
  </si>
  <si>
    <t xml:space="preserve">  spraying of pesticides, as applied to lawns, croplands, roadsides, or other areas in the CA</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</si>
  <si>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</si>
  <si>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</si>
  <si>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</si>
  <si>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</si>
  <si>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</si>
  <si>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</si>
  <si>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</si>
  <si>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</si>
  <si>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</si>
  <si>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</si>
  <si>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</si>
  <si>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</si>
  <si>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</si>
  <si>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</si>
  <si>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</si>
  <si>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</si>
  <si>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</si>
  <si>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</si>
  <si>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</si>
  <si>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</si>
  <si>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Function         Indicators</t>
  </si>
  <si>
    <t xml:space="preserve">Nitrate Removal                  &amp;                              Retention </t>
  </si>
  <si>
    <t>Resident                Fish                          Habitat</t>
  </si>
  <si>
    <t>Waterbird      Feeding         Habitat</t>
  </si>
  <si>
    <t>Songbird,       Raptor, &amp;            Mammal Habitat</t>
  </si>
  <si>
    <t>Pollinator       Habitat</t>
  </si>
  <si>
    <t>Public Use          and                     Recognition</t>
  </si>
  <si>
    <t xml:space="preserve">Score for Wetland Condition (Integrity)  </t>
  </si>
  <si>
    <t>Wetland    Sensitivity</t>
  </si>
  <si>
    <t xml:space="preserve">                                                                                                     Abiotic Resistance/ Sensitivity</t>
  </si>
  <si>
    <t xml:space="preserve">                                                                                                                Biotic Resistance/ Sensitivity</t>
  </si>
  <si>
    <t xml:space="preserve">                                                                              Resilience/ Recovery Duration - Colonizer  Availability Influence</t>
  </si>
  <si>
    <t xml:space="preserve">                                                                                  Resilience/ Recovery Duration - Veg Growth Rate Influence</t>
  </si>
  <si>
    <t>Wetland        Stressors</t>
  </si>
  <si>
    <t>Function Indicators</t>
  </si>
  <si>
    <t xml:space="preserve">&lt;50 m, and not separated by any width of roads, stretches of open water, row crops, lawn, bare ground, or impervious surface. </t>
  </si>
  <si>
    <t>The AA has no upland edge (or upland is &lt;1% of perimeter). The AA is entirely contiguous with other wetlands or water.</t>
  </si>
  <si>
    <t>Northward (N, NE). north-facing contributing area.</t>
  </si>
  <si>
    <t>Southward (S, SW). south-facing contributing area.</t>
  </si>
  <si>
    <t>In aerial ("duck's eye") view, the following best represents the distribution pattern of vegetation taller than 1 m  VS. shorter than 1 m:</t>
  </si>
  <si>
    <t>Determine which two native shrub species comprise the greatest portion of the native shrub cover. Then choose one:</t>
  </si>
  <si>
    <t>Consider the parts of the AA that lack surface water at the driest time of the growing season. Viewed from directly above the ground layer, the predominant condition in those areas at that time is:</t>
  </si>
  <si>
    <t>Not applicable. Surface water (either open or obscured by emergent plants) covers all of the AA all the time.</t>
  </si>
  <si>
    <t>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t>
  </si>
  <si>
    <t>Determine which two native herbaceous (forb and graminoid) species comprise the greatest portion of the herbaceous cover that is unshaded by a woody canopy. Then choose one of the following:</t>
  </si>
  <si>
    <t>none. The AA dries up completely (no water in channels either) or never has surface water during most years.</t>
  </si>
  <si>
    <t>&gt;2 m deep. True for many fringe wetlands.</t>
  </si>
  <si>
    <t>Neither of above. There are 3 or more depth classes and none occupy &gt;50%.</t>
  </si>
  <si>
    <t>1-4% of the ponded water. Enter "1" and SKIP to F40 (Floating Algae &amp; Duckweed).</t>
  </si>
  <si>
    <t>Scattered. More than 30% of such vegetation forms small islands or corridors surrounded by water.</t>
  </si>
  <si>
    <t>The AA contains (or is part of) an island or beaver lodge within a lake, pond, or river, and is isolated from the shore by water depths &gt;2 m on all sides during an average June. The island may be solid, or it may be a floating vegetation mat that is sufficiently large and dense to support a waterbird nest.</t>
  </si>
  <si>
    <t>At some time of the year, mats of algae and/or duckweed are likely to cover &gt;50% of the AA's otherwise-unshaded water surface, or blanket &gt;50% of the underwater substrate. If true, enter "1" in next column. If untrue or uncertain, enter "0".</t>
  </si>
  <si>
    <t>Based on lack of shade, water source characteristics, or actual temperature measurements, the inflow is likely to be warmer than surface water in the AA during part of most years. Enter 1= yes, 0= no.</t>
  </si>
  <si>
    <t>Groundwater monitoring has demonstrated that groundwater primarily discharges to the wetland for longer periods during the year than periods when the wetland recharges the groundwater. Or, springs are known to be present within the AA.</t>
  </si>
  <si>
    <t>Neither of above is true, although some groundwater may discharge to or flow through the AA. Or groundwater influx is unknown.</t>
  </si>
  <si>
    <t>In the AA or within 100 m, there is a known salt lick, or elevated terrestrial features such as cliffs, talus slopes, stream banks, or excavated pits (but not riprap) that extend at least 2 m nearly vertically, are unvegetated, and potentially contain crevices or other substrate suitable for nesting or den areas. Enter 1 (yes) or 0 (no).</t>
  </si>
  <si>
    <t>publicly owned conservation lands that exclude new timber harvest, roads, mineral extraction, and intensive summer recreation (e.g., off-road vehicles). Includes most Protected Lands.</t>
  </si>
  <si>
    <t>publicly owned resource use lands (allowed activities such as timber harvest, mining, or intensive recreation), or unknown. Includes most Crown Reservations/Notations.</t>
  </si>
  <si>
    <t>Boardwalks, paved trails, fences or other infrastructure and/or well-enforced regulations appear to effectively prevent visitors from walking on soil within nearly all of the AA when the soil is unfrozen. Enter "1" if true.</t>
  </si>
  <si>
    <t>Recent evidence was found within the AA of the following potentially-sustainable consumptive uses. Select ALL that apply.</t>
  </si>
  <si>
    <t xml:space="preserve">If any items were checked above, then for each row of the table below, assign points (3, 2, or 1 as shown in header) in the last column. However, if you believe the checked items had no measurable effect in making any part of the AA wetter, then leave the "0's" for the scores in the following rows. To estimate effects, contrast the current condition with the condition if the checked items never occurred or were no longer present. The sum and final score will compute automatically. </t>
  </si>
  <si>
    <t>In the last column, place a check mark next to any item occurring in the wetland's contributing area (CA) that is likely to have caused a part of the wetland to be inundated more extensively, more frequently, more deeply, and/or for longer duration than it would be without that item or activity. Consider only items occurring within past 100 years or since wetland was created or restored (whichever is less). [STR]</t>
  </si>
  <si>
    <t xml:space="preserve">If any items were checked above, then for each row of the table below, assign points (3, 2, or 1 as shown in header) in the last column. However, if you believe the checked items had no measurable effect in making any part of the AA wetter, then leave the "0's" for the scores in the following rows. To estimate effects, contrast the current condition with the condition if the checked items never occurred or were no longer present. </t>
  </si>
  <si>
    <t>In the last column, place a check mark next to any item located within or immediately adjacent to the wetland, that is likely to have caused a part of the wetland to be inundated less extensively, less deeply, less frequently, and/or for shorter duration that it would be without that item. Consider only items occurring within past 100 years or since wetland was created or restored (whichever is less). [STR]</t>
  </si>
  <si>
    <t xml:space="preserve">If any items were checked above, then for each row of the table below, assign points in the last column. However, if you believe the checked items had no measurable effect in making any part of the AA drier, then leave the "0's" for the scores in the following rows. To estimate effects, contrast the current condition with the condition if the checked items never occurred or were no longer present. </t>
  </si>
  <si>
    <t>In the last column, place a check mark next to any item within the wetland's CA (including channels flowing into the wetland) that is likely to have caused a part of the wetland to be inundated less extensively, less deeply, less frequently, and/or for shorter duration that it would be without those. Consider only items occurring within past 100 years or since wetland was created or restored (whichever is less). [STR]</t>
  </si>
  <si>
    <t>If any items were checked above, then for each row of the table below assign points that describe the combined maximum effect of those items in creating a drier water regime in the AA. To estimate that, contrast it with the condition if checked items never occurred or were no longer present. However, if you believe the checked items had no measurable effect on the timing of water conditions in any part of the AA, then leave the "0's" for the scores in the following rows.</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</si>
  <si>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INV, PH, STR]</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</si>
  <si>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</si>
  <si>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</si>
  <si>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</si>
  <si>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</si>
  <si>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</si>
  <si>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Scores will appear below after data are entered in worksheets OF, F, and S. See Manual for definitions and descriptions of how scores were computed.</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</si>
  <si>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</si>
  <si>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</si>
  <si>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</si>
  <si>
    <t xml:space="preserve">The effectiveness for retaining particulate nitrate and converting soluble nitrate and ammonium to nitrogen gas, primarily through the microbial process of denitrification, while generating little or no nitrous oxide (a potent greenhouse gas). </t>
  </si>
  <si>
    <t xml:space="preserve">The effectiveness for retaining both incoming particulate and dissolved carbon, and through the photosynthetic process converting carbon dioxide gas to organic matter (particulate or dissolved), and then retaining that organic matter on a net annual basis for long periods while emitting little or no methane (a potent “greenhouse gas”). </t>
  </si>
  <si>
    <t xml:space="preserve">Wetland emissions of methane increase with warming temperatures (Moosavi et al. 1994, Sha et al. 2011). Although plants responsible for much of the carbon sequestration in wetlands grow fastest at warmer soil or sediment temperatures, they also decompose faster. With colder temperatures (fewer degree days), the concentration of mobile DOC in forested wetland soils and streams decreases, suggesting more immobile carbon is sequestered onsite rather than being exported downslope in groundwater (D’Amore et al. 2010). </t>
  </si>
  <si>
    <t>Bogs have the deepest peat layers and usually fix carbon more readily than more fertile wetlands (fens) (Glenn et al. 2006). Although forested wetlands tend to be less productive than forested uplands, they still can produce at a level nearly double the USDA Forest Service minimum standard for commercial timberland [Julin &amp; D’Amore 2003). Also, methane emissions tend to be greater from fens, marshes, and other wetlands with water table near the ground surface for long periods (Liblik et al. 1997), as compared with peatlands. However, diurnal fluctuations in water tables resulting from tree evapotranspiration may cause greater release of methane from peat soils of forested wetlands. Methane emissions may be especially large from wetlands with emergent sedges (a common feature of fens) because they facilitate translocation of methane from sediments to the air (Hines et al. 2008).</t>
  </si>
  <si>
    <t xml:space="preserve">Where groundwater is anaerobic (as it often is) it can stimulate methane emissions, as can its usually circumneutral acidity (Updegraff et al. 1995). As a result less carbon may be sequestered in some groundwater-fed wetlands (Smemo &amp;Yavitt 2006). However, in many wetlands groundwater also increases the levels of iron, calcium, and sulfate in surface water (Heagle et al. 2007) which can result in less methane emission. Lakes and wetlands with large groundwater inputs may have less organic matter in their sediments (Squires et al. 2006), thus generating less methane. </t>
  </si>
  <si>
    <t xml:space="preserve">The initial sparseness of vegetation in new wetlands suggests that overall carbon stores are less than in some of the more mature wetlands with greater plant cover, diversity, and structural complexity. Aboveground production and soil organic matter have been shown to be less in lands newly restored to wetland conditions than in long-established wetlands (Fennessy et al. 2008). However, many pioneering plants in new wetlands (especially on fertile soils) grow rapidly and thus are fixing large amounts of carbon per plant per unit time. In recovering windfall areas mosses established a dense carpet on windthrow mounds within the first few decades after the disturbance and quickly sequestered carbon. They were found to comprise as much as 25% of understory plant biomass and as much as 50% of understory productivity (den Ouden &amp; Alaback 1996). </t>
  </si>
  <si>
    <t>MacKenzie, W. and J. Shaw. 2000. Wetland classification and habitats at risk in British Columbia. Volume Two. Pages 537-547 in L. M. Darling, editor. Proceedings of a Conference on the Biology and Management of Species and Habitats at Risk, Kamloops, B.C.,15 - 19 Feb.,1999. B.C. Ministry of Environment, Lands and Parks, Victoria, B.C. and University College of the Cariboo, Kamloops, B.C. .</t>
  </si>
  <si>
    <t>Roulet, N. T., P. M. Crill, N. T. Comer, A. Dove, and R. A. Boubonniere. 1997. CO2 and CH4 flux between a boreal beaver pond and the atmosphere. Journal of Geophysical Research 102(D24): 29313-29.</t>
  </si>
  <si>
    <t>Plants are most productive at warmer soil or sediment temperatures, and their foliage that contributes organic matter to downslope food chains decomposes most rapidly under warmer conditions (Fissore et al. 2009). Those conditions are described by increasing mean annual temperature. As soil temperatures increase, so does the concentration of DOC in forested wetland soils and streams, and in that form carbon is readily exported (D’Amore et al. 2010). The production of Sphagnum moss in particular is greater in warmer areas (Gunnarsson 2005). However, ice that is more prevalent in cooler regions can erode organic matter and aid its transport out of a wetland during ice-melt periods.</t>
  </si>
  <si>
    <t xml:space="preserve"> Increased access to wetlands by anadromous fish can make other fish more vulnerable to competition or predation by anadromous fish. For non-anadromous fish, access to other water bodies is helpful to escape temporary oxygen deficits (particularly under ice in winter) and to access additional food and spawning areas, but is not always essential.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</si>
  <si>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</si>
  <si>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The capacity to support or contribute to an abundance or diversity of invertebrate animals which spend all or part of their life cycle underwater or in moist soil. Includes dragonflies, midges, clams, snails, water beetles, shrimp, aquatic worms, and others.
</t>
  </si>
  <si>
    <t>Many invertebrate groups (e.g., snails, isopods, lumbricid worms) cannot tolerate acidic conditions of bogs, and invertebrate richness generally tends to be greater in persistently inundated fens than in less persistently inundated marshes with more mineral soils (Holmquist et al. 2011). However, marshes along lakes and rivers tend to have water longer into the growing season than other marshes and can support high abundance and diversity of invertebrates. One study reported that bogs and fens did not differ significantly with regard to invertebrate faunas. Dragonflies seemed to respond to the habitat's form and structure more than to its acidity or nutrient levels (Cannings &amp; Cannings 1994)</t>
  </si>
  <si>
    <t xml:space="preserve">1-25% of the shrub cover (if shrubs/trees are the dominant cover) or 1-25% of the ground cover (if herbaceous plants are the dominant cover). </t>
  </si>
  <si>
    <t xml:space="preserve">25-50% of the shrub cover (if shrubs/trees are the dominant cover) or 25-50% of the ground cover (if herbaceous plants are the dominant cover). </t>
  </si>
  <si>
    <t xml:space="preserve">50-75% of the shrub cover (if shrubs/trees are the dominant cover) or 50-75% of the ground cover (if herbaceous plants are the dominant cover). </t>
  </si>
  <si>
    <t xml:space="preserve">&gt;75% of the shrub cover (if shrubs/trees are the dominant cover) or &gt;75% % of the ground cover (if herbaceous plants are the dominant cover). </t>
  </si>
  <si>
    <t>Comparing data from multiple regions, Utz et al. (2009) reported that once urbanization in a watershed reached 60%, all taxa remaining responded either neutrally or positively with respect to continued urbanization. Most were harmed at much lower levels. The importance of streamside vegetation, especially trees, for sustaining the health of aquatic systems has been documented in the Pacific Northwest (e.g., Gregory et al. 1991, Naiman et al. 2000, Richardson et al. 2005, Wipfli et al. 2007). The positive effect is partly because wood falling into streams increases channel complexity which benefits aquatic invertebrates and fish; that may not apply to wood falling into wetlands. Trees also help maintain stream temperature and streams adjoined by natural vegetation support richer and healthier aquatic invertebrate communities (Richards et al. 1996). However, the effects of buffers and/or tree canopy closure on aquatic life in perennial streams vary, with some studies showing little effect on native fish (Roy et al. 2005, Fischer et al. 2010) and others a positive effect especially when buffer width was at least 100 ft (Frimpong et al. 2005, Horwitz et al. 2008). A 30-ft wide buffer along perennial streams in British Columbia was found to be insufficient to protect stream invertebrate communities from adverse effects of clear-cut logging, although the terrestrial insects the buffer provided were noted as a potentially important food source for fish using the streams (Hoover et al. 2007). Another study of BC perennial streams found uncut riparian buffers of at least 30 ft were needed to limit changes from clear-cut logging to aquatic life in headwater forested watersheds; those changes included increase abundance of aquatic invertebrates and algae (Kiffney et al. 2003). Increased sunlight from vegetation removal can increase stream and wetland productivity and thus the density of some invertebrate groups, where nutrients and elevation (stream temperature) are not severely limiting (Moldenke &amp; Linden 2007).</t>
  </si>
  <si>
    <t>Waite, I. R., S. Sobieszczyk, K. D. Carpenter, A. J. Arnsberg, H. M. Johnson, C. A. Hughes, M. J. Sarantou, and F. A. Rinella. 2008. Effects of Urbanization on Stream Ecosystems in the Willamette River Basin and Surrounding Area, Oregon and Washington. Scientific Investigations Report 2006–5101–D, U.S. Geological Survey, Portland, OR.</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</si>
  <si>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</si>
  <si>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Amphibians do not physiologically regulate their body temperature. Thus their populations are likely to be more productive (and have greater survival) in warmer parts of the region.</t>
  </si>
  <si>
    <t>Although many amphibians may benefit from warmer temperatures associated with sparser ground cover within a wetland, dense ground cover provides better protection from predators (Mazerolle &amp; Desrochers 2005). Thus, intermediate levels are scored highest.</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</si>
  <si>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</si>
  <si>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</si>
  <si>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</si>
  <si>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</si>
  <si>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</si>
  <si>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</si>
  <si>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</si>
  <si>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</si>
  <si>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Many wetland songbirds and mammals may prefer landscapes where multiple wetlands are present in close proximity, so that if birds are disturbed in one area, they can use alternate sites which may provide different but complementary types of food and cover. Corridors can be important to small mammals moving between wetlands.</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</si>
  <si>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</si>
  <si>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Betts, M. G., G. J. Forbes, and A. W Diamond. 2007. Thresholds in songbird occurrence in relation to landscape structure. Conservation Biology, 21(4), 1046-1058.</t>
  </si>
  <si>
    <t>Environment Canada. 2013. Bird Conservation Strategy for Bird Conservation Region 14 and Marine Biogeographic Units 11 and 12 in New Brunswick: Atlantic Northern Forest, Bay of Fundy, and Gulf of St. Lawrence. Environment Canada, Ottawa, ON.</t>
  </si>
  <si>
    <t>More plant species occur in drier parts of wetlands than in parts that remain flooded for long duration. However, long duration flooding adds some aquatic species not otherwise found in wetlands.</t>
  </si>
  <si>
    <t>Inflowing streams bring plant propagules that can sprout and diversify wetland plant communities. Wetlands with surface water connections also tend to be more fertile, although suspended silt can reduce submerged aquatic plants.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</si>
  <si>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</si>
  <si>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Prior designation of the wetland, by a natural resource or environmental protection agency, as some type of special protected area. Also, the potential and actual use of a wetland for low-intensity outdoor recreation, education, or research. The model assigns higher scores to greater visitor use. It does not account for some areas being valued more highly (e.g., as wilderness) because they have fewer visitors.</t>
  </si>
  <si>
    <t>The integrity or health of a wetland, as defined operationally by its vegetation composition and richness of native species. More broadly, the similarity of a wetland's structure, composition, and function with that of a reference wetland of the same type and landscape setting, operating within the bounds of natural or historical disturbance regimes (Adamus 1996).</t>
  </si>
  <si>
    <t xml:space="preserve">Rare native species are usually the first to disappear after a wetland is subjected to alteration of its water quality, hydrologic connectivity, or normal water or sediment regimes. Thus, their absence is sometimes indicative of past or ongoing impacts to the wetland's processes and condition. </t>
  </si>
  <si>
    <t>Not a valid indicator of Condition for many wetland types. May indicate disease. Difficult to survey rapidly with any repeatability.</t>
  </si>
  <si>
    <t>Accumulation can indicate lack of desirable natural disturbance, e.g., fire. Difficult to survey with any repeatability. Organic matter accumulation in vernal pools and playas can encourage biological invasions and lead to deleterious algal blooms.</t>
  </si>
  <si>
    <t>Not a valid indicator of Condition for many wetland types. May indicate absence of desirable natural disturbances, e.g., fire.</t>
  </si>
  <si>
    <t>Many unaltered wetlands are homogeneous due to their landscape setting, and many altered wetlands have more patch types due to disturbance. Highly correlated with wetland size. More an indicator of habitat functions than of Condition.</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</si>
  <si>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</si>
  <si>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acifiying chemical inputs from precipitation (Freda 1986).</t>
  </si>
  <si>
    <t>Wetlands whose adjoining soils intrinsically are highly erodible  are more susceptible to being gradually filled in by sediment, especially when vegetation in the wetland buffer is cleared (e.g., Martin &amp; Hartman 1987). Vegetation in wetlands that contain or are adjoined by highly erodible soils is more susceptible to impacts from excessive sedimentation because biological communities are likely to already be existing close to their sediment tolerance limits. However, debris flows can also diversify local native plant communities.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</si>
  <si>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</si>
  <si>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</si>
  <si>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</si>
  <si>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</si>
  <si>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</si>
  <si>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</si>
  <si>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Warmer parts of the region imply a longer period of time during which the ground remains unfrozen and during which vegetation can potentially remove water via evapotranspiration.</t>
  </si>
  <si>
    <r>
      <t xml:space="preserve">Within the past 10 years, in the AA (or in its adjoining waters or wetland), qualified observers have documented </t>
    </r>
    <r>
      <rPr>
        <i/>
        <sz val="10"/>
        <rFont val="Arial Narrow"/>
        <family val="2"/>
      </rPr>
      <t>[mark all applicable</t>
    </r>
    <r>
      <rPr>
        <sz val="10"/>
        <rFont val="Arial Narrow"/>
        <family val="2"/>
      </rPr>
      <t>]:</t>
    </r>
  </si>
  <si>
    <r>
      <t>According to agency biologists and/or your own observations, the AA: [</t>
    </r>
    <r>
      <rPr>
        <i/>
        <sz val="10"/>
        <rFont val="Arial Narrow"/>
        <family val="2"/>
      </rPr>
      <t>mark just the first choice that is true]</t>
    </r>
    <r>
      <rPr>
        <sz val="10"/>
        <rFont val="Arial Narrow"/>
        <family val="2"/>
      </rPr>
      <t>:</t>
    </r>
  </si>
  <si>
    <t>Black Duck Nesting Area</t>
  </si>
  <si>
    <t>Waterbirds (e.g., black duck, Staicer et al. 1994) raise young most successfully in more productive wetlands, which tend to be marshes along rivers and lakes. However, many swamps and fens that contain ponded open water also are heavily used by some nesting waterbird species.</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</si>
  <si>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</si>
  <si>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</si>
  <si>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</si>
  <si>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P retention is expected to be considerable in calcareous fens because soluble P is precipitated by calcium when pH is basic, and those conditions typify calcareous fens..</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</si>
  <si>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t>
    </r>
  </si>
  <si>
    <t>Burrell, B. C. and J. E. Anderson. 1991. Regional hydrology of New Brunswick. Canadian Water Resources Journal 16:317-330.</t>
  </si>
  <si>
    <t>Bridgham, S. D., J. Pastor, J. A. Janssens, C. Chapin, and T. J. Malterer. 1996. Multiple limiting gradients in peatlands: a call for a new paradigm. Wetlands 16:45-65.</t>
  </si>
  <si>
    <t>Richardson, C. J. 1985. Mechanisms controlling phosphorus retention capacity in freshwater wetlands. Science 228:1424-1427.</t>
  </si>
  <si>
    <t>Richardson, C. J., S. Qian, C. B. Craft, and R. G. Qualls. 1996. Predictive models for phosphorus retention in wetlands. Wetlands Ecology and Management 4:159-175.</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</si>
  <si>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</si>
  <si>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</si>
  <si>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Damman, A. W. H. 1988. Regulation of nitrogen removal and retention in Sphagnum bogs and other peatlands. Oikos 51:291-305.</t>
  </si>
  <si>
    <t>Groffman, P. M., K. Butterbach-Bahl, R. W. Fulweiler, A. J. Gold, J. L. Morse, E. K. Stander, C. Tague, C. Tonitto, and P. Vidon. 2009. Challenges to incorporating spatially and temporally explicit phenomena (hotspots and hot moments) in denitrification models. Biogeochemistry 93:49–77.</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</si>
  <si>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</si>
  <si>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D’Amore, D. V., K. L. Oken, P. A. Herendeen, E. A. Steel, and P. E. Hennon. 2015. Carbon accretion in unthinned and thinned young-growth forest stands of the Alaskan perhumid coastal temperate rainforest. Carbon balance and management 10:1-12.</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</si>
  <si>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</si>
  <si>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Neilson, E. T., D. A. MacLean, F. R. Meng, and P. A. Arp. 2007. Spatial distribution of carbon in natural and managed stands in an industrial forest in New Brunswick, Canada. Forest Ecology and Management 253:148-160.</t>
  </si>
  <si>
    <t>Marinier, M., S. Glatzel, and T. R. Moore. 2004. The role of cotton-grass (Eriophorum vaginatum) in the exchange of CO2 and CH4 at two restored peatlands, eastern Canada. Ecoscience:141-149.</t>
  </si>
  <si>
    <t>Fenton, N., N. Lecomte, S. Légaré, and Y. Bergeron. 2005. Paludification in black spruce (Piceamariana) forests of eastern Canada: Potential factors and management implications. Forest Ecology and Management 213:151-159.</t>
  </si>
  <si>
    <t>Fissore, C., C. P. Giardina, R. K. Kolka, and C. C. Trettin. 2009. Soil organic carbon quality in forested mineral wetlands at different mean annual temperature. Soil Biology and Biochemistry 41:458-466.</t>
  </si>
  <si>
    <t>Gergel, S. E., M. G. Turner, and T. K. Kratz. 1999. Dissolved organic carbon as an indicator of the scale of watershed influence on lakes and rivers. Ecological Applications 9:1377-1390.</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</si>
  <si>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</si>
  <si>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Emi Fergus, C., P. A. Soranno, K. S. Cheruvelil, and M. T. Bremigan. 2011. Multiscale landscape and wetland drivers of lake total phosphorus and water color. Limnology and Oceanography 56:2127-2146.</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</si>
  <si>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</si>
  <si>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</si>
  <si>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Aquatic invertebrate communities (both benthic and planktonic) are harmed by excessive sedimentation and turbidity from sediment runoff. Sediment from timber-harvest activity (clearings and roads) can intensify the turbidity effects of spawning-salmon disturbance on macroinvertebrates. The deposition of fine sediment can limit populations of grazing invertebrates even when algal foods become more available following timber harvest (Kiffney &amp; Bull 2000).</t>
  </si>
  <si>
    <t>Betts, M. and G. G. Forbes. 2005. Forest management guidelines to protect native biodiversity in the Greater Fundy ecosystem. New Brunswick Co-operative Fish and Wildlife Research Unit, University of New Brunswick, Fredericton, NB.</t>
  </si>
  <si>
    <t>Jacobs, L. and J. E. Houlahan. 2011. Adjacent land-use affects amphibian community composition and species richness in managed forests in New Brunswick, Canada. Canadian Journal of Forest Research-Revue Canadienne De Recherche Forestiere 41:1687-1697.</t>
  </si>
  <si>
    <t>Patrick, D. A., A. J. K. Calhoun, and M. L. Hunter Jr. 2007. Orientation of juvenile wood frogs, Rana sylvatica, leaving experimental ponds. Journal of Herpetology 41:158-163.</t>
  </si>
  <si>
    <t>Stevens, C. E., A. W. Diamond, and T. S. Gabor. 2002. Anuran call surveys on small wetlands in Prince Edward Island, Canada restored by dredging of sediments. Wetlands 22:90-99.</t>
  </si>
  <si>
    <t>Mudflats and seasonally inundated shortgrass flats (including farmed wetlands, Taft &amp; Haig 2005) are important to large numbers of migratory waterbirds.</t>
  </si>
  <si>
    <t>LeBlanc, F. A., D. Gallant, L. Vasseur, and L. Leger. 2007. Unequal summer use of beaver ponds by river otters: influence of beaver activity, pond size, and vegetation cover. Canadian Journal of Zoology-Revue Canadienne De Zoologie 85:774-782.</t>
  </si>
  <si>
    <t>Shirley, S. 2004. The influence of habitat diversity and structure on bird use of riparian buffer strips in coastal forests of British Columbia, Canada. Canadian Journal of Forest Research-Revue Canadienne De Recherche Forestiere 34:1499-1510.</t>
  </si>
  <si>
    <t>Gallant, D., L. Vasseur, M. Dumond, E. Tremblay, and C. H. Berube. 2009. Habitat selection by river otters (Lontra canadensis) under contrasting land-use regimes. Canadian Journal of Zoology-Revue Canadienne De Zoologie 87:422-432.</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</si>
  <si>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</si>
  <si>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Stressor                           Indicators</t>
  </si>
  <si>
    <t xml:space="preserve">                                                                 Score for Stressors to Wetland</t>
  </si>
  <si>
    <t>AVERAGE (WoodyHtDiv, ShrubDiv, WoodPatt, TreeTypes)</t>
  </si>
  <si>
    <t>IF((NoOutlet6=1),0, ELSE: (3*ExportPotential+ 2*CurrentProductivity + HistoricalAccumulation) /6</t>
  </si>
  <si>
    <t>AVERAGE(ISOwet, SatPct, MAX(SeasWpct, PermWpct), Depth, DepthEven)</t>
  </si>
  <si>
    <t>Sloping wetlands retain surface runoff and precipitation for shorter times.</t>
  </si>
  <si>
    <t>AVERAGE(SoilTex, Groundw, CApct)</t>
  </si>
  <si>
    <r>
      <t xml:space="preserve">IF((AllSat1=1), AVERAGE [(OutDura, AVERAGE(Subsurface, Freezing, Friction)],
</t>
    </r>
    <r>
      <rPr>
        <b/>
        <sz val="10"/>
        <rFont val="Arial Narrow"/>
        <family val="2"/>
      </rPr>
      <t>ELSE</t>
    </r>
    <r>
      <rPr>
        <sz val="10"/>
        <rFont val="Arial Narrow"/>
        <family val="2"/>
      </rPr>
      <t>: AVERAGE [OutDura, (4*LiveStore + 2*Friction + Subsurf)/7)) ]</t>
    </r>
  </si>
  <si>
    <t>Wetlands that store floodwater are more valuable if they are in the headwaters of a watershed, placing them above areas which might otherwise be damaged by floods.</t>
  </si>
  <si>
    <t>ShedPos1</t>
  </si>
  <si>
    <t>Wetlands that contribute to stream flow are more valuable if they are in the headwaters of a watershed, because small and intermittent streams are most likely to be prevalent there, and the proportion of their base flow that is affected by wetlands there is likely to be greater than in lowlands.</t>
  </si>
  <si>
    <t>OutDur * [(2*GroundwaterInput + ClimateFactors)/ 3]</t>
  </si>
  <si>
    <t>Snow tends to accumulate more on north-facing slopes due to less sun exposure, and water losses from evapotranspiration are less. Consequently, streamflow fed by such slopes may persist longer into drier periods.</t>
  </si>
  <si>
    <t>Anadromous fish in this region are highly sensitive to warm temperatures, so wetlands that cool or maintain natural water temperatures could be considered more valuable.</t>
  </si>
  <si>
    <t>ShedPos7</t>
  </si>
  <si>
    <t>Wetlands that contribute cooler water to stream flow are more valuable if they are in the headwaters of a watershed, because small and intermittent streams are most likely to be prevalent there, and the proportion of their base flow (and thus their temperature) that is affected by wetlands there is likely to be greater than in lowlands.</t>
  </si>
  <si>
    <t xml:space="preserve">Wetlands with large contributing areas are likely to receive more suspended sediment and thus have more opportunity to trap sediment, which potentially increases their value as protectors of downstream water quality. </t>
  </si>
  <si>
    <t>Sediment deposition increases as the ratio of the volume of a storage basin (e.g., wetland) to the volume of runoff entering the basin from its contributing area increases (Heinemann 1981).</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</si>
  <si>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</si>
  <si>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</si>
  <si>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</si>
  <si>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</si>
  <si>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</si>
  <si>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</si>
  <si>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</si>
  <si>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</si>
  <si>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</si>
  <si>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</si>
  <si>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</si>
  <si>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&gt;40 km</t>
  </si>
  <si>
    <t>10-40 km</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</si>
  <si>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</si>
  <si>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</si>
  <si>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</si>
  <si>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</si>
  <si>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</si>
  <si>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</si>
  <si>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</si>
  <si>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 xml:space="preserve">Of the wetland types listed, riparian and marsh wetlands are typically most important to anadromous fish because they have the most water and are the most accessible. When accessible, other wetland types are used but invertebrate foods may be less abundant due to acidic conditions. </t>
  </si>
  <si>
    <t xml:space="preserve">Leaves of nitrogen-fixing plants such as alder have been shown to support higher densities and richness of aquatic and terrestrial invertebrates (Wipfli et al. 2007, Wipfli &amp; Musselwhite 2004, LeSage et al. 2005). From that, it can be inferred that fish production should be higher as well, where food is limiting fish survival. </t>
  </si>
  <si>
    <r>
      <t xml:space="preserve">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t>
    </r>
    <r>
      <rPr>
        <i/>
        <sz val="10"/>
        <rFont val="Arial Narrow"/>
        <family val="2"/>
      </rPr>
      <t>In calculations, is excluded automatically (cell goes blank) if wetland never has surface water during an average year.</t>
    </r>
  </si>
  <si>
    <r>
      <t xml:space="preserve">Greater interspersion of open water with vegetation provides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</si>
  <si>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 xml:space="preserve">Especially in riverine wetlands, groundwater (hyporheic flow) that discharges into wetlands is extremely important to salmonids because of its cooler temperature. However, in some instances this "iron floc" decreases the oxygen required by fish and smothers fish spawning gravels. Groundwater influx is sometimes indicated by an orange precipitate, indicating the presence of iron oxidizing bacteria (Dickman &amp; Rygiel 1998). </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</si>
  <si>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</si>
  <si>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</si>
  <si>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Feeley, H., Kerrigan, C., Fanning, P., Hannigan, E. and Kelly-Quinn, M. 2011 Longitudinal extent of acidification effects of plantation forest on benthic macroinvertebrate communities in soft water streams: evidence for localised impact and temporal ecological recovery. Hydrobiologia 671, 217–26.</t>
  </si>
  <si>
    <t>bare pervious surface, e.g., lawn, recent (&lt;5 yrs ago) clearcut, dirt or gravel road, plowed fields, landslide, conifer plantation.</t>
  </si>
  <si>
    <r>
      <t xml:space="preserve">Along the wetland-upland edge and extending 30 m laterally upslope, the percentage of the upland that contains </t>
    </r>
    <r>
      <rPr>
        <b/>
        <sz val="10"/>
        <rFont val="Arial Narrow"/>
        <family val="2"/>
      </rPr>
      <t xml:space="preserve">vegetation cover </t>
    </r>
    <r>
      <rPr>
        <sz val="10"/>
        <rFont val="Arial Narrow"/>
        <family val="2"/>
      </rPr>
      <t>(except lawns, row crops, heavily grazed land, conifer plantations) is:</t>
    </r>
  </si>
  <si>
    <t xml:space="preserve">Streams adjoined by natural vegetation provide shade that helps maintain water temperature, as well as contributing terrestrial insects (Wipfli 1997) and supporting richer and healthier aquatic invertebrate communities. All of these factors help support anadromous fish. Within 90 years after clear-cut logging without a 100-ft wide stream-side buffer, LWD could be reduced by 70% and recovery to prelogging levels would take more than 250 years. Also, establishment of conifer plantations can acidify receiving waters and potentially harm Atlantic salmon eggs (Kreutzweiser et al. 2008, Drinan et al. 2013, Malcolm et al. 2014).  However, overall intensity of land use and forest fragmentation in a stream’s watershed sometimes has a greater influence on stream fish abundance than does buffer width (e.g., Shandas &amp; Alberti 2009, Stephenson &amp; Morin 2009). The effects of buffer width or proportion of forest in the watershed can also be overshadowed by differences in stream substrate type and flow duration (Roy et al. 2005). </t>
  </si>
  <si>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</si>
  <si>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</si>
  <si>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</si>
  <si>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</si>
  <si>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Conduc10</t>
  </si>
  <si>
    <t>Beaver10</t>
  </si>
  <si>
    <t>SedExcess10</t>
  </si>
  <si>
    <t>MIN(SedExcess, Acid, AltTime, ToxData, NatVegCUpct)</t>
  </si>
  <si>
    <t>Acid4</t>
  </si>
  <si>
    <t>WoodHerbMix8</t>
  </si>
  <si>
    <r>
      <t xml:space="preserve">In general, non-saline waters with greater TDS or conductivity are more fertile, are better-buffered against large changes in acidity, and potentially produce more fish (Rempel &amp; Colby 1991, Kimmel &amp; Argent 2010) but levels greater than about 2000 mg/L TDS are usually harmful (Weber-Scannell &amp; Duffy 2007). </t>
    </r>
    <r>
      <rPr>
        <i/>
        <sz val="10"/>
        <rFont val="Arial Narrow"/>
        <family val="2"/>
      </rPr>
      <t xml:space="preserve"> In calculations, is excluded automatically (cell goes blank) if not measured.  Is assigned score of 0 if TDS&gt;2000 mg/L or if plants indicate highly saline conditions.  Otherwise, is assigned score of 1 if TDS&gt;300 mg/L or conductivity is &gt;200 µS/cm.  All other measurements are assigned a score of 0.5.</t>
    </r>
  </si>
  <si>
    <t>In general, non-saline waters with greater TDS or conductivity are more fertile, are better-buffered against large changes in acidity, and potentially produce greater biomass of aquatic invertebrates.</t>
  </si>
  <si>
    <r>
      <t>Conductivity is  [</t>
    </r>
    <r>
      <rPr>
        <i/>
        <sz val="10"/>
        <rFont val="Arial Narrow"/>
        <family val="2"/>
      </rPr>
      <t xml:space="preserve">enter the reading </t>
    </r>
    <r>
      <rPr>
        <b/>
        <i/>
        <sz val="10"/>
        <rFont val="Arial Narrow"/>
        <family val="2"/>
      </rPr>
      <t xml:space="preserve">in µS/cm </t>
    </r>
    <r>
      <rPr>
        <i/>
        <sz val="10"/>
        <rFont val="Arial Narrow"/>
        <family val="2"/>
      </rPr>
      <t>in the column to the right</t>
    </r>
    <r>
      <rPr>
        <sz val="10"/>
        <rFont val="Arial Narrow"/>
        <family val="2"/>
      </rPr>
      <t>]:</t>
    </r>
  </si>
  <si>
    <t>Conduc8</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</si>
  <si>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</si>
  <si>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r>
      <t xml:space="preserve">Downed wood provides food, cover, and a stable microclimate for many  invertebrates that live in soil and peat of wetlands that seldom flood. In calculations, is excluded automatically (cell goes blank) if little or no woody vegetation in the wetland.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</si>
  <si>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r>
      <t>Downed wood provides cover for many small mammals. Downed wood is often the result of natural windthrow, which also creates small patches of semi-open canopy within blocks of forest and in so doing can support a larger number of wildlife species, despite the temporary loss of nest trees (Zmihorski 2010). In calculations, is excluded automatically (cell goes blank) if wetland has few or no trees.</t>
    </r>
    <r>
      <rPr>
        <i/>
        <sz val="10"/>
        <rFont val="Arial Narrow"/>
        <family val="2"/>
      </rPr>
      <t xml:space="preserve"> In calculations, is excluded automatically (cell goes blank) if few or no trees of any kind are present.  If downed wood is numerous it is scored as a 1 but if absent this indicator is ignored in model calculations.</t>
    </r>
  </si>
  <si>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</si>
  <si>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r>
      <t xml:space="preserve">Some of these features are important to bank-living beavers, swallows, and swifts.  </t>
    </r>
    <r>
      <rPr>
        <i/>
        <sz val="10"/>
        <rFont val="Arial Narrow"/>
        <family val="2"/>
      </rPr>
      <t>If present this indicator is scored as a 1 but if absent this indicator is ignored in model calculations.</t>
    </r>
  </si>
  <si>
    <r>
      <t xml:space="preserve">Woody vegetation adds vertical habitat space, bark, and dead wood used by many invertebrates, whereas  herbaceous vegetation has generally greater annual productivity.  A well-interspersed even mix of both is hypothesized to maximize invertebrate diversity and productivity.   </t>
    </r>
    <r>
      <rPr>
        <i/>
        <sz val="10"/>
        <rFont val="Arial Narrow"/>
        <family val="2"/>
      </rPr>
      <t xml:space="preserve">In calculations, is excluded automatically (cell goes blank) if few or no trees or shrubs are present. </t>
    </r>
  </si>
  <si>
    <r>
      <t xml:space="preserve">Salmon parr density is sometimes greater in streams in karst terrain, probably due to higher water alkalinity which supports greater aquatic production and partly mitigates adverse effects of acid precipitation.  </t>
    </r>
    <r>
      <rPr>
        <i/>
        <sz val="10"/>
        <rFont val="Arial Narrow"/>
        <family val="2"/>
      </rPr>
      <t>In calculations, if present it is scored as a 1 but if absent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</si>
  <si>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</si>
  <si>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</si>
  <si>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water is not very acidic, the model ignores this indicator, but if pH is &lt;5, the function score is reduced slightly.</t>
    </r>
  </si>
  <si>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</si>
  <si>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</si>
  <si>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or if plants indicate highly saline conditions.  is excluded automatically (cell goes blank and ignored in model calculations) if not measured or lower levels are present.</t>
    </r>
  </si>
  <si>
    <t>SizeHerbac13</t>
  </si>
  <si>
    <t>Bduck13</t>
  </si>
  <si>
    <t>AVERAGE[(Interspers, AVERAGE(EmPct, Size, Vwidth, AqPlantCov, Snags)]</t>
  </si>
  <si>
    <t>Although not applicable to all nesting waterbird species in this region, the models that predict suitable nesting habitat for black duck are likely to identify and map areas suitable for many.</t>
  </si>
  <si>
    <t>SizeHerbac14</t>
  </si>
  <si>
    <t>BuffPerim14</t>
  </si>
  <si>
    <t>Stressors (Lack of)</t>
  </si>
  <si>
    <r>
      <t xml:space="preserve">IF((Rare=1),1, IF((IBA=1),1, </t>
    </r>
    <r>
      <rPr>
        <b/>
        <sz val="10"/>
        <rFont val="Arial Narrow"/>
        <family val="2"/>
      </rPr>
      <t>ELSE</t>
    </r>
    <r>
      <rPr>
        <sz val="10"/>
        <rFont val="Arial Narrow"/>
        <family val="2"/>
      </rPr>
      <t>: MAX(HerbUniq, WoodyUniq)</t>
    </r>
  </si>
  <si>
    <t>HerbUniq14</t>
  </si>
  <si>
    <t>WoodyUniq14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</si>
  <si>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</si>
  <si>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</si>
  <si>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</si>
  <si>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BuffLUtype0</t>
  </si>
  <si>
    <r>
      <t xml:space="preserve">See above. </t>
    </r>
    <r>
      <rPr>
        <i/>
        <sz val="10"/>
        <rFont val="Arial Narrow"/>
        <family val="2"/>
      </rPr>
      <t xml:space="preserve"> In calculations, is ignored if &gt;90% of the wetland perimeter has a vegetated buffer. In other situations, the indicator score is set to 0 if impervious but otherwise is ignored in the model calculations.</t>
    </r>
  </si>
  <si>
    <t xml:space="preserve">Dominance of Most Abundant Shrub Species </t>
  </si>
  <si>
    <t>ShrubDiv0</t>
  </si>
  <si>
    <t>A wider variety of herbaceous plant species suggests greater availability of pollen and nectar throughout the year, and this helps sustain diverse pollinator populations.</t>
  </si>
  <si>
    <t>A wider variety of woody plant species suggests greater availability of pollen and nectar throughout the year, and this helps sustain diverse pollinator populations.</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</si>
  <si>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</si>
  <si>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</si>
  <si>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</si>
  <si>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</si>
  <si>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</si>
  <si>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</si>
  <si>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</si>
  <si>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Pollinators may be especially valuable if the wetland contains a rare plant species dependent on insect pollination (Jones &amp; Klemetti 2012).</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</si>
  <si>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</si>
  <si>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</si>
  <si>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and mammals,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</si>
  <si>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Wetlands already dominated by non-native invasive species are likely to be more resistant to further impacts to their remaining plant communities from additional invasive plant species (Werner et al. 2002, Wigand et al. 2003, Stohlgren et al. 2002), </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</si>
  <si>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</si>
  <si>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</si>
  <si>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r>
      <t>Partly because of the greater nutrient levels and relative hydrologic stability of most groundwater (Langlois et al. 2015), several plant species thrive best where a wetland's surface water originates most directly from groundwater (e.g., Radies et al. 2009).</t>
    </r>
    <r>
      <rPr>
        <i/>
        <sz val="10"/>
        <rFont val="Arial Narrow"/>
        <family val="2"/>
      </rPr>
      <t xml:space="preserve"> In calculations, is excluded automatically (cell goes blank) if no evidence of groundwater influx; otherwise is rated based on response in column D.</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</si>
  <si>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</si>
  <si>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</si>
  <si>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</si>
  <si>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</si>
  <si>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</si>
  <si>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</si>
  <si>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Although burning potentially releases (rather than sequesters) large amounts of carbon from wetland soils,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thus promoting wetter conditions and increasing fire resistance for years post-burn (Watts et al. 2015).  Although burning produces a period of minimal carbon storage immediately post-fire, vegetation recovery through succession within a few decades promotes long-term persistence of vegetation communities with greater rates of carbon sequestration than those of unburned (late successional) communities (Benscoter et al. 2012).</t>
  </si>
  <si>
    <t>Seeds of non-native plants commonly are carried by humans and their pets. Non-native plants can decrease plant species richness of the wetland. In the Kenai Peninsula of Alaska,significantly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</si>
  <si>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Red alder often occurs in mildly disturbed settings, and through its ability to increase soil fertility by fixing nitrogen, can increase the cover and perhaps the diversity of understory plants. However, as alder stands age, they form a closed canopy which can block light and reduce understory plant richness.</t>
  </si>
  <si>
    <t>Calcareous fens often support more plant species than other wetlands of similar size, and the species they support are usually among the regionally rarest (Hinds 1983, Hill &amp; Keddy 1992, Mullen et al. 2000, Hinds 2000, McClellan et al. 2003).</t>
  </si>
  <si>
    <r>
      <t xml:space="preserve">Wetlands with naturally fluctuating water levels tend to have greater plant species richness, at least in Southeast Alaska floodplains (Pollack et al. 1998). Duration, frequency, and timing of inundation may be more important than magnitude of fluctuation, but cannot be estimated during a single visit to an ungaged wetland. Prolonged deep flooding can reduce plant species richness (Bayley &amp; Guimond 2009). </t>
    </r>
    <r>
      <rPr>
        <i/>
        <sz val="10"/>
        <rFont val="Arial Narrow"/>
        <family val="2"/>
      </rPr>
      <t>In calculations, is excluded automatically (cell goes blank) if wetland never has surface water during an average year, or if none of it floods only seasonally.</t>
    </r>
  </si>
  <si>
    <t>Nutrients, as represented indirectly by conductivity and/or TDS, directly influence the species composition (Srivastava et al. 1995), diversity, and productivity of plants within this region's wetlands, perhaps to a greater degree than acidity. In nearby regions, plant species richness in wetland quadrats declined with increasing nitrate and phosphorus (Houlahan et al. 2006), especially when conductivity exceeded ~400 µS/cm (Johnson &amp; Leopold 1994).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</si>
  <si>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first choice selected; is 0 if second choice selected.  If pH measured and is &lt;7, the score is that pH divided by 10; if &gt;8.5, score is 1- pH/10. This formula recognizes progressive decline in denitrification as pH becomes more acidic or basic.</t>
    </r>
  </si>
  <si>
    <t>Acidity (pH) influences the species composition, diversity, and productivity of plants within this region's wetlands (Catling et al. 1986, Mullen et al. 2000). Although acidic wetlands tend to be less fertile, they often are the most diverse (e.g., Woodcock et al. 2005).  Especially when located near the coast, they often contain plant species that are regionally rare because they cannot withstand the competition present in less acidic, more fertile wetlands that occur more widely (Moore et al. 1989).  However, acidic lakes that are naturally stained by tannins ("brownwater lakes") have fewer submersed aquatic plant species because the stained water reduces underwater light (Kerekes &amp; Freedman 1989).</t>
  </si>
  <si>
    <t xml:space="preserve">In some regions, fens tend to have richer plant communities than bogs (Thormann &amp; Bayley 1997, Bedford &amp; Godwin 2003, McClellan et al. 2003) but the opposite may be true in bogs that are near the coast, especially if moss diversity is included (Moore et al.1989). Swamps located in floodplains sometimes have the highest plant diversity (e.g., Pollack et al. 1998) and calcareous wetlands also support a high diversity of plants. </t>
  </si>
  <si>
    <t>Conduc20</t>
  </si>
  <si>
    <t>Acidic20</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</si>
  <si>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</si>
  <si>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</si>
  <si>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</si>
  <si>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Pearl, C., M. Adams, N. Leuthold, and R. Bury. 2005. Amphibian occurrence and aquatic invaders in a changing landscape: implications for wetland mitigation in the Willamette Valley, Oregon, USA. Wetlands 25:76-88.</t>
  </si>
  <si>
    <t>Silva, M., L. A. Hartling, S. A. Field, and K. Teather. 2003. The effects of habitat fragmentation on amphibian species richness of Prince Edward Island. Canadian Journal of Zoology 81:563-573.</t>
  </si>
  <si>
    <t>The type of non-natural land cover that surrounds a wetland can influence dispersal success of amphibians. Unvegetated lands are usually the least suitable. Clearcuts may be better but perhaps still not as suitable as natural cover on soils of similar productivity (Waldick et al. 1999).</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</si>
  <si>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</si>
  <si>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</si>
  <si>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 xml:space="preserve">Areas of calcareous bedrock (karst landforms) tend to have more naturally-formed crevices and tunnels that could provide cover for amphibians during their terrestrial phases. Karst also tends to support higher aquatic productivity. </t>
    </r>
    <r>
      <rPr>
        <i/>
        <sz val="10"/>
        <rFont val="Arial Narrow"/>
        <family val="2"/>
      </rPr>
      <t>In calculations, if present it is scored as a 1 but if absent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</si>
  <si>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</si>
  <si>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</si>
  <si>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</si>
  <si>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</si>
  <si>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</si>
  <si>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</si>
  <si>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</si>
  <si>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</si>
  <si>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IF((AllSat1uratedOnly=1),0,
IF((TooSmall=1),0, IF((TooSteep=1), 0, </t>
    </r>
    <r>
      <rPr>
        <b/>
        <sz val="10"/>
        <rFont val="Arial Narrow"/>
        <family val="2"/>
      </rPr>
      <t>ELSE:</t>
    </r>
    <r>
      <rPr>
        <sz val="10"/>
        <rFont val="Arial Narrow"/>
        <family val="2"/>
      </rPr>
      <t xml:space="preserve">
AVERAGE[Produc, Hydro, Struc, AVERAGE(Climate, Lscape,Stressors)]
</t>
    </r>
  </si>
  <si>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</si>
  <si>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</si>
  <si>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</si>
  <si>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Wetlands that flood only seasonally tend to be more productive and are immensely important as feeding and resting areas for migratory waterbirds. Occasional severe flood or drought can rejuvenate wetland productivity, and thus waterbird feeding opportunities, by stimulating release of nutrients from sediments or soil.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</si>
  <si>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</si>
  <si>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</si>
  <si>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</si>
  <si>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These plants usually indicate highly enriched conditions, and those tend to be more productive feeding areas for most waterbird species. </t>
    </r>
    <r>
      <rPr>
        <i/>
        <sz val="10"/>
        <rFont val="Arial Narrow"/>
        <family val="2"/>
      </rPr>
      <t>In calculations, is excluded automatically (cell goes blank) if wetland never has surface water during an average year. In calculations, is counted as a positive if present but does not decrease score if absent.</t>
    </r>
  </si>
  <si>
    <r>
      <t xml:space="preserve">Beaver are a key driver for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</si>
  <si>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species(e.g., cormorants, loons) that require lengthy areas when taking flight. </t>
  </si>
  <si>
    <t xml:space="preserve">Many songbirds and mammals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</si>
  <si>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The type as well as the amount of disturbed upland cover near the wetland is important to mammals and nesting songbirds. For most species, impervious surfaces are unusable. Habitat gaps caused by placement of roads, driveways, or homes – as well as by natural features such as wide tidal channels -- can impact movements of mammals and birds (Trombulak &amp; Frissell 2000, Ortega &amp; Capen 2002). This is especially true when the gaps are wider than about 30 m (Rich et al. 1994, Rail et al. 1997, St. Clair et al. 1998, Belisle &amp; Desrochers 2002, Tremblay &amp; St. Clair 2010), and definitely when wider than 60 m (Creegan &amp; Osborne 2005, Bosschieter &amp; Goedhart 2005, Awade &amp; Metzger 2008, Lees &amp; Peres 2009). Species that prefer low vegetation may be particularly reluctant to cross forest clearings. The presence of small clusters of trees scattered within very wide forest gaps may be sufficient to enhance willingness of some forest bird species to cross those gaps (Robertson &amp; Radford 2009). </t>
  </si>
  <si>
    <t>Roads that completely encircle a wetland limit the access to the wetland by upland mammals, and may isolate small mammal populations within the wetlands. To sustain most forest-dwelling bird species, linear clearings should cause no gap in the forest canopy wider than about 30 m (Belisle &amp; Desrochers 2002, Tremblay &amp; St. Clair 2010). Roads also tend to concentrate nest predators.</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</si>
  <si>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</si>
  <si>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r>
      <t xml:space="preserve">Interspersion of woody cover with food-rich openings of herbaceous vegetation provides greater feeding opportunities for many songbirds and mammals,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</si>
  <si>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When wetland perimeter mostly adjoins upland rather than more wetland, this allows animals to move more conveniently between uplands and wetlands, benefitting from resources in each. In particular, small mammals avoid wetter (usually more central) parts of wetlands in favor of drier edges (Mazerolle et al. 2001).</t>
  </si>
  <si>
    <r>
      <t xml:space="preserve">Songbird richness within a site is strongly associated with a diversity of height classes, combined with a mix of conifer and deciduous trees/shrubs in each height class. Trees and shrubs support a wider diversity of songbirds, raptors, and mammals than does herbaceous vegetation, partly because they provide more vertical structure and produce downed wood and snags that have other habitat benefits. Trees help shelter the water in wetlands from high winds, facilitating the aerial foraging activities of birds and bats (Whitaker et al. 2000). </t>
    </r>
    <r>
      <rPr>
        <i/>
        <sz val="10"/>
        <rFont val="Arial Narrow"/>
        <family val="2"/>
      </rPr>
      <t>In calculations, the indicator score is based on number of height-form classes (of a possible 6).</t>
    </r>
  </si>
  <si>
    <r>
      <t xml:space="preserve">Tree cavities needed by many nesting songbirds and mammals are found mostly in dead standing trees (snags) and larger-diameter trees. Larger-diameter stands also tend to be older and provide more structure useful to a variety of songbirds and mammals. Taller snags are especially useful to raptors as hunting perches. A mixture of tree species, especially mixtures that include aspen, is necessary to sustain populations of most boreal woodpecker species (Drever &amp; Martin 2010). Deer need a diversity of forest types and ages (both early succession and old growth) near each other within their home ranges (Chang et al. 1995), as do moose (Snaith et al. 2002).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</si>
  <si>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Wider vegetated zones within wetlands provide more nesting space and structure for songbirds and mammals.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</si>
  <si>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t>Wetlands that are closer to natural land cover and not separated by roads that interfere with movements across the landscape, are more likely to support a large diversity of songbird and mammal species.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t>
  </si>
  <si>
    <t>_GDD1</t>
  </si>
  <si>
    <t>Ponding2</t>
  </si>
  <si>
    <t>WoodyTyp4</t>
  </si>
  <si>
    <t>Inflow4a</t>
  </si>
  <si>
    <t>Gradient5</t>
  </si>
  <si>
    <t>PopCtr9</t>
  </si>
  <si>
    <t>DistRd9</t>
  </si>
  <si>
    <t>ToxinIn9</t>
  </si>
  <si>
    <t>Fishing10</t>
  </si>
  <si>
    <t>Access8</t>
  </si>
  <si>
    <t>AltTime8a</t>
  </si>
  <si>
    <t>SedCA8a</t>
  </si>
  <si>
    <t>SoilDisturb8a</t>
  </si>
  <si>
    <t>Acidic11</t>
  </si>
  <si>
    <t>Lake12a</t>
  </si>
  <si>
    <t>HerbUniq12</t>
  </si>
  <si>
    <t>Lacus13a</t>
  </si>
  <si>
    <t>HerbUniq13</t>
  </si>
  <si>
    <t>DeerHab14</t>
  </si>
  <si>
    <t>AVERAGE (Gcover, Girreg, Cliffs, SnagsD, WoodDown, DeerHab)</t>
  </si>
  <si>
    <t>WoodyHtDiv14</t>
  </si>
  <si>
    <t>Human presence can attract crows and ravens, which prey on nests. Dogs and house cats that prey on wetland songbirds and mammals also tend to be more prevalent in areas frequently visited by humans.</t>
  </si>
  <si>
    <t>VegPct5k15</t>
  </si>
  <si>
    <t>InflowPD</t>
  </si>
  <si>
    <t>AVERAGE [MAX(CalcFen, Conduc, Acidic), Inflow, AVERAGE (Interspers, Fluc, SeasWpct, Groundw, NewWet, Depth)]</t>
  </si>
  <si>
    <t>AVERAGE[Invas, AVERAGE(DecidCov, WoodyHtDiv, WoodHerbMix, HerbDom, Burn, Girreg)]</t>
  </si>
  <si>
    <t>OverRich</t>
  </si>
  <si>
    <t>AcidicS</t>
  </si>
  <si>
    <t>ConductivS</t>
  </si>
  <si>
    <t>BurnHist</t>
  </si>
  <si>
    <r>
      <t xml:space="preserve">The AA is part of or contiguous to a wetland on which public or private organizational funds were spent to preserve, create, restore, or enhance the wetland (excluding mitigation wetlands). Enter: yes= 1, no= 0. If no information, change to </t>
    </r>
    <r>
      <rPr>
        <b/>
        <sz val="10"/>
        <rFont val="Arial Narrow"/>
        <family val="2"/>
      </rPr>
      <t>blank</t>
    </r>
    <r>
      <rPr>
        <sz val="10"/>
        <rFont val="Arial Narrow"/>
        <family val="2"/>
      </rPr>
      <t>.</t>
    </r>
  </si>
  <si>
    <r>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Enter: yes= 1, no= 0. If no information, change to</t>
    </r>
    <r>
      <rPr>
        <b/>
        <sz val="10"/>
        <rFont val="Arial Narrow"/>
        <family val="2"/>
      </rPr>
      <t xml:space="preserve"> blank</t>
    </r>
    <r>
      <rPr>
        <sz val="10"/>
        <rFont val="Arial Narrow"/>
        <family val="2"/>
      </rPr>
      <t>.</t>
    </r>
  </si>
  <si>
    <t>The proportion of the AA's contributing area (measured to no more than 1000 m upslope) that is comprised of buildings, roads, parking lots, other pavement, exposed bedrock, landslides, and other mostly-bare surface is about :</t>
  </si>
  <si>
    <t>Function Score (raw)</t>
  </si>
  <si>
    <t>The vegetated part of the AA borders a lake, i.e., a body of non-tidal standing open water whose size exceeds 8 hectares during most of a normal year.</t>
  </si>
  <si>
    <r>
      <t xml:space="preserve">If </t>
    </r>
    <r>
      <rPr>
        <b/>
        <sz val="10"/>
        <rFont val="Arial Narrow"/>
        <family val="2"/>
      </rPr>
      <t>both</t>
    </r>
    <r>
      <rPr>
        <sz val="10"/>
        <rFont val="Arial Narrow"/>
        <family val="2"/>
      </rPr>
      <t xml:space="preserve"> are true, enter "1" and continue. If false, leave the 0 and continue: (a) Open water that adjoins the vegetated AA in a lake, stream, or river during annual low water condition is much wider than the vegetated AA, and (b) the maximum dimension of the lake, stream, or river (measured parallel with flow, if any) is greater than 1 km. </t>
    </r>
  </si>
  <si>
    <r>
      <t xml:space="preserve">The AA is all or part of a mitigation site used explicitly to offset impacts elsewhere. Enter: yes= 1, no= 0. If no information, change to </t>
    </r>
    <r>
      <rPr>
        <b/>
        <sz val="10"/>
        <rFont val="Arial Narrow"/>
        <family val="2"/>
      </rPr>
      <t>blank.</t>
    </r>
  </si>
  <si>
    <r>
      <t xml:space="preserve">Mark all other vegetated wetland types you can see (from ground or in aerial imagery) that adjoin the AA or are within it, </t>
    </r>
    <r>
      <rPr>
        <b/>
        <sz val="10"/>
        <rFont val="Arial Narrow"/>
        <family val="2"/>
      </rPr>
      <t xml:space="preserve">but only if </t>
    </r>
    <r>
      <rPr>
        <sz val="10"/>
        <rFont val="Arial Narrow"/>
        <family val="2"/>
      </rPr>
      <t>visible during your visit or from aerial imagery, AND either they are larger than 1 hectare OR comprise more than 1% of contiguous wetland. Do not mark the predominant type again.</t>
    </r>
  </si>
  <si>
    <t>Subtypes8</t>
  </si>
  <si>
    <r>
      <t xml:space="preserve">Because different wetland types are likely to support different species assemblages and many of those species may require complementary wetland types nearby for part of their life cycle, the presence of contrasting wetland types is likely to help support a diverse assemblage in any one of the wetlands. </t>
    </r>
    <r>
      <rPr>
        <i/>
        <sz val="10"/>
        <rFont val="Arial Narrow"/>
        <family val="2"/>
      </rPr>
      <t xml:space="preserve"> In calculations, the indicator score is the sum of the nearby types divided by 4.</t>
    </r>
  </si>
  <si>
    <r>
      <t xml:space="preserve">On a per-surface-area basis, deciduous trees and shrubs often support higher levels of insect biomass than conifers, at least among nocturnal flying insects (Ober and Hayes 2008). </t>
    </r>
    <r>
      <rPr>
        <i/>
        <sz val="10"/>
        <rFont val="Arial Narrow"/>
        <family val="2"/>
      </rPr>
      <t>In calculations, is excluded automatically (cell goes blank) if few or no trees in the wetland. Score is based on the maximum cover of any of the 3 woody deciduous height classes.</t>
    </r>
  </si>
  <si>
    <r>
      <t xml:space="preserve">In limestone areas, nutrients are more available to algae and thus to the invertebrates that graze algae. Limestone areas are chemically well-buffered against acidic conditions that otherwise make nutrients less available. Higher availability of calcium carbonate supports the presence of snails, mollusks, and some other invertebrates that require calcium for their shells and are thus less common where calcareous substrate is lacking and/or waters are acidic. </t>
    </r>
    <r>
      <rPr>
        <i/>
        <sz val="10"/>
        <rFont val="Arial Narrow"/>
        <family val="2"/>
      </rPr>
      <t>In calculations, if present it is scored as a 1 but if absent this indicator is ignored in model calculations.</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</si>
  <si>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4.</t>
    </r>
  </si>
  <si>
    <t>WetTypeDiv11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</si>
  <si>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4.</t>
    </r>
  </si>
  <si>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</si>
  <si>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</si>
  <si>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</si>
  <si>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</si>
  <si>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</si>
  <si>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</si>
  <si>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HYDROLOGIC Group (WS)</t>
  </si>
  <si>
    <t>AQUATIC HABITAT Group (max+avg/2 of FA, FR, AM, WBF, WBN)</t>
  </si>
  <si>
    <t>AQUATIC SUPPORT Group (max+avg/2 of SFS, INV, OE, WC)</t>
  </si>
  <si>
    <t>Wetland Ecological Condition (EC)</t>
  </si>
  <si>
    <t>Wetland ID:</t>
  </si>
  <si>
    <t>Date:</t>
  </si>
  <si>
    <t>Observer:</t>
  </si>
  <si>
    <t>Latitude &amp; Longitude (decimal degrees):</t>
  </si>
  <si>
    <t>Designated Important Bird Area (IBA)</t>
  </si>
  <si>
    <r>
      <t>Hunt, J. F., C. W. Honeycutt, G. Starr, and D. Yarborough. 2009. Influence of coastal proximity on evapotranspiration rates and crop coefficients of Maine lowbush blueberry (</t>
    </r>
    <r>
      <rPr>
        <i/>
        <sz val="10"/>
        <rFont val="Arial Narrow"/>
        <family val="2"/>
      </rPr>
      <t>Vaccinium angustifolium</t>
    </r>
    <r>
      <rPr>
        <sz val="10"/>
        <rFont val="Arial Narrow"/>
        <family val="2"/>
      </rPr>
      <t>). International Journal of Fruit Science 9:323-343.</t>
    </r>
  </si>
  <si>
    <t>Booth, D. B. and C. R. Jackson. 1997. Urbanization of aquatic systems: Degradation thresholds, stormwater detection, and the limits of mitigation. Journal of the American Water Resources Association 33:1077-1090.</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</si>
  <si>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</si>
  <si>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Wiley, J.B., and J.H. Curran. 2003. Estimating annual high-flow statistics and monthly and seasonal low-flow statistics for ungaged sites on streams in Alaska and conterminous basins in Canada: U.S. Geological Survey Water-Resources Investigations Report 03-4114.</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</si>
  <si>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is excluded automatically (cell goes blank) if wetland never has surface water during an average year.  Otherwise, retention is assumed to increase below a pH of 5 or above a pH of 9.</t>
    </r>
  </si>
  <si>
    <t>Brix, H. 1994. Functions of macrophytes in constructed wetlands. Water Science and Technology 29:71-78.</t>
  </si>
  <si>
    <t>Cairns, M. A. and K. Lajtha. 2005. Effects of succession on nitrogen export in the west-central Cascades, Oregon. Ecosystems 8:583-601.</t>
  </si>
  <si>
    <t>Compton, J. E., M. R. Church, S. T. Larned, and W. E. Hogsett. 2003. Nitrogen export from forested watersheds in the Oregon Coast Range: the role of N2-fixing red alder. Ecosystems 6:773-785.</t>
  </si>
  <si>
    <t>Greathouse, E. A., J. E. Compton, and J. Van Sickle. 2014. Linking landscape characteristics and high stream nitrogen in the Oregon Coast Range: red alder complicates use of nutrient criteria. JAWRA Journal of the American Water Resources Association 50:1383-1400.</t>
  </si>
  <si>
    <t>Lin, Y.-F., S.-R. Jing, T.-W. Wang, and D.-Y. Lee. 2002. Effects of macrophytes and external carbon sources on nitrate removal from groundwater in constructed wetlands. Environmental Pollution 119:413-420.</t>
  </si>
  <si>
    <t>Mayer, P. M., S. K. Reynolds, M. D. McCutchen, and T. J. Canfield. 2005. Riparian Buffer Width, Vegetative Cover, and Nitrogen Removal Effectiveness: A Review of Current Science and Regulations. EPA/600/R-05/118. U.S. Environmental Protection Agency, Cincinnati, OH.</t>
  </si>
  <si>
    <t>Morse, J. L., M. Ardón, and E. S. Bernhardt. 2012. Using environmental variables and soil processes to forecast denitrification potential and nitrous oxide fluxes in coastal plain wetlands across different land uses. Journal of Geophysical Research: Biogeosciences (2005–2012) 117.</t>
  </si>
  <si>
    <t>Shaftel, R. S., R. S. King, and J. A. Back. 2012. Alder cover drives nitrogen availability in Kenai lowland headwater streams, Alaska. Biogeochemistry 107:135-148.</t>
  </si>
  <si>
    <t>Šimek, M. and J. E. Cooper. 2002. The influence of soil pH on denitrification: progress towards the understanding of this interaction over the last 50 years. European Journal of Soil Science 53:345-354.</t>
  </si>
  <si>
    <r>
      <t xml:space="preserve">Among wetland plants, those best known for facilitating the emission of methane from sediments are sedge and cottongrass (Marinier et al. 2004, Strack et al. 2006, Green &amp; Baird 2012). However, one study found methane production from cattail litter was almost 3 times greater than from sedge litter (Williams &amp; Yavitt 2010), and alder also has been found to facilitate methane emissions from wetlands (Smialek et al. 2006, Gauci et al. 2010). </t>
    </r>
    <r>
      <rPr>
        <i/>
        <sz val="10"/>
        <rFont val="Arial Narrow"/>
        <family val="2"/>
      </rPr>
      <t>In calculations, is excluded automatically (cell goes blank) if no exposed herbaceous cover, or if cover is entirely forbs.</t>
    </r>
  </si>
  <si>
    <t>Benscoter, B., M. R. Turetsky, and J. Johnson. 2012. Regulation of Soil Carbon Storage by Wildfire in Boreal and Subtropical Peatlands. Page 0520  in AGU Fall Meeting Abstracts, Vol. 1.</t>
  </si>
  <si>
    <t>Kuhry, P. 1994. The role of fire in the development of sphagnum-dominated peatlands in western boreal Canada. Journal of Ecology 82:899-910.</t>
  </si>
  <si>
    <t>Watts, A. C., C. A. Schmidt, D. L. McLaughlin, and D. A. Kaplan. 2015. Hydrologic implications of smoldering fires in wetland landscapes. Freshwater Science 34:000-000.</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</si>
  <si>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</si>
  <si>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More extensive ground cover may imply more organic matter is available for export. However, excessive litter buildup implies a lack of significant exporting forces, e.g., currents.</t>
  </si>
  <si>
    <r>
      <t xml:space="preserve">Boreal 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</si>
  <si>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</si>
  <si>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</si>
  <si>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r>
      <t>Groundwater-fed wetlands remain ice-free for longer, thus lengthening the growing season and plant production, and increasing the potential for organic matter to be exported if the wetland is connected to other water bodies. However, groundwater generally contains less dissolved organic carbon than does surface runoff (Emi-Fergus et al. 2011).</t>
    </r>
    <r>
      <rPr>
        <i/>
        <sz val="10"/>
        <rFont val="Arial Narrow"/>
        <family val="2"/>
      </rPr>
      <t xml:space="preserve"> In calculations, is excluded automatically (cell goes blank) if no evidence of groundwater influx; otherwise is rated based on response in column D.</t>
    </r>
  </si>
  <si>
    <t>Drinan, T. J., C. T. Graham, J. O’Halloran, and S. S. C. Harrison. 2013. The impact of catchment conifer plantation forestry on the hydrochemistry of peatland lakes. Science of the Total Environment 443:608-620.</t>
  </si>
  <si>
    <t>Kemp, P., D. Sear, A. Collins, P. Naden, and I. Jones. 2011. The impacts of fine sediment on riverine fish. Hydrological Processes 25:1800-1821.</t>
  </si>
  <si>
    <t>Kreutzweiser, D. P., P. W. Hazlett, and J. M. Gunn. 2008. Logging impacts on the biogeochemistry of boreal forest soils and nutrient export to aquatic systems: a review. Environmental Reviews 16:157-179.</t>
  </si>
  <si>
    <t>Malcolm, I. A., C. N. Gibbins, R. J. Fryer, J. Keay, D. Tetzlaff, and C. Soulsby. 2014. The influence of forestry on acidification and recovery: insights from long-term hydrochemical and invertebrate data. Ecological Indicators 37:317-329.</t>
  </si>
  <si>
    <t>McCormick, S. D., D. T. Lerner, A. M. Regish, M. F. O'Dea, and M. Y. Monette. 2012. Thresholds for short-term acid and aluminum impacts on Atlantic salmon smolts. Aquaculture 362:224-231.</t>
  </si>
  <si>
    <t>Sear, D. A., L. B. Frostick, G. Rollinson, and T. 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MD.</t>
  </si>
  <si>
    <r>
      <t>Rosseland, B. O., F. Kroglund, M. Staurnes, K. Hindar, and A. Kvellestad. 2001. Tolerance to acid water among strains and life stages of Atlantic salmon (</t>
    </r>
    <r>
      <rPr>
        <i/>
        <sz val="10"/>
        <rFont val="Arial Narrow"/>
        <family val="2"/>
      </rPr>
      <t>Salmo salar</t>
    </r>
    <r>
      <rPr>
        <sz val="10"/>
        <rFont val="Arial Narrow"/>
        <family val="2"/>
      </rPr>
      <t>). Water, Air, and Soil Pollution 130:899-904.</t>
    </r>
  </si>
  <si>
    <t>Morley, T. R., A. S. Reeve, and A. J. K. Calhoun. 2011. The role of headwater wetlands in altering streamflow and chemistry in a Maine, USA catchment. Journal of American Water Resources Association  47:337-349.</t>
  </si>
  <si>
    <t>Kimmel, W. G. and D. G. Argent. 2010. Stream fish community responses to a gradient of specific conductance. Water, Air, and Soil Pollution 206:49-56.</t>
  </si>
  <si>
    <t>Rempel, R. S. and P. J. Colby. 1991. A statistically valid model of the morphoedaphic index. Canadian Journal of Fisheries and Aquatic Sciences 48:1937-1943.</t>
  </si>
  <si>
    <t>Sutela, T., T. Vehanen, and P. Jounela. 2010. Response of fish assemblages to water quality in boreal rivers. Hydrobiologia 641:1-10.</t>
  </si>
  <si>
    <t>Weber-Scannell, P. K. and L. K. Duffy. 2007. Effects of total dissolved solids on aquatic organism: a review of literature and recommendation for salmonid species. American Journal of Environmental Sciences 3:1-6.</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</si>
  <si>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and in some cases diminish local biodiversity (Bunn &amp; Arthington 2002).</t>
  </si>
  <si>
    <t>Van Sickle, J. and S. V. Gregory. 1990. Modeling inputs of large woody debris to streams from falling trees. Canadian Journal of Forest Research 20:1593-1601.</t>
  </si>
  <si>
    <t>Horwitz, R. J., T. E. Johnson, P. F. Overbeck, T. K. O'Donnell, W. C. Hession, and B. W. Sweeney. 2008. Effects of riparian vegetation and watershed urbanization on fishes in streams of the mid-Atlantic Piedmont (USA). Journal of the American Water Resources Association 44:724-741.</t>
  </si>
  <si>
    <t>Findlay, C. S. and J. Houlahan. 1997. Anthropogenic correlates of species richness in southeastern Ontario wetlands. Conservation Biology:1000-1009.</t>
  </si>
  <si>
    <t>Gibbs, J. P. 1993. Importance of small wetlands for the persistence of local populations of wetland-associated animals. Wetlands 13:25-31.</t>
  </si>
  <si>
    <t>Houlahan, J. E. and C. S. Findlay. 2003. The effects of adjacent land use on wetland amphibian species richness and community composition. Canadian Journal of Fisheries and Aquatic Sciences 60:1078-1094.</t>
  </si>
  <si>
    <t>Mazerolle, M. J., A. Desrochers, and L. Rochefort. 2005a. Landscape characteristics influence pond occupancy by frogs after accounting for detectability. Ecological Applications 15:824-834.</t>
  </si>
  <si>
    <t>Mazerolle, M. J., M. Huot, and M. Gravel. 2005b. Behavior of amphibians on the road in response to car traffic. Herpetologica 61:380-388.</t>
  </si>
  <si>
    <t>Powell, J. S. V. and K. J. Babbitt. 2015. An experimental test of buffer utility as a technique for managing pool-breeding amphibians. Plos One 10:e0133642.</t>
  </si>
  <si>
    <t>Quesnelle, P. E., K. E. Lindsay, and L. Fahrig. 2015. Relative effects of landscape-scale wetland amount and landscape matrix quality on wetland vertebrates: a meta-analysis. Ecological Applications 25:812-825.</t>
  </si>
  <si>
    <r>
      <t>Baldwin, R., A. J. K. Calhoun, and P. G. deMaynadier. 2006b. Conservation planning for amphibian species with complex habitat requirements: A case study using movements and habitat selection of the wood frog (</t>
    </r>
    <r>
      <rPr>
        <i/>
        <sz val="10"/>
        <rFont val="Arial Narrow"/>
        <family val="2"/>
      </rPr>
      <t>Rana sylvatica</t>
    </r>
    <r>
      <rPr>
        <sz val="10"/>
        <rFont val="Arial Narrow"/>
        <family val="2"/>
      </rPr>
      <t>). Journal of Herpetology 40:443-454.</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</si>
  <si>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</si>
  <si>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Longcore, J. R., D. G. McAuley, G. W. Pendleton, C. R. Bennatti, T. M. Mingo, and K. L. Stromborg. 2006. Macroinvertebrate abundance, water chemistry, and wetland characteristics affect use of wetlands by avian species in Maine. Hydrobiologia 567:143–167.</t>
  </si>
  <si>
    <t>Although scattered open spots provide feeding opportunities for some species, most ground-nesting songbirds and mammals prefer dense ground cover as concealment from predators. Thinning of ground cover by high densities of deer can impact songbirds (Thiemann et al. 2009, Martin et al. 2010).</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</si>
  <si>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</si>
  <si>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</si>
  <si>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Brittain, C., R. Bommarco, M. Vighi, S. Barmaz, J. Settele, and S. G. Potts. 2010. The impact of an insecticide on insect flower visitation and pollination in an agricultural landscape. Agricultural and Forest Entomology 12:259-266.</t>
  </si>
  <si>
    <t>Cutler, G. C., V. O. Nams, P. Craig, J. M. Sproule, and C. S. Sheffield. 2015. Wild bee pollinator communities of lowbush blueberry fields: Spatial and temporal trends. Basic and Applied Ecology 16:73-85.</t>
  </si>
  <si>
    <t>Garibaldi, L. A., I. Steffan-Dewenter, C. Kremen, J. M. Morales, R. Bommarco, S. A. Cunningham, L. G. Carvalheiro, N. P. Chacoff, J. H. Dudenhoffer, S. S. Greenleaf, A. Holzschuh, R. Isaacs, K. Krewenka, Y. Mandelik, M. M. Mayfield, L. A. Morandin, S. G. Potts, T. H. Ricketts, H. Szentgyorgyi, B. F. Viana, C. Westphal, R. Winfree, and A. M. Klein. 2011. Stability of pollination services decreases with isolation from natural areas despite honey bee visits. Ecology Letters 14:1062-1072.</t>
  </si>
  <si>
    <t>Gradish, A. E., C. D. Scott-Dupree, A. J. Frewin, and G. C. Cutler. 2012. Lethal and sublethal effects of some insecticides recommended for wild blueberry on the pollinator Bombus impatiens. Canadian Entomologist 144:478-486.</t>
  </si>
  <si>
    <t>Jones, K. N. and S. M. Klemetti. 2012. Managing marginal populations of the rare wetland plant Trollius laxus Salisbury (spreading globeflower): consideration of light levels, herbivory, and pollination. Northeastern Naturalist 19:267-278.</t>
  </si>
  <si>
    <t>Kennedy, C. M., E. Lonsdorf, M. C. Neel, N. M. Williams, T. H. Ricketts, R. Winfree, R. Bommarco, C. Brittain, A. L. Burley, and D. Cariveau. 2013. A global quantitative synthesis of local and landscape effects on wild bee pollinators in agroecosystems. Ecology Letters 16:584-599.</t>
  </si>
  <si>
    <t>Moisan-DeSerres, J., M. Chagnon, and V. Fournier. 2014. Influence of windbreaks and forest borders on abundance and species richness of native pollinators in lowbush blueberry fields in Québec, Canada. The Canadian Entomologist:1-11.</t>
  </si>
  <si>
    <t>Plowright, R. C. and F. H. Rodd. 1980. The effect of aerial insecticide spraying on hymenopterous pollinators in New Brunswick. The Canadian Entomologist 112:259-269.</t>
  </si>
  <si>
    <t>Ricketts, T. H., J. Regetz, I. Steffan-Dewenter, S. A. Cunningham, C. Kremen, A. Bogdanski, B. Gemmill-Herren, S. S. Greenleaf, A. M. Klein, and M. M. Mayfield. 2008. Landscape effects on crop pollination services: are there general patterns? Ecology Letters 11:499-515.</t>
  </si>
  <si>
    <t>Thijs, K. W., R. Brys, H. A. F. Verboven, and M. Hermy. 2012. The influence of an invasive plant species on the pollination success and reproductive output of three riparian plant species. Biological Invasions 14:355-365.</t>
  </si>
  <si>
    <t>Westphal, C., I. Steffan-Dewenter, and T. Tscharntke. 2006. Foraging trip duration of bumblebees in relation to landscape‐wide resource availability. Ecological Entomology 31:389-394.</t>
  </si>
  <si>
    <r>
      <t>Kevan, P. G. 1975. Forest application of the insecticide Fenitrothion and its effect on wild bee pollinators (Hymenoptera: Apoidea) of lowbush blueberries (</t>
    </r>
    <r>
      <rPr>
        <i/>
        <sz val="10"/>
        <rFont val="Arial Narrow"/>
        <family val="2"/>
      </rPr>
      <t>Vaccinium</t>
    </r>
    <r>
      <rPr>
        <sz val="10"/>
        <rFont val="Arial Narrow"/>
        <family val="2"/>
      </rPr>
      <t xml:space="preserve"> spp.) in Southern New Brunswick, Canada. Biological Conservation 7:301-309.</t>
    </r>
  </si>
  <si>
    <t>Brandt, E. C., J. E. Petersen, J. J. Grossman, G. A. Allen, and D. H. Benzing. 2015. Relationships between spatial metrics and plant diversity in constructed freshwater wetlands. Plos One 10:e0135917.</t>
  </si>
  <si>
    <t>Catford, J. A., B. J. Downes, C. J. Gippel, and P. A. Vesk. 2011. Flow regulation reduces native plant cover and facilitates exotic invasion in riparian wetlands. Journal of Applied Ecology 48:432-442.</t>
  </si>
  <si>
    <t>de Szalay, F. A. and V. H. Resh. 1997. Responses of wetland invertebrates and plants important in waterfowl diets to burning and mowing of emergent vegetation. Wetlands 17:149-156.</t>
  </si>
  <si>
    <t>Houlahan, J. E. and C. S. Findlay. 2004. Effect of invasive plant species on temperate wetland plant diversity. Conservation Biology 18:1132-1138.</t>
  </si>
  <si>
    <t>Johnson, A. M. and D. J. Leopold. 1994. Vascular plant species richness and rarity across a minerotrophic gradient in wetlands of St. Lawrence County, New York, USA. Biodiversity &amp; Conservation 3:606-627.</t>
  </si>
  <si>
    <t>Matthews, J. W. 2004. Effects of site and species characteristics on nested patterns of species composition in sedge meadows. Plant Ecology 174:271-278.</t>
  </si>
  <si>
    <t>Peintinger, M., A. Bergamini, and B. Schmid. 2003. Species-area relationships and nestedness of four taxonomic groups in fragmented wetlands. Basic and Applied Ecology 4:385-394.</t>
  </si>
  <si>
    <t>Schooler, S. S., P. B. McEvoy, and E. M. Coombs. 2006. Negative per capita effects of purple loosestrife and reed canary grass on plant diversity of wetland communities. Diversity and Distributions 12:351-363.</t>
  </si>
  <si>
    <t>Weiher, E. and C. W. Boylen. 1994. Patterns and prediction of alpha-diversity and beta-diversity of aquatic plants in Adirondack (New York) Lakes. Canadian Journal of Botany 72:1797-1804.</t>
  </si>
  <si>
    <t>Woodcock, T., J. Longcore, D. McAuley, T. Mingo, C. R. Bennatti, and K. Stromborg. 2005. The role of pH in structuring communities of Maine wetland macrophytes and chironomid larvae (Diptera). Wetlands 25:306-316.</t>
  </si>
  <si>
    <t>Zedler, J. B. and S. Kercher. 2004. Causes and consequences of invasive plants in wetlands: opportunities, opportunists, and outcomes. Critical Reviews in Plant Sciences 23:431-452.</t>
  </si>
  <si>
    <t>Baldwin, L. K. and G. E. Bradfield. 2005. Bryophyte community differences between edge and interior environments in temperate rain-forest fragments of coastal British Columbia. Canadian Journal of Forest Research 35:580-592.</t>
  </si>
  <si>
    <t xml:space="preserve">Carbon from marshes and fens is often more biodegradable (and thus more exportable and valuable to food chains over a wider area) than bog and forested wetland carbon (D’Amore et al. 2010). The same may be true of riparian shrub/forest wetlands, and their connectivity to other water bodies is usually greater, potentially leading to greater export (Dalva &amp; Moore 1991). Bogs usually have the largest amounts of carbon in storage (as peat), and some bogs fix carbon more readily than more fertile wetlands (fens) (Moore 1989, Glenn et al. 2006), but connectivity to other water bodies is generally less than other wetland types, with carbon being exported mainly in dissolved form via groundwater. </t>
  </si>
  <si>
    <r>
      <t>Gallant, D., C. H. Berube, E. Tremblay, and L. Vasseur. 2004. An extensive study of the foraging ecology of beavers (</t>
    </r>
    <r>
      <rPr>
        <i/>
        <sz val="10"/>
        <rFont val="Arial Narrow"/>
        <family val="2"/>
        <scheme val="minor"/>
      </rPr>
      <t>Castor canadensis</t>
    </r>
    <r>
      <rPr>
        <sz val="10"/>
        <rFont val="Arial Narrow"/>
        <family val="2"/>
        <scheme val="minor"/>
      </rPr>
      <t>) in relation to habitat quality. Canadian Journal of Zoology 82:922-933.</t>
    </r>
  </si>
  <si>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</si>
  <si>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r>
      <t xml:space="preserve">Mark </t>
    </r>
    <r>
      <rPr>
        <b/>
        <sz val="10"/>
        <rFont val="Arial Narrow"/>
        <family val="2"/>
      </rPr>
      <t>ALL</t>
    </r>
    <r>
      <rPr>
        <sz val="10"/>
        <rFont val="Arial Narrow"/>
        <family val="2"/>
      </rPr>
      <t xml:space="preserve"> the types that comprise </t>
    </r>
    <r>
      <rPr>
        <b/>
        <sz val="10"/>
        <rFont val="Arial Narrow"/>
        <family val="2"/>
      </rPr>
      <t>&gt;5% of the woody canopy</t>
    </r>
    <r>
      <rPr>
        <sz val="10"/>
        <rFont val="Arial Narrow"/>
        <family val="2"/>
      </rPr>
      <t xml:space="preserve"> cover </t>
    </r>
    <r>
      <rPr>
        <b/>
        <sz val="10"/>
        <rFont val="Arial Narrow"/>
        <family val="2"/>
      </rPr>
      <t xml:space="preserve">in the AA </t>
    </r>
    <r>
      <rPr>
        <sz val="10"/>
        <rFont val="Arial Narrow"/>
        <family val="2"/>
      </rPr>
      <t xml:space="preserve">or &gt;5% of the </t>
    </r>
    <r>
      <rPr>
        <b/>
        <sz val="10"/>
        <rFont val="Arial Narrow"/>
        <family val="2"/>
      </rPr>
      <t xml:space="preserve">wooded areas </t>
    </r>
    <r>
      <rPr>
        <sz val="10"/>
        <rFont val="Arial Narrow"/>
        <family val="2"/>
      </rPr>
      <t>(if any) along its</t>
    </r>
    <r>
      <rPr>
        <b/>
        <sz val="10"/>
        <rFont val="Arial Narrow"/>
        <family val="2"/>
      </rPr>
      <t xml:space="preserve"> upland edge (perimeter). </t>
    </r>
    <r>
      <rPr>
        <sz val="10"/>
        <rFont val="Arial Narrow"/>
        <family val="2"/>
      </rPr>
      <t xml:space="preserve"> The edge should include only the trees whose canopies extend into the AA.</t>
    </r>
  </si>
  <si>
    <t>The percentage of the AA's shrub plus ground cover that contains nitrogen-fixing plants (e.g., alder, bayberry, clover, lupine, alfalfa, other legumes) is:</t>
  </si>
  <si>
    <r>
      <t xml:space="preserve">&lt;5% of the vegetated part of the AA or &lt;0.01 hectare (whichever is less). Mark "1" here and </t>
    </r>
    <r>
      <rPr>
        <b/>
        <sz val="10"/>
        <rFont val="Arial Narrow"/>
        <family val="2"/>
      </rPr>
      <t>SKIP to F20</t>
    </r>
    <r>
      <rPr>
        <sz val="10"/>
        <rFont val="Arial Narrow"/>
        <family val="2"/>
      </rPr>
      <t xml:space="preserve"> (Invasive Plant Cover).</t>
    </r>
  </si>
  <si>
    <t>bare or nearly bare pervious surface or managed vegetation, e.g., lawn, row crops, unpaved road, dike, landslide.</t>
  </si>
  <si>
    <t>Owned by non-profit conservation organization, First Nations, or a private lease holder which allows public access.</t>
  </si>
  <si>
    <t>Owned by non-profit conservation organization, First Nations, or a private lease holder which does NOT allow public access, or access status unknown.</t>
  </si>
  <si>
    <t>Deposition of only 0.25 to 0.5 centimeter of new sediment has been shown to significantly reduce species richness, emergence, and germination of wetland plants (Gleason et al. 2001),</t>
  </si>
  <si>
    <t>Gleason, R.A. 2001. Invertebrate egg and plant seedbanks in natural, restored, and drained wetlands in the prairie pothole region and potential effects of sedimentation on recolonization of hydrophytes and aquatic invertebrates. Ph.D. dissertation, South Dakota State Univ., Brookings, SD.</t>
  </si>
  <si>
    <t>Increased dominance by fewer species, such as cattail and various invasive plants, often results from increased salinity in normally non-saline wetlands, and results in decreased native plant richness (Gleason &amp; Euliss 1998).</t>
  </si>
  <si>
    <t>Gleason, R. A., and N. H. Euliss, Jr. 1998. Sedimentation of prairie wetlands. Great Plains Research 8(1):97–112.</t>
  </si>
  <si>
    <t>Salt20</t>
  </si>
  <si>
    <t>SedDep20</t>
  </si>
  <si>
    <r>
      <t xml:space="preserve">The total area of the AA including </t>
    </r>
    <r>
      <rPr>
        <b/>
        <sz val="10"/>
        <rFont val="Arial Narrow"/>
        <family val="2"/>
      </rPr>
      <t>ponded</t>
    </r>
    <r>
      <rPr>
        <sz val="10"/>
        <rFont val="Arial Narrow"/>
        <family val="2"/>
      </rPr>
      <t xml:space="preserve"> water within or adjoining it is:</t>
    </r>
  </si>
  <si>
    <t>The distance from the AA edge to the closest (but separate) pond or lake is:</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</si>
  <si>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</si>
  <si>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Arcement, G. J., Jr., and Schneider, V. R.  1989. Guide for selecting Mannings’s roughness coefficients for natural channels and floodplains.  Water-Supply Paper 2339, U.S. Geological Survey, Washington, DC.</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</si>
  <si>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</si>
  <si>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</si>
  <si>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</si>
  <si>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r>
      <t xml:space="preserve">is connected to nearby waters containing Atlantic salmon and is probably salmon-accessible during some conditions, but anadromous salmon have </t>
    </r>
    <r>
      <rPr>
        <b/>
        <sz val="10"/>
        <rFont val="Arial Narrow"/>
        <family val="2"/>
      </rPr>
      <t xml:space="preserve">not been documented in the AA. </t>
    </r>
    <r>
      <rPr>
        <b/>
        <sz val="10"/>
        <color rgb="FFFF0000"/>
        <rFont val="Arial Narrow"/>
        <family val="2"/>
      </rPr>
      <t/>
    </r>
  </si>
  <si>
    <t>10 - 50 m</t>
  </si>
  <si>
    <t>100 - 1000 m</t>
  </si>
  <si>
    <t>1- 2 km</t>
  </si>
  <si>
    <r>
      <t xml:space="preserve">&lt;5% of the water, or it occupies &lt;100 sq.m cumulatively. Nearly all the surface water is flowing. </t>
    </r>
    <r>
      <rPr>
        <b/>
        <sz val="10"/>
        <rFont val="Arial Narrow"/>
        <family val="2"/>
      </rPr>
      <t>SKIP to F34.</t>
    </r>
  </si>
  <si>
    <t xml:space="preserve">  road salt</t>
  </si>
  <si>
    <t>Does not bump into many plant stems as it travels through the AA. Nearly all the water continues to travel in unvegetated (often incised) channels that have minimal contact with wetland vegetation, or through a zone of open water such as an instream pond or lake.</t>
  </si>
  <si>
    <t>15-100 m</t>
  </si>
  <si>
    <t>Erosion Potential Upslope</t>
  </si>
  <si>
    <r>
      <t>none -- but maps show a stream or other water body that is downslope from the AA and within a distance that is less than the AA's length.</t>
    </r>
    <r>
      <rPr>
        <b/>
        <sz val="10"/>
        <rFont val="Arial Narrow"/>
        <family val="2"/>
      </rPr>
      <t xml:space="preserve"> SKIP to F44 (</t>
    </r>
    <r>
      <rPr>
        <sz val="10"/>
        <rFont val="Arial Narrow"/>
        <family val="2"/>
      </rPr>
      <t>Tributary Channel).</t>
    </r>
  </si>
  <si>
    <r>
      <t>no surface water flows out of the wetland except possibly during extreme events (&lt;once per 10 years). Or, water flows only into a wetland, ditch, or lake that lacks an outlet.</t>
    </r>
    <r>
      <rPr>
        <b/>
        <sz val="10"/>
        <rFont val="Arial Narrow"/>
        <family val="2"/>
      </rPr>
      <t xml:space="preserve"> SKIP to F47 </t>
    </r>
    <r>
      <rPr>
        <sz val="10"/>
        <rFont val="Arial Narrow"/>
        <family val="2"/>
      </rPr>
      <t>(pH Measurement).</t>
    </r>
  </si>
  <si>
    <r>
      <t xml:space="preserve">At least once annually, the AA receives surface water from a tributary </t>
    </r>
    <r>
      <rPr>
        <b/>
        <sz val="10"/>
        <rFont val="Arial Narrow"/>
        <family val="2"/>
      </rPr>
      <t xml:space="preserve">channel &gt;100 m long.  </t>
    </r>
    <r>
      <rPr>
        <sz val="10"/>
        <rFont val="Arial Narrow"/>
        <family val="2"/>
      </rPr>
      <t xml:space="preserve">If no, </t>
    </r>
    <r>
      <rPr>
        <b/>
        <sz val="10"/>
        <rFont val="Arial Narrow"/>
        <family val="2"/>
      </rPr>
      <t>SKIP to F47</t>
    </r>
    <r>
      <rPr>
        <sz val="10"/>
        <rFont val="Arial Narrow"/>
        <family val="2"/>
      </rPr>
      <t xml:space="preserve"> ( pH Measurement).</t>
    </r>
  </si>
  <si>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</si>
  <si>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</si>
  <si>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 xml:space="preserve">Other factors being equal, wetlands closer to the coast tend to be more fertile due to deposition of airborne nutrients from marine waters. This potentially supports higher invertebrate numbers and perhaps diversity. </t>
  </si>
  <si>
    <t xml:space="preserve">People are naturally drawn to this region's coastal shorelines for recreation and occasionally for relief from summer heat. </t>
  </si>
  <si>
    <t xml:space="preserve">                                                                                                 Resilience/ Recovery Duration - Site Fertility &amp; Climate</t>
  </si>
  <si>
    <r>
      <t xml:space="preserve">&gt;90% of the land. </t>
    </r>
    <r>
      <rPr>
        <b/>
        <sz val="10"/>
        <rFont val="Arial Narrow"/>
        <family val="2"/>
      </rPr>
      <t>SKIP to OF9.</t>
    </r>
  </si>
  <si>
    <r>
      <t xml:space="preserve">Draw a circle of radius of </t>
    </r>
    <r>
      <rPr>
        <b/>
        <sz val="10"/>
        <rFont val="Arial Narrow"/>
        <family val="2"/>
      </rPr>
      <t>5 km</t>
    </r>
    <r>
      <rPr>
        <sz val="10"/>
        <rFont val="Arial Narrow"/>
        <family val="2"/>
      </rPr>
      <t xml:space="preserve"> from the </t>
    </r>
    <r>
      <rPr>
        <b/>
        <sz val="10"/>
        <rFont val="Arial Narrow"/>
        <family val="2"/>
      </rPr>
      <t xml:space="preserve">center </t>
    </r>
    <r>
      <rPr>
        <sz val="10"/>
        <rFont val="Arial Narrow"/>
        <family val="2"/>
      </rPr>
      <t xml:space="preserve">of the AA. If mammals and amphibians can move from the center of the AA to </t>
    </r>
    <r>
      <rPr>
        <b/>
        <sz val="10"/>
        <rFont val="Arial Narrow"/>
        <family val="2"/>
      </rPr>
      <t xml:space="preserve">ALL </t>
    </r>
    <r>
      <rPr>
        <sz val="10"/>
        <rFont val="Arial Narrow"/>
        <family val="2"/>
      </rPr>
      <t xml:space="preserve">other separate wetlands and ponds located within the circle without being forced to cross pavement (any width), lawns, bare ground, and/or marine waters, mark 1= yes can move to all, 0= no. </t>
    </r>
    <r>
      <rPr>
        <b/>
        <sz val="10"/>
        <rFont val="Arial Narrow"/>
        <family val="2"/>
      </rPr>
      <t xml:space="preserve"> Change to blank if there are no </t>
    </r>
    <r>
      <rPr>
        <b/>
        <i/>
        <sz val="10"/>
        <rFont val="Arial Narrow"/>
        <family val="2"/>
      </rPr>
      <t xml:space="preserve">other </t>
    </r>
    <r>
      <rPr>
        <b/>
        <sz val="10"/>
        <rFont val="Arial Narrow"/>
        <family val="2"/>
      </rPr>
      <t>wetlands within 5 km.</t>
    </r>
  </si>
  <si>
    <t>Flood Zone</t>
  </si>
  <si>
    <t>Flood Damage</t>
  </si>
  <si>
    <t>OF36</t>
  </si>
  <si>
    <t>Fdamage</t>
  </si>
  <si>
    <t xml:space="preserve">Within the mapped Flood Zone, Flood Risk area, or area with known flood damage, ALL the following are true (If all true, enter “1” in next column. If false, enter "0")
(a) there are bridges, roads, buildings, or other infrastructure (not just farmlands) within 5 km downslope from the AA that are vulnerable to damaging floods;
(b) the damages would be caused mainly by rising river levels associated with precipitation and/or snowmelt, not primarily by high tides, hillslope runoff, or river ice jams, AND
(c) between the AA and the damage area, peak flow in a connecting channel (if any) is NOT regulated by dams.
</t>
  </si>
  <si>
    <t xml:space="preserve">Floodplain wetlands typically have high plant diversity because of the moderate disturbance created by greater fluctuating water levels, scour from ice, periodic sediment-moving floods, and connectivity to upstream sources of propagules. </t>
  </si>
  <si>
    <t>Colpitts, M., S. H. Fahmy, J. E. MacDougall, T.T.M. Ng, B. G. McInnis, and V. F. Zelazny. 1995. Forest Soils of New Brunswick. CLBBR Contribution No. 95-38. Centre for Land and Biological Resources Research, Agriculture and Agri-Food Canada, Fredericton, NB.</t>
  </si>
  <si>
    <t>New Brunswick's calcareous soils that are generally more fertile (Colpitts et al. 1995) tend to support more productive and often more diverse plant communities, as well as hosting several species with restricted distributions (Glaser 1992, Moore et. al. 1989).</t>
  </si>
  <si>
    <r>
      <t xml:space="preserve">Wetland has essentially no CA, e.g., isolated by dikes with no input channels, or is in terrain so flat that a CA can't be delineated. </t>
    </r>
    <r>
      <rPr>
        <b/>
        <sz val="10"/>
        <rFont val="Arial Narrow"/>
        <family val="2"/>
      </rPr>
      <t>SKIP TO OF27</t>
    </r>
    <r>
      <rPr>
        <sz val="10"/>
        <rFont val="Arial Narrow"/>
        <family val="2"/>
      </rPr>
      <t xml:space="preserve"> (Internal Gradient).</t>
    </r>
  </si>
  <si>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</si>
  <si>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Wetlands fed constantly by groundwater are likely to have only limited subsurface storage space for storing additional precipitation. However, they may remain unfrozen for shorter periods.</t>
    </r>
    <r>
      <rPr>
        <i/>
        <sz val="10"/>
        <rFont val="Arial Narrow"/>
        <family val="2"/>
      </rPr>
      <t xml:space="preserve"> In calculations, is excluded automatically (cell goes blank) if no strong evidence of groundwater (last choice).</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</si>
  <si>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</si>
  <si>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Wetlands with greater water depth overall tend to have cooler outflows (depending on elevation of the outlet) because water depth provides insulation from solar warming.</t>
    </r>
    <r>
      <rPr>
        <i/>
        <sz val="10"/>
        <rFont val="Arial Narrow"/>
        <family val="2"/>
      </rPr>
      <t xml:space="preserve"> In calculations, is excluded automatically (cell goes blank) if wetland never has surface water during an average year.</t>
    </r>
  </si>
  <si>
    <r>
      <t xml:space="preserve">Ponded water that is open and unvegetated it is more likely to be heated by the sun. </t>
    </r>
    <r>
      <rPr>
        <i/>
        <sz val="10"/>
        <rFont val="Arial Narrow"/>
        <family val="2"/>
      </rPr>
      <t xml:space="preserve">In calculations, is excluded automatically (cell goes blank) if wetland never has ponded surface water during an average year. </t>
    </r>
  </si>
  <si>
    <r>
      <t xml:space="preserve">The need to cool surface waters is likely to be greatest where streams are south-facing and thus are exposed longer each day to warming sunlight. </t>
    </r>
    <r>
      <rPr>
        <i/>
        <sz val="10"/>
        <rFont val="Arial Narrow"/>
        <family val="2"/>
      </rPr>
      <t xml:space="preserve">In calculations, is excluded automatically (cell goes blank) if wetland is larger than its apparent contributing area. </t>
    </r>
  </si>
  <si>
    <r>
      <t>Unshaded input streams provide more opportunity for wetlands to cool the water. Streams whose contributing areas have a greater extent of roads (road density) have higher temperatures. A study of 104 streams in British Columbia found there is a 6-in-10 chance that the summer maximum weekly average water temperature will increase by 2.3 degrees F if road density in the contributing area exceeds 27 ft of road per acre and by 5.8 degrees F if road density exceeds 53 ft of road per acre (Nelitz et al. 2007). However, overall vegetation patterns in a watershed frequently have an equal or greater influence on stream temperature and aquatic productivity than vegetation just within buffer areas adjoining a stream (Brosofske et al. 1997, Sridhar et al. 2004, Stephenson &amp; Morin 2009). One study found that maximum air temperature within a 100-ft wooded buffer was only slightly cooler than in a 16-ft wide wooded buffer (Meleason &amp; Quinn 2004). Vegetated buffers along north-south streams in British Columbia are more effective than those oriented east-west (Gomi et al. 2006).</t>
    </r>
    <r>
      <rPr>
        <i/>
        <sz val="10"/>
        <rFont val="Arial Narrow"/>
        <family val="2"/>
      </rPr>
      <t xml:space="preserve"> In calculations, is excluded automatically (cell goes blank) if wetland has no input tributary.</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</si>
  <si>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</si>
  <si>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a wetland's surface water area expands seasonally, water velocity is often reduced due to increased friction, and material suspended in the expanding water body is more likely to be deposited. The model ignores this indicator if the wetland has no outlet (channel or overbank), because then all water and sediment suspended in it is stored.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</si>
  <si>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</si>
  <si>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</si>
  <si>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</si>
  <si>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</si>
  <si>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</si>
  <si>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</si>
  <si>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</si>
  <si>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</si>
  <si>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</si>
  <si>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Because of their physical structure and setting, some upland soils are intrinsically more erodible than others having the same vegetation cover and exposed to the same precipitation intensity. Wetlands located below such erodible soils have more opportunity to trap the phosphorus carried in with the eroded soils and thus can be considered more valuable as phosphorus processors. </t>
    </r>
    <r>
      <rPr>
        <i/>
        <sz val="10"/>
        <rFont val="Arial Narrow"/>
        <family val="2"/>
      </rPr>
      <t>In calculations, is excluded automatically (cell goes blank) if wetland is larger than its contributing area.</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</si>
  <si>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</si>
  <si>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Higher levels of P are commonly associated with higher levels of conductivity and TDS.  Higher P concentrations indicate more opportunity for the wetland to retain P, thus making its provision of this service more valuable to downstream waters.   </t>
    </r>
    <r>
      <rPr>
        <i/>
        <sz val="10"/>
        <rFont val="Arial Narrow"/>
        <family val="2"/>
      </rPr>
      <t>In calculations, is assigned score of 1 if TDS&gt;300 mg/L or conductivity is &gt;200 µS/cm or if plants indicate highly saline conditions.  In calculations, is excluded automatically (cell goes blank and ignored in model calculations) if not measured or lower levels are present.</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</si>
  <si>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</si>
  <si>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</si>
  <si>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</si>
  <si>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</si>
  <si>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</si>
  <si>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</si>
  <si>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</si>
  <si>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</si>
  <si>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</si>
  <si>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</si>
  <si>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Fixed carbon tends to cycle more rapidly in deciduous plant litter, thus supporting less sequestration. </t>
    </r>
    <r>
      <rPr>
        <i/>
        <sz val="10"/>
        <rFont val="Arial Narrow"/>
        <family val="2"/>
      </rPr>
      <t>In calculations, is excluded automatically (cell goes blank) if woody vegetation is absent. Otherwise, score is the reciprocal of the maximum deciduous cover among the 3 height classes, normalized to 0-1 scale.</t>
    </r>
  </si>
  <si>
    <r>
      <t xml:space="preserve">Larger trees represent larger stores of sequestered carbon, but younger trees fix and accumulate carbon more rapidly (Anwar 2001, Ryan 2005). In New Brunswick, natural stands of sugar maple or yellow birch are believed to sequester the most carbon (Neilson et al. 2007). However, evergreen foliage from coniferous species tends to foster acidic conditions which slow the decomposition of organic matter (Collins and Kuehl 2001), thus leading to greater carbon sequestration. Acidic conditions and/or slowly-decomposing (recalcitrant) evergreen vegetation also can repress both methane generation (Valentine et al. 1994, Updegraff et al. 1995) and methane oxidation, but not necessarily CO2 emissions (Bridgham &amp; Richardson 2003). Carbon can be sequestered more effectively under such conditions (Blanco-Canqui &amp; Lal 2004). The formula used here gives equal weight to the variety of classes and increasing mean diameter. </t>
    </r>
    <r>
      <rPr>
        <i/>
        <sz val="10"/>
        <rFont val="Arial Narrow"/>
        <family val="2"/>
      </rPr>
      <t>In calculations, is excluded automatically (cell goes blank) if few or no trees of any kind are present.</t>
    </r>
  </si>
  <si>
    <r>
      <t xml:space="preserve">Accumulation of carbon as peat is fostered by persistently high water tables or flooded conditions, due to the anaerobic and acidic conditions which slow decay of organic matter (Belyea &amp; Malmer 2004). However, persistently high water tables also increase carbon loss from emissions of methane (Glatzel et al. 2004, Keller et al. 2004, Pelletier et al. 2007, Altor &amp; Mitsch 2008) and occasionally CO2,  although a Saskatchewan study found greater methane release from wetlands flooded for short periods each year than from those flooded semi-permanently (Pennock et al. 2010). Methane emissions in one study occurred mostly when water content of the soil exceeded 25% (Smith et al. 2000). </t>
    </r>
    <r>
      <rPr>
        <i/>
        <sz val="10"/>
        <rFont val="Arial Narrow"/>
        <family val="2"/>
      </rPr>
      <t>In calculations, is excluded automatically (cell goes blank) if wetland never has surface water during an average year.</t>
    </r>
    <r>
      <rPr>
        <sz val="10"/>
        <rFont val="Arial Narrow"/>
        <family val="2"/>
      </rPr>
      <t xml:space="preserve"> </t>
    </r>
  </si>
  <si>
    <r>
      <t>At least in riverine wetlands, overall “average” methane emission from hydrologically pulsed sites may be less than that from sites where inundation is permanent (Mitsch et al. 2005, Altor &amp; Mitsch 2008). Flooding from seasonally connected water bodies also promotes greater plant productivity, which provides more organic matter that potentially can be stored.</t>
    </r>
    <r>
      <rPr>
        <i/>
        <sz val="10"/>
        <rFont val="Arial Narrow"/>
        <family val="2"/>
      </rPr>
      <t xml:space="preserve"> In calculations, is excluded automatically (cell goes blank) if wetland never has surface water during an average year. </t>
    </r>
  </si>
  <si>
    <r>
      <t xml:space="preserve">Very large water level fluctuations can reduce plant productivity and increase the release of methane. Maintaining steadily moist conditions (i.e., little or no water level fluctuation) may minimize methane releases (Tuittila et al. 2000, Price et al. 2003). </t>
    </r>
    <r>
      <rPr>
        <i/>
        <sz val="10"/>
        <rFont val="Arial Narrow"/>
        <family val="2"/>
      </rPr>
      <t>In calculations, is excluded automatically (cell goes blank) if wetland never has surface water during an average year, or if none of it floods only seasonally.</t>
    </r>
  </si>
  <si>
    <r>
      <t xml:space="preserve">Waters that are persistently deeper than 2 ft, and especially deeper than 6 ft, usually support much less vascular plant production which otherwise could be sequestered while acidifying the soil and thus dampening methane emissions. In a flooded pasture of wild hay, plant production declined if continual flooding exceeded 50 days at a depth of 7 inches (Rumberg &amp; Sawyer 1965). On the other hand, methane emissions can decrease with increasing depth of surface water over the range of 0 to 1m depth (Pelletier et al. 2007, Cheng et al. 2007). One study found methane emissions were greater from a lake than a bog (Edwards et al. 2001). </t>
    </r>
    <r>
      <rPr>
        <i/>
        <sz val="10"/>
        <rFont val="Arial Narrow"/>
        <family val="2"/>
      </rPr>
      <t xml:space="preserve">In calculations, is excluded automatically (cell goes blank) if wetland never has surface water during an average year. </t>
    </r>
  </si>
  <si>
    <r>
      <t xml:space="preserve">Aquatic plants, especially those in acidic environments and/or with fibrous tissue, usually add more carbon to wetlands than they lose in the form of CO2 from decomposition. They also trap and deposit particulate carbon carried into a wetland from upslope. However, decomposition of the organic matter from plants in some wetlands generates methane. Methane emissions per unit area can be high in floating mats of vegetation (Moosavi et al. 1996) and in shallow areas with dense cover of vascular plants (Smith et al. 2000, Cheng et al. 2007) whose roots facilitate the movement of methane from soils to the surface, as compared with lower methane emissions in areas of open water (Rose &amp; Crumpton 2006) or mats of submersed aquatic vegetation (Smith et al. 2000). Nonetheless, at least in restored wetlands, the net effect on carbon balance over a projected 33-year period is sequestration (Badiou 2011). </t>
    </r>
    <r>
      <rPr>
        <i/>
        <sz val="10"/>
        <rFont val="Arial Narrow"/>
        <family val="2"/>
      </rPr>
      <t>In calculations, is excluded automatically (cell goes blank) if wetland never has ponded surface water during an average year.</t>
    </r>
  </si>
  <si>
    <r>
      <t xml:space="preserve">Wider bands of vegetation represent more biomass to be sequestered, and are more effective in trapping organic matter carried to the wetland by upland runoff. </t>
    </r>
    <r>
      <rPr>
        <i/>
        <sz val="10"/>
        <rFont val="Arial Narrow"/>
        <family val="2"/>
      </rPr>
      <t>In calculations, is excluded automatically (cell goes blank) if wetland never has surface water during an average year, or no open water.</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</si>
  <si>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</si>
  <si>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</si>
  <si>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Flowing rather than ponded waters provide the most opportunity for organic matter to be exported from wetlands (Urban et al. 1989, Dalva &amp; Moore 1991). In some regions, flowing waters also tend to be more productive because nutrients from further upstream are continually introduced into the wetland and replenished. </t>
    </r>
    <r>
      <rPr>
        <i/>
        <sz val="10"/>
        <rFont val="Arial Narrow"/>
        <family val="2"/>
      </rPr>
      <t xml:space="preserve">In calculations, is excluded automatically (cell goes blank) if wetland never has surface water during an average year. </t>
    </r>
  </si>
  <si>
    <r>
      <t xml:space="preserve">Prolonged inundation can stifle plant productivity, whereas seasonal inundation encourages it, and is often associated with conditions that contribute to the export of organic matter, e.g., river floods. Seasonally high water levels promote decomposition (Bayley &amp; Mewhort, 2004) and thus facilitate the export of carbon. </t>
    </r>
    <r>
      <rPr>
        <i/>
        <sz val="10"/>
        <rFont val="Arial Narrow"/>
        <family val="2"/>
      </rPr>
      <t xml:space="preserve">In calculations, is excluded automatically (cell goes blank) if wetland never has surface water during an average year. </t>
    </r>
  </si>
  <si>
    <r>
      <t xml:space="preserve">Dynamic water levels in wetlands with outlets usually imply more productive wetlands and greater export of organic matter, whereas stable water levels typically imply less export. However, if water level fluctuations are too severe (e.g., greater than plant height) production of organic matter can diminish. </t>
    </r>
    <r>
      <rPr>
        <i/>
        <sz val="10"/>
        <rFont val="Arial Narrow"/>
        <family val="2"/>
      </rPr>
      <t>In calculations, is excluded automatically (cell goes blank) if wetland never has surface water during an average year, or if none of it floods only seasonally.</t>
    </r>
  </si>
  <si>
    <r>
      <t xml:space="preserve">Annual productivity is generally greater in shallower areas where light is more available and sediments are subject to aeration from wind mixing. </t>
    </r>
    <r>
      <rPr>
        <i/>
        <sz val="10"/>
        <rFont val="Arial Narrow"/>
        <family val="2"/>
      </rPr>
      <t xml:space="preserve">In calculations, is excluded automatically (cell goes blank) if wetland never has surface water during an average year. </t>
    </r>
  </si>
  <si>
    <r>
      <t xml:space="preserve">The probability that organic matter from wetland plants will be exported increases in relation to the percent of the inundated area containing such plants. </t>
    </r>
    <r>
      <rPr>
        <i/>
        <sz val="10"/>
        <rFont val="Arial Narrow"/>
        <family val="2"/>
      </rPr>
      <t xml:space="preserve">In calculations, is excluded automatically (cell goes blank) if wetland never has ponded surface water during an average year. </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</si>
  <si>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</si>
  <si>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The plant material from narrower (fringe) wetlands is often more vulnerable to transport into adjoining waters. However, wider wetlands represent larger total stores of organic matter available for waterborne export downstream or offsite (Pacific et al. 2010).</t>
    </r>
    <r>
      <rPr>
        <i/>
        <sz val="10"/>
        <rFont val="Arial Narrow"/>
        <family val="2"/>
      </rPr>
      <t xml:space="preserve"> In calculations, is excluded automatically (cell goes blank) if wetland never has surface water during an average year, or no open water.</t>
    </r>
  </si>
  <si>
    <r>
      <t xml:space="preserve">Areas of persistent water within or adjoining a wetland are necessary to provide refuge, spawning habitat, and travel corridors for all anadromous fish. However, areas of a wetland that dry out seasonally are also important so wetlands that are entirely comprised of persistent water may be no more important than those that have a mix of persistent water areas and seasonally-inundated-only areas. </t>
    </r>
    <r>
      <rPr>
        <i/>
        <sz val="10"/>
        <rFont val="Arial Narrow"/>
        <family val="2"/>
      </rPr>
      <t xml:space="preserve">In calculations, is excluded automatically (cell goes blank) if wetland never has surface water during an average year. </t>
    </r>
  </si>
  <si>
    <r>
      <t xml:space="preserve">Aquatic plants provide cover for fish, and support higher productivity of invertebrates fed upon by fish. However, as aquatic plants decay beneath winter ice, they can deprive fish of necessary oxygen. </t>
    </r>
    <r>
      <rPr>
        <i/>
        <sz val="10"/>
        <rFont val="Arial Narrow"/>
        <family val="2"/>
      </rPr>
      <t xml:space="preserve">In calculations, is excluded automatically (cell goes blank) if wetland never has surface water during an average year. </t>
    </r>
  </si>
  <si>
    <r>
      <t xml:space="preserve">Many studies have demonstrated that large woody debris is critically important to coho and steelhead. It provides cover and creates instream pools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</si>
  <si>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</si>
  <si>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</si>
  <si>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</si>
  <si>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</si>
  <si>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The second condition implies greater diversity of plants, which sometimes is associated with greater diversity of aquatic invertebrates. </t>
    </r>
    <r>
      <rPr>
        <i/>
        <sz val="10"/>
        <rFont val="Arial Narrow"/>
        <family val="2"/>
      </rPr>
      <t>In calculations, is excluded automatically (cell goes blank) if no exposed herbaceous vegetation in the wetland.</t>
    </r>
  </si>
  <si>
    <r>
      <t xml:space="preserve">Wetlands in which surface water persists longer are capable of supporting a wider variety of invertebrates, e.g., those that require many months or years to complete their life cycle, as well as those that mature more rapidly. Thus, wetlands with a proportionately large extent of persistent water may benefit a wide range of aquatic invertebrates. </t>
    </r>
    <r>
      <rPr>
        <i/>
        <sz val="10"/>
        <rFont val="Arial Narrow"/>
        <family val="2"/>
      </rPr>
      <t xml:space="preserve">In calculations, is excluded automatically (cell goes blank) if wetland never has surface water during an average year. </t>
    </r>
  </si>
  <si>
    <r>
      <t xml:space="preserve">The parts of a wetland that are inundated only seasonally may contain water long enough for many invertebrates to complete their life cycle, while providing fresh food resources (e.g., plant litter). They also tend to be shallower and less deficient in dissolved oxygen, making them suitable for a wider range of species. Seasonal fluctuations release nutrients bound up in wetland sediments, and stimulate the growth of new plants whose seeds have been dormant. However, some invertebrate taxa, such as those without winged adult stages living in isolated wetlands (bog pools), may not survive prolonged desiccation. </t>
    </r>
    <r>
      <rPr>
        <i/>
        <sz val="10"/>
        <rFont val="Arial Narrow"/>
        <family val="2"/>
      </rPr>
      <t xml:space="preserve">In calculations, is excluded automatically (cell goes blank) if wetland never has surface water during an average year. </t>
    </r>
  </si>
  <si>
    <r>
      <t xml:space="preserve">Dynamic water levels in wetlands with outlets usually imply more productive wetlands and greater export of organic matter, whereas stable water levels typically imply less export. However, if water level fluctuations are too severe (e.g., greater than plant height) production of organic matter can diminish. Also, more stable water levels may benefit aquatic invertebrates in regions where many streams and wetlands are prone to sudden fluctuations from melting snow and storms. </t>
    </r>
    <r>
      <rPr>
        <i/>
        <sz val="10"/>
        <rFont val="Arial Narrow"/>
        <family val="2"/>
      </rPr>
      <t>In calculations, is excluded automatically (cell goes blank) if wetland never has surface water during an average year, or if none of it floods only seasonally.</t>
    </r>
  </si>
  <si>
    <r>
      <t xml:space="preserve">Different invertebrate groups thrive at different water depths in boreal wetlands (Corcoran et al. 2009). Thus, a variety of depths may promote greater invertebrate richness for the wetland as a whole. </t>
    </r>
    <r>
      <rPr>
        <i/>
        <sz val="10"/>
        <rFont val="Arial Narrow"/>
        <family val="2"/>
      </rPr>
      <t xml:space="preserve">In calculations, is excluded automatically (cell goes blank) if wetland never has surface water during an average year. </t>
    </r>
  </si>
  <si>
    <r>
      <t>Emergent and submerged vegetation typically hosts extensive growths of epiphytic algae, which along with the supporting herbaceous plants, provide food and cover for a wide variety of invertebrates. Intermediate cover conditions allow more light penetration of the water column, higher algal productivity, greater oxygenation, and thus tend to support a wide variety of invertebrate groups.</t>
    </r>
    <r>
      <rPr>
        <i/>
        <sz val="10"/>
        <rFont val="Arial Narrow"/>
        <family val="2"/>
      </rPr>
      <t xml:space="preserve"> In calculations, is excluded automatically (cell goes blank) if wetland never has ponded surface water during an average year. </t>
    </r>
  </si>
  <si>
    <r>
      <t xml:space="preserve">Greater invertebrate diversity overall may be supported by wetlands with a relatively even mix of open water and vegetation, interspersed throughout. Such conditions reflect a variety of light, temperature, and oxygen regimes as well as edge habitats (ecotones) that together provide more niches for invertebrates.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</si>
  <si>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The importance of large wood to aquatic life has been widely documented in perennial streams (literature reviewed by Murphy 1995, May 2003, Wenger 2000, Knutson and Naef 1997) and in lakes (Roth et al. 2007). Many aquatic invertebrates attach to submerged wood and feed on algae and leaves associated with it. Constructed wetlands to which woody debris is added may support greater biomass or richness of several aquatic invertebrate groups (e.g., Alsfeld et al. 2009). Most instream wood originates in the parts of the riparian areas that are within 100 ft of a stream (McDade et al. 1990, Van Sickle &amp; Gregory 1990, Robison &amp; Beschta 1990, Meleason et al. 2003). </t>
    </r>
    <r>
      <rPr>
        <i/>
        <sz val="10"/>
        <rFont val="Arial Narrow"/>
        <family val="2"/>
      </rPr>
      <t xml:space="preserve">In calculations, is excluded automatically (cell goes blank) if wetland never has open surface water during an average year. </t>
    </r>
  </si>
  <si>
    <r>
      <t xml:space="preserve">Diffuse flow paths and large spatial complexity of channels within a wetland support a wider variety of microhabitats for invertebrates, so should result in greater species richness. </t>
    </r>
    <r>
      <rPr>
        <i/>
        <sz val="10"/>
        <rFont val="Arial Narrow"/>
        <family val="2"/>
      </rPr>
      <t>In calculations, is excluded automatically (cell goes blank) if wetland never has surface water during an average year or if no surface inflows.</t>
    </r>
  </si>
  <si>
    <r>
      <t>Groundwater provides a relatively steady input of nutrients (e.g., Morley et al. 2011). That can support greater algal production and consequently greater invertebrate production and perhaps diversity. It also provides relatively warm temperatures and helps sustain low flows, thus increasing annual production of invertebrates (Brown et al. 2007). However, where underlying geologic strata are iron-rich, groundwater discharge is often accompanied by precipitation of iron "floc" in wetland sediment, smothering aquatic invertebrates and reducing their diversity.</t>
    </r>
    <r>
      <rPr>
        <i/>
        <sz val="10"/>
        <rFont val="Arial Narrow"/>
        <family val="2"/>
      </rPr>
      <t xml:space="preserve"> In calculations, is excluded automatically (cell goes blank) if no evidence of groundwater influx; otherwise is rated based on response in column D.</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</si>
  <si>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</si>
  <si>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</si>
  <si>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</si>
  <si>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Tree cavities are needed by many nesting songbirds (Drapeau et al. 2009) and mammals such as roosting bats (Grindal &amp; Brigham 1999, Grindal et al. 1999). Tall snags are especially useful to raptors as hunting perches. </t>
    </r>
    <r>
      <rPr>
        <i/>
        <sz val="10"/>
        <rFont val="Arial Narrow"/>
        <family val="2"/>
      </rPr>
      <t xml:space="preserve">In calculations, is excluded automatically (cell goes blank) if wetland has few or no trees. </t>
    </r>
  </si>
  <si>
    <r>
      <t xml:space="preserve">Parts of wetlands that remain flooded most of the time will support fewer small mammals and songbirds due to lack of vertical structural complexity. Wetlands with at least a little persistent water are important to aerially-foraging swallows, swifts, and flycatchers, as well as bats, muskrat, beaver, moose, and many other mammals. </t>
    </r>
    <r>
      <rPr>
        <i/>
        <sz val="10"/>
        <rFont val="Arial Narrow"/>
        <family val="2"/>
      </rPr>
      <t xml:space="preserve">In calculations, is excluded automatically (cell goes blank) if wetland never has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</si>
  <si>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</si>
  <si>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</si>
  <si>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</si>
  <si>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</si>
  <si>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</si>
  <si>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</si>
  <si>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</si>
  <si>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</si>
  <si>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Strong dominance by one or a few species, even if those are natives, is sometimes an indicator of impaired ecological condition. However, newly created wetlands often have high richness of colonizing species.</t>
    </r>
    <r>
      <rPr>
        <i/>
        <sz val="10"/>
        <rFont val="Arial Narrow"/>
        <family val="2"/>
      </rPr>
      <t xml:space="preserve"> In calculations, is excluded automatically (cell goes blank) if little or no herbaceous cover is present.</t>
    </r>
  </si>
  <si>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</si>
  <si>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</si>
  <si>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</si>
  <si>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</si>
  <si>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</si>
  <si>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</si>
  <si>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</si>
  <si>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</si>
  <si>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 xml:space="preserve">was not measured but surface water is present and is darkly tea-coloured.  Or if no surface water, then mosses and plants that indicate peatland (e.g., Labrador tea) are prevalent. Enter "1". </t>
  </si>
  <si>
    <r>
      <t xml:space="preserve">Atlantic salmon eggs and smolts are particularly sensitive to low pH (Rosseland et al. 2001, McCormick et al. 2012). </t>
    </r>
    <r>
      <rPr>
        <i/>
        <sz val="10"/>
        <rFont val="Arial Narrow"/>
        <family val="2"/>
      </rPr>
      <t>If not measured or</t>
    </r>
    <r>
      <rPr>
        <sz val="10"/>
        <rFont val="Arial Narrow"/>
        <family val="2"/>
      </rPr>
      <t xml:space="preserve"> </t>
    </r>
    <r>
      <rPr>
        <i/>
        <sz val="10"/>
        <rFont val="Arial Narrow"/>
        <family val="2"/>
      </rPr>
      <t xml:space="preserve">If water is in the pH range of 5-9, the model ignores this indicator, but if pH is outside this range, the indicator score is set to 0.  If not measured but water is darkly tea-coloured, score is set to 0.5. </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</si>
  <si>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</si>
  <si>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</si>
  <si>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Holmquist, J., J. Jones, J. Schmidt-Gengenbach, L. Pierotti, and J. Love. 2011. Terrestrial and Aquatic Macroinvertebrate Assemblages as a Function of Wetland Type Across a Mountain Landscape. Institute of Arctic and Alpine Research, University of Colorado, Boulder, CO.</t>
  </si>
  <si>
    <t>Hornung, J. and A. L. Foote. 2006. Aquatic invertebrate responses to fish presence and vegetation complexity in Western Boreal wetlands, with implications for waterbird productivity. Wetlands 26:1-12.</t>
  </si>
  <si>
    <t>Wetlands with lower conductivity or TDS generally (but not always) have lower alkalinity, which otherwise would buffer the wetland's chemistry against large changes induced by acid rain.</t>
  </si>
  <si>
    <t xml:space="preserve">Low-pH wetlands are particularly sensitive to further acidification by acid rain.  They are often darkly tea-coloured due to tannins associated with humic acids. </t>
  </si>
  <si>
    <r>
      <t xml:space="preserve">Some types of surrounding land cover are more likely to produce propagules of invasive plants that may reduce native plant richness in an adjoining wetland. </t>
    </r>
    <r>
      <rPr>
        <i/>
        <sz val="10"/>
        <rFont val="Arial Narrow"/>
        <family val="2"/>
      </rPr>
      <t xml:space="preserve">In calculations, is excluded automatically (cell goes blank) if </t>
    </r>
    <r>
      <rPr>
        <i/>
        <sz val="10"/>
        <color rgb="FFFF0000"/>
        <rFont val="Arial Narrow"/>
        <family val="2"/>
      </rPr>
      <t>F52</t>
    </r>
    <r>
      <rPr>
        <i/>
        <sz val="10"/>
        <rFont val="Arial Narrow"/>
        <family val="2"/>
      </rPr>
      <t xml:space="preserve"> was answered "&gt;90%".</t>
    </r>
  </si>
  <si>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lmited area.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</si>
  <si>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</si>
  <si>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</si>
  <si>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 xml:space="preserve">Where most of the surface water is ponded, it is more likely to be heated by the sun than if distributed in the channels or residing underground. </t>
    </r>
    <r>
      <rPr>
        <i/>
        <sz val="10"/>
        <rFont val="Arial Narrow"/>
        <family val="2"/>
      </rPr>
      <t>This indicator is used only if some persistent surface water is present in the AA.</t>
    </r>
    <r>
      <rPr>
        <sz val="10"/>
        <rFont val="Arial Narrow"/>
        <family val="2"/>
      </rPr>
      <t xml:space="preserve"> </t>
    </r>
    <r>
      <rPr>
        <i/>
        <sz val="10"/>
        <rFont val="Arial Narrow"/>
        <family val="2"/>
      </rPr>
      <t>In calculations, is excluded automatically (cell goes blank) if wetland never has surface water during an average year.</t>
    </r>
  </si>
  <si>
    <r>
      <t>bumps into</t>
    </r>
    <r>
      <rPr>
        <b/>
        <sz val="10"/>
        <rFont val="Arial Narrow"/>
        <family val="2"/>
      </rPr>
      <t xml:space="preserve"> herbaceous </t>
    </r>
    <r>
      <rPr>
        <sz val="10"/>
        <rFont val="Arial Narrow"/>
        <family val="2"/>
      </rPr>
      <t>vegetation and mostly spreads throughout, or is in widely meandering, multi-branched, or braided channels.</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</si>
  <si>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</si>
  <si>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</si>
  <si>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r>
      <t xml:space="preserve">Sampling indicates a problem </t>
    </r>
    <r>
      <rPr>
        <sz val="10"/>
        <rFont val="Arial Narrow"/>
        <family val="2"/>
      </rPr>
      <t xml:space="preserve">with concentrations of </t>
    </r>
    <r>
      <rPr>
        <b/>
        <sz val="10"/>
        <rFont val="Arial Narrow"/>
        <family val="2"/>
      </rPr>
      <t>metals, hydrocarbons</t>
    </r>
    <r>
      <rPr>
        <sz val="10"/>
        <rFont val="Arial Narrow"/>
        <family val="2"/>
      </rPr>
      <t>,</t>
    </r>
    <r>
      <rPr>
        <b/>
        <sz val="10"/>
        <rFont val="Arial Narrow"/>
        <family val="2"/>
      </rPr>
      <t xml:space="preserve"> nutrients</t>
    </r>
    <r>
      <rPr>
        <sz val="10"/>
        <rFont val="Arial Narrow"/>
        <family val="2"/>
      </rPr>
      <t xml:space="preserve">, or other substances (excluding bacteria, high temperatures) being present at levels harmful to aquatic life or humans, and:  </t>
    </r>
  </si>
  <si>
    <t>The condition is present within the AA.</t>
  </si>
  <si>
    <t>Sampling during both low water periods and times with high runoff (storms, snowmelt) indicates no problems in either the AA or inflowing waters.</t>
  </si>
  <si>
    <r>
      <t xml:space="preserve">The problem described above is </t>
    </r>
    <r>
      <rPr>
        <b/>
        <sz val="10"/>
        <rFont val="Arial Narrow"/>
        <family val="2"/>
      </rPr>
      <t>downslope from</t>
    </r>
    <r>
      <rPr>
        <sz val="10"/>
        <rFont val="Arial Narrow"/>
        <family val="2"/>
      </rPr>
      <t xml:space="preserve"> the AA, and:</t>
    </r>
  </si>
  <si>
    <t>The condition is present within 5 km downslope and connected to the AA by a channel, or within 1 km but not connected to the AA by a channel.</t>
  </si>
  <si>
    <t>The condition is present within 1 km downslope and connected to the AA by a channel.</t>
  </si>
  <si>
    <r>
      <t xml:space="preserve">The condition is present in waters within 1 km that flow </t>
    </r>
    <r>
      <rPr>
        <b/>
        <sz val="10"/>
        <rFont val="Arial Narrow"/>
        <family val="2"/>
      </rPr>
      <t>into</t>
    </r>
    <r>
      <rPr>
        <sz val="10"/>
        <rFont val="Arial Narrow"/>
        <family val="2"/>
      </rPr>
      <t xml:space="preserve"> the AA, but has not been documented in the AA itself.</t>
    </r>
  </si>
  <si>
    <r>
      <t xml:space="preserve">Fish can negatively impact the density and perhaps diversity of invertebrates in a stream or wetland (Hornung &amp; Foote 2006). Disturbance of stream bottom sediments by spawning salmon can temporarily change the composition and abundance of the stream invertebrate community in a localized area (Moore &amp; Schindler 2008). The effects of substrate disturbance from spawning salmon disturbance on macroinvertebrates increases with increasing extent of a watershed that has recently been logged. Nonetheless, salmon carcasses can temporarily fertilize headwater streams over distances of up to 250 m downstream (Claeson et al. 2006). </t>
    </r>
    <r>
      <rPr>
        <i/>
        <sz val="10"/>
        <rFont val="Arial Narrow"/>
        <family val="2"/>
      </rPr>
      <t>In calculations, if wetland is fishless it is scored as a 1 but if fish present this indicator is ignored in model calculations.</t>
    </r>
  </si>
  <si>
    <t>The need for (and value of) sediment-trapping capacity (which is potentially provided by wetlands) is greater when upland runoff is rapid and erosive, as occurs when much of the contributing area contains unvegetated surface. However, a study in Alaska that compared total sediment yield in channels surrounded by old-growth, clear cut, and young alder found no significant difference in sediment yield (Gomi &amp; Sidle 2003). In calculations, is excluded automatically (cell goes blank) if wetland is larger than its contributing area.</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</si>
  <si>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</si>
  <si>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r>
      <rPr>
        <b/>
        <sz val="10"/>
        <rFont val="Arial Narrow"/>
        <family val="2"/>
      </rPr>
      <t>Swamp</t>
    </r>
    <r>
      <rPr>
        <sz val="10"/>
        <rFont val="Arial Narrow"/>
        <family val="2"/>
      </rPr>
      <t xml:space="preserve">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t>
    </r>
  </si>
  <si>
    <r>
      <t xml:space="preserve">&gt;90%, or all the area within 30 m of the AA edge is other wetlands. </t>
    </r>
    <r>
      <rPr>
        <b/>
        <sz val="10"/>
        <rFont val="Arial Narrow"/>
        <family val="2"/>
      </rPr>
      <t>SKIP to F55</t>
    </r>
    <r>
      <rPr>
        <sz val="10"/>
        <rFont val="Arial Narrow"/>
        <family val="2"/>
      </rPr>
      <t>.</t>
    </r>
  </si>
  <si>
    <r>
      <t xml:space="preserve">Taller vegetation (&gt;1m height) comprises 30-70% of the vegetated part of the AA and shorter vegetation (&lt;1m height) is scattered widely amid the taller. </t>
    </r>
    <r>
      <rPr>
        <b/>
        <sz val="10"/>
        <rFont val="Arial Narrow"/>
        <family val="2"/>
      </rPr>
      <t xml:space="preserve">OR </t>
    </r>
    <r>
      <rPr>
        <sz val="10"/>
        <rFont val="Arial Narrow"/>
        <family val="2"/>
      </rPr>
      <t xml:space="preserve">Shorter vegetation comprises 30-70% of the vegetated part of the AA, AND taller vegetation is scattered widely amid the shorter. </t>
    </r>
  </si>
  <si>
    <r>
      <t xml:space="preserve">Taller vegetation comprises 30-70% of the vegetated part of the AA and shorter vegetation is mainly segregated in zones or proportionately large clumps, not scattered widely amid the taller. </t>
    </r>
    <r>
      <rPr>
        <b/>
        <sz val="10"/>
        <rFont val="Arial Narrow"/>
        <family val="2"/>
      </rPr>
      <t xml:space="preserve">OR </t>
    </r>
    <r>
      <rPr>
        <sz val="10"/>
        <rFont val="Arial Narrow"/>
        <family val="2"/>
      </rPr>
      <t xml:space="preserve">Shorter vegetation comprises 30-70% of the vegetated part of the AA and taller vegetation is mainly in zones or proportionately large clumps, not scattered widely amid the taller. </t>
    </r>
  </si>
  <si>
    <r>
      <t xml:space="preserve">Taller vegetation comprises &gt;70% of the vegetated part of the AA and shorter vegetation is scattered widely amid the taller. </t>
    </r>
    <r>
      <rPr>
        <b/>
        <sz val="10"/>
        <rFont val="Arial Narrow"/>
        <family val="2"/>
      </rPr>
      <t>OR</t>
    </r>
    <r>
      <rPr>
        <sz val="10"/>
        <rFont val="Arial Narrow"/>
        <family val="2"/>
      </rPr>
      <t xml:space="preserve"> Shorter vegetation comprises &gt;70% of the vegetated part of the AA, AND taller vegetation (if any) is scattered widely amid the shorter. </t>
    </r>
  </si>
  <si>
    <r>
      <t xml:space="preserve">Taller vegetation comprises &gt;70% of the vegetated part of the AA and shorter vegetation is absent or is mainly segregated in zones or proportionately large clumps, not scattered widely amid the taller. </t>
    </r>
    <r>
      <rPr>
        <b/>
        <sz val="10"/>
        <rFont val="Arial Narrow"/>
        <family val="2"/>
      </rPr>
      <t xml:space="preserve">OR </t>
    </r>
    <r>
      <rPr>
        <sz val="10"/>
        <rFont val="Arial Narrow"/>
        <family val="2"/>
      </rPr>
      <t xml:space="preserve">Shorter vegetation comprises &gt;70% of the vegetated part of the AA and taller vegetation is absent or is mainly in zones or proportionately large clumps, not scattered widely amid the taller. </t>
    </r>
  </si>
  <si>
    <r>
      <t xml:space="preserve">None, or &lt;1% of the AA and largest pool occupies &lt;0.01 hectares. Enter "1" and </t>
    </r>
    <r>
      <rPr>
        <b/>
        <sz val="10"/>
        <rFont val="Arial Narrow"/>
        <family val="2"/>
      </rPr>
      <t>SKIP to F41</t>
    </r>
    <r>
      <rPr>
        <sz val="10"/>
        <rFont val="Arial Narrow"/>
        <family val="2"/>
      </rPr>
      <t xml:space="preserve"> (Floating Algae &amp; Duckweed).</t>
    </r>
  </si>
  <si>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</si>
  <si>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</si>
  <si>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Sphagnum Moss Extent</t>
  </si>
  <si>
    <r>
      <t xml:space="preserve">&lt;1% AND &lt;0.01 hectare (about 10 m on a side) never has surface water. In other words, </t>
    </r>
    <r>
      <rPr>
        <b/>
        <sz val="10"/>
        <rFont val="Arial Narrow"/>
        <family val="2"/>
      </rPr>
      <t>all or nearly all of the AA is covered by water permanently</t>
    </r>
    <r>
      <rPr>
        <sz val="10"/>
        <rFont val="Arial Narrow"/>
        <family val="2"/>
      </rPr>
      <t xml:space="preserve"> </t>
    </r>
    <r>
      <rPr>
        <b/>
        <sz val="10"/>
        <rFont val="Arial Narrow"/>
        <family val="2"/>
      </rPr>
      <t xml:space="preserve">or at least seasonally.  </t>
    </r>
  </si>
  <si>
    <r>
      <t xml:space="preserve">100%. True for many bogs, meadow marshes, swamps that lack vernal pools.  Enter "1" and </t>
    </r>
    <r>
      <rPr>
        <b/>
        <sz val="10"/>
        <rFont val="Arial Narrow"/>
        <family val="2"/>
      </rPr>
      <t xml:space="preserve">SKIP to F42 </t>
    </r>
    <r>
      <rPr>
        <sz val="10"/>
        <rFont val="Arial Narrow"/>
        <family val="2"/>
      </rPr>
      <t>(Channel Connection).</t>
    </r>
  </si>
  <si>
    <t xml:space="preserve">None, or &lt;0.01 hectare and &lt;1% of the AA. </t>
  </si>
  <si>
    <r>
      <t xml:space="preserve">% of Water That Is </t>
    </r>
    <r>
      <rPr>
        <b/>
        <sz val="11"/>
        <rFont val="Arial Narrow"/>
        <family val="2"/>
      </rPr>
      <t xml:space="preserve">Ponded </t>
    </r>
    <r>
      <rPr>
        <sz val="11"/>
        <rFont val="Arial Narrow"/>
        <family val="2"/>
      </rPr>
      <t>(not Flowing)</t>
    </r>
  </si>
  <si>
    <r>
      <t xml:space="preserve">During most of the growing season, the largest patch of </t>
    </r>
    <r>
      <rPr>
        <b/>
        <sz val="10"/>
        <rFont val="Arial Narrow"/>
        <family val="2"/>
      </rPr>
      <t>open water</t>
    </r>
    <r>
      <rPr>
        <sz val="10"/>
        <rFont val="Arial Narrow"/>
        <family val="2"/>
      </rPr>
      <t xml:space="preserve"> that is ponded and is in or bordering the AA is &gt;0.01 hectare (about 10 m by 10 m) and mostly deeper than 0.5 m. If true enter "1" and continue,  If false, enter "0" and </t>
    </r>
    <r>
      <rPr>
        <b/>
        <sz val="10"/>
        <rFont val="Arial Narrow"/>
        <family val="2"/>
      </rPr>
      <t>SKIP to F41</t>
    </r>
    <r>
      <rPr>
        <sz val="10"/>
        <rFont val="Arial Narrow"/>
        <family val="2"/>
      </rPr>
      <t xml:space="preserve"> (Floating Algae &amp; Duckweed).</t>
    </r>
  </si>
  <si>
    <t>WETLAND RISK (average of Sensitivity &amp; Stressors)</t>
  </si>
  <si>
    <t xml:space="preserve">  vegetation removal within the wetland that raised the water table (e.g., logging) or caused peat to subside (drainage, fire)</t>
  </si>
  <si>
    <r>
      <t xml:space="preserve">From "duck's eye" (aerial) view, the area of </t>
    </r>
    <r>
      <rPr>
        <b/>
        <sz val="10"/>
        <rFont val="Arial Narrow"/>
        <family val="2"/>
      </rPr>
      <t xml:space="preserve">herbaceous </t>
    </r>
    <r>
      <rPr>
        <sz val="10"/>
        <rFont val="Arial Narrow"/>
        <family val="2"/>
      </rPr>
      <t xml:space="preserve">vegetation (grasslike plants, </t>
    </r>
    <r>
      <rPr>
        <b/>
        <sz val="10"/>
        <rFont val="Arial Narrow"/>
        <family val="2"/>
      </rPr>
      <t>excluding</t>
    </r>
    <r>
      <rPr>
        <sz val="10"/>
        <rFont val="Arial Narrow"/>
        <family val="2"/>
      </rPr>
      <t xml:space="preserve"> moss &amp; ferns) in the Assessment Area (AA) plus in any contiguous herbaceous wetland is:</t>
    </r>
  </si>
  <si>
    <t>Definitions/Explanations</t>
  </si>
  <si>
    <r>
      <rPr>
        <b/>
        <sz val="10"/>
        <rFont val="Arial Narrow"/>
        <family val="2"/>
      </rPr>
      <t>Including</t>
    </r>
    <r>
      <rPr>
        <sz val="10"/>
        <rFont val="Arial Narrow"/>
        <family val="2"/>
      </rPr>
      <t xml:space="preserve"> the AA's vegetated area, the largest patch or corridor that is unmanaged vegetation cover (excluding lawn, row crops, heavily grazed lands, conifer plantation) and is </t>
    </r>
    <r>
      <rPr>
        <b/>
        <sz val="10"/>
        <rFont val="Arial Narrow"/>
        <family val="2"/>
      </rPr>
      <t xml:space="preserve">contiguous with </t>
    </r>
    <r>
      <rPr>
        <sz val="10"/>
        <rFont val="Arial Narrow"/>
        <family val="2"/>
      </rPr>
      <t xml:space="preserve">vegetation in the AA (i.e., not completely separated by highways or channels that are uniformly </t>
    </r>
    <r>
      <rPr>
        <b/>
        <sz val="10"/>
        <rFont val="Arial Narrow"/>
        <family val="2"/>
      </rPr>
      <t>wider than 50 m</t>
    </r>
    <r>
      <rPr>
        <sz val="10"/>
        <rFont val="Arial Narrow"/>
        <family val="2"/>
      </rPr>
      <t>), occupies:</t>
    </r>
  </si>
  <si>
    <r>
      <t xml:space="preserve">&lt;50 m, and </t>
    </r>
    <r>
      <rPr>
        <b/>
        <sz val="10"/>
        <rFont val="Arial Narrow"/>
        <family val="2"/>
      </rPr>
      <t xml:space="preserve">not </t>
    </r>
    <r>
      <rPr>
        <sz val="10"/>
        <rFont val="Arial Narrow"/>
        <family val="2"/>
      </rPr>
      <t xml:space="preserve">separated from the 375-ha vegetated area </t>
    </r>
    <r>
      <rPr>
        <b/>
        <sz val="10"/>
        <rFont val="Arial Narrow"/>
        <family val="2"/>
      </rPr>
      <t>by any width</t>
    </r>
    <r>
      <rPr>
        <sz val="10"/>
        <rFont val="Arial Narrow"/>
        <family val="2"/>
      </rPr>
      <t xml:space="preserve"> of roads, stretches of open water, row crops, bare ground, lawn, or impervious surface. Or the AA itself contains &gt;375 ha of vegetation. [</t>
    </r>
    <r>
      <rPr>
        <i/>
        <sz val="10"/>
        <rFont val="Arial Narrow"/>
        <family val="2"/>
      </rPr>
      <t>This is often the answer in relatively undeveloped landscapes</t>
    </r>
    <r>
      <rPr>
        <sz val="10"/>
        <rFont val="Arial Narrow"/>
        <family val="2"/>
      </rPr>
      <t>].</t>
    </r>
  </si>
  <si>
    <r>
      <t xml:space="preserve">Measured </t>
    </r>
    <r>
      <rPr>
        <b/>
        <sz val="10"/>
        <rFont val="Arial Narrow"/>
        <family val="2"/>
      </rPr>
      <t>along</t>
    </r>
    <r>
      <rPr>
        <sz val="10"/>
        <rFont val="Arial Narrow"/>
        <family val="2"/>
      </rPr>
      <t xml:space="preserve"> the maintained road nearest the AA, the distance to the nearest </t>
    </r>
    <r>
      <rPr>
        <b/>
        <sz val="10"/>
        <rFont val="Arial Narrow"/>
        <family val="2"/>
      </rPr>
      <t xml:space="preserve">population center </t>
    </r>
    <r>
      <rPr>
        <sz val="10"/>
        <rFont val="Arial Narrow"/>
        <family val="2"/>
      </rPr>
      <t>is:</t>
    </r>
  </si>
  <si>
    <r>
      <t xml:space="preserve">More than 75% of the AA's perimeter abuts upland. Any remainder adjoins other wetlands or water that is mostly wider than the AA.  </t>
    </r>
    <r>
      <rPr>
        <b/>
        <sz val="10"/>
        <rFont val="Arial Narrow"/>
        <family val="2"/>
      </rPr>
      <t xml:space="preserve">This will be true for most </t>
    </r>
    <r>
      <rPr>
        <sz val="10"/>
        <rFont val="Arial Narrow"/>
        <family val="2"/>
      </rPr>
      <t>assessments done with WESP-AC.</t>
    </r>
  </si>
  <si>
    <t xml:space="preserve">Within 100 m upstream or upslope from the AA, a stream channel, riverbank, or upland area is likely to have high potential for mass movement (slides or slumping) due to soil composition, slope, and exposure. Enter 1= yes, 0= no. </t>
  </si>
  <si>
    <r>
      <t xml:space="preserve">Data are insufficient (no or inadequate sampling within 1 km, or condition exists only at &gt;1 km upstream). </t>
    </r>
    <r>
      <rPr>
        <b/>
        <sz val="10"/>
        <rFont val="Arial Narrow"/>
        <family val="2"/>
      </rPr>
      <t>This is the situation for nearly all NB wetlands.</t>
    </r>
  </si>
  <si>
    <r>
      <t xml:space="preserve">The AA is within a mapped </t>
    </r>
    <r>
      <rPr>
        <b/>
        <sz val="10"/>
        <rFont val="Arial Narrow"/>
        <family val="2"/>
      </rPr>
      <t>Flood Zone or Flood Risk</t>
    </r>
    <r>
      <rPr>
        <sz val="10"/>
        <rFont val="Arial Narrow"/>
        <family val="2"/>
      </rPr>
      <t xml:space="preserve"> area, or an area in which river- or stream-associated floods within the past 20 years have damaged bridges, roads, buildings, or other infrastructure (not farmlands) within 5 km downslope from the AA. The floods must</t>
    </r>
    <r>
      <rPr>
        <b/>
        <sz val="10"/>
        <rFont val="Arial Narrow"/>
        <family val="2"/>
      </rPr>
      <t xml:space="preserve"> not </t>
    </r>
    <r>
      <rPr>
        <sz val="10"/>
        <rFont val="Arial Narrow"/>
        <family val="2"/>
      </rPr>
      <t>be related to</t>
    </r>
    <r>
      <rPr>
        <b/>
        <sz val="10"/>
        <rFont val="Arial Narrow"/>
        <family val="2"/>
      </rPr>
      <t xml:space="preserve"> tidal influence or waves.</t>
    </r>
    <r>
      <rPr>
        <sz val="10"/>
        <rFont val="Arial Narrow"/>
        <family val="2"/>
      </rPr>
      <t xml:space="preserve">  If true, enter “1” in next column. If neither are true AND AA is not in a river floodplain, enter “0”  and </t>
    </r>
    <r>
      <rPr>
        <b/>
        <sz val="10"/>
        <rFont val="Arial Narrow"/>
        <family val="2"/>
      </rPr>
      <t>SKIP to OF18</t>
    </r>
    <r>
      <rPr>
        <sz val="10"/>
        <rFont val="Arial Narrow"/>
        <family val="2"/>
      </rPr>
      <t xml:space="preserve">. Otherwise, </t>
    </r>
    <r>
      <rPr>
        <b/>
        <sz val="10"/>
        <rFont val="Arial Narrow"/>
        <family val="2"/>
      </rPr>
      <t xml:space="preserve">change to blank </t>
    </r>
    <r>
      <rPr>
        <sz val="10"/>
        <rFont val="Arial Narrow"/>
        <family val="2"/>
      </rPr>
      <t xml:space="preserve">before skipping to OF18. </t>
    </r>
  </si>
  <si>
    <r>
      <t xml:space="preserve">Determine the approximate bounds of this AA's </t>
    </r>
    <r>
      <rPr>
        <b/>
        <sz val="10"/>
        <rFont val="Arial Narrow"/>
        <family val="2"/>
      </rPr>
      <t>contributing area</t>
    </r>
    <r>
      <rPr>
        <sz val="10"/>
        <rFont val="Arial Narrow"/>
        <family val="2"/>
      </rPr>
      <t xml:space="preserve"> (</t>
    </r>
    <r>
      <rPr>
        <sz val="10"/>
        <color rgb="FFFF0000"/>
        <rFont val="Arial Narrow"/>
        <family val="2"/>
      </rPr>
      <t>follow the detailed directions in the Manual)</t>
    </r>
    <r>
      <rPr>
        <sz val="10"/>
        <rFont val="Arial Narrow"/>
        <family val="2"/>
      </rPr>
      <t>. Relative to the extent of that contributing area (CA), the AA comprises:</t>
    </r>
  </si>
  <si>
    <t xml:space="preserve">The horizontal flow distance from the wetland's inlet to outlet is: </t>
  </si>
  <si>
    <t xml:space="preserve">Benefits Score (raw) </t>
  </si>
  <si>
    <t>Benefit Indicators</t>
  </si>
  <si>
    <t>Benefits Score for Water Storage</t>
  </si>
  <si>
    <t>Carter, V., M. S. Bedinger, R. P. Novitski, and W. Wilen. 1979. Water resources and wetlands. Pages 344–376 in P. E. Greeson, J. R. Clark, and J. E. Clark, editors. Wetland Functions and Benefits: The State of Our Understanding. American Water Resources Association, Minneapolis, MN.</t>
  </si>
  <si>
    <t>Benefits Score for Low Flow Augmentation</t>
  </si>
  <si>
    <t>Benefit Score for Water Cooling</t>
  </si>
  <si>
    <t>Benefits Score for Sediment Retention &amp; Stabilization</t>
  </si>
  <si>
    <t>Benefit                   Indicators</t>
  </si>
  <si>
    <t xml:space="preserve">Benefits Score for Phosphorus Retention </t>
  </si>
  <si>
    <t>Benefits Score for Nitrate Removal</t>
  </si>
  <si>
    <t>Benefits Score for Carbon Sequestration</t>
  </si>
  <si>
    <t>Benefit              Indicators</t>
  </si>
  <si>
    <t>Benefits Score for Anadromous Fish Habitat</t>
  </si>
  <si>
    <t>Benefits Score for Resident Fish Habitat</t>
  </si>
  <si>
    <t>Benefit                         Indicators</t>
  </si>
  <si>
    <t>Benefits Score for Aquatic Invertebrate Habitat</t>
  </si>
  <si>
    <t>Benefits Score for Feeding Waterbird Habitat</t>
  </si>
  <si>
    <t>Benefit                Indicators</t>
  </si>
  <si>
    <t>Benefits Score for Nesting Waterbird Habitat</t>
  </si>
  <si>
    <t>Benefit                      Indicators</t>
  </si>
  <si>
    <t>Benefits Score for Songbird, Raptor, &amp; Mammal Habitat</t>
  </si>
  <si>
    <t>Benefits Score for Pollinator Habitat</t>
  </si>
  <si>
    <t>Benefits Score for Native Plant Habitat</t>
  </si>
  <si>
    <t>Benefits Score for Public Use &amp; Recognition</t>
  </si>
  <si>
    <t>Wintering Deer or Mainland Moose Concentration Area</t>
  </si>
  <si>
    <t xml:space="preserve">  metals &amp; chemical wastes from mining, shooting ranges, snow storage areas, oil/ gas extraction, other sources (download many locations from National Pollutant Release Inventory and view KMZ overlay in Google Earth https://www.ec.gc.ca/inrp-npri/default.asp?lang=En&amp;n=B85A1846-1</t>
  </si>
  <si>
    <t xml:space="preserve">The extensive subsurface hydrologic connectivity in karst regions promotes the dispersal of dissolved organic carbon. Higher nutrients associated with groundwater or streams discharging into wetlands in karst regions also enhance the productivity of plant communities that produce the organic matter.  With more productivity, more carbon is available for export (MacKenzie &amp; Shaw 2000, Banner et al. 2005). </t>
  </si>
  <si>
    <r>
      <t xml:space="preserve">In calcareous regions, nutrients are more available to algae and thus to the invertebrates that graze algae and presumably also the resident fish (Baichtel &amp; Swanston 1996). </t>
    </r>
    <r>
      <rPr>
        <i/>
        <sz val="10"/>
        <rFont val="Arial Narrow"/>
        <family val="2"/>
      </rPr>
      <t xml:space="preserve"> In calculations, if present it is scored as a 1 but if absent this indicator is ignored in model calculations.</t>
    </r>
  </si>
  <si>
    <t>AVERAGE (Nfix, SoilTex, Karst, Wettype, Moss, GDD)</t>
  </si>
  <si>
    <t>Flood marks (algal mats, adventitious roots, debris lines, ice scour, etc.) are often evident when not fully inundated. Also, such areas often have a larger proportion of upland and annual (vs. perennial) plant species. In riverine systems, the extent of this zone can be estimated by multiplying by 2 the bankful height and visualising where that would intercept the land along the river. [CS, FA, INV, NR, OE, PH, SR, WBF, WBN, WS]</t>
  </si>
  <si>
    <t>Estimate these proportions by considering the gradient and microtopography of the site. See diagram in the manual. [FR, INV, WBF, WBN]</t>
  </si>
  <si>
    <t xml:space="preserve">% of Ponded Water that is Open </t>
  </si>
  <si>
    <t>"Vegetated area" does not include underwater or floating-leaved plants, i.e., aquatic bed. Width may include wooded riparian areas if they have wetland soil or plant indicators. [AM, CS, NR, OE, PH, PR, SBM, Sens, SR, WBN]</t>
  </si>
  <si>
    <t>If several isolated pools are present in early summer, estimate the percent of their collective shorelines that has such a gentle slope. [SR, WBN]</t>
  </si>
  <si>
    <t>[AM, FA, FR, INV, NR, OE, PH, PR, SBM, SR, WBF, WBN]</t>
  </si>
  <si>
    <t>For this question, consider only the wood that is at or above the water surface. Estimates of underwater wood based only on observations from terrestrial viewpoints are unreliable so should not be attempted. [AM, FA, FR, INV]</t>
  </si>
  <si>
    <t>[WBN]</t>
  </si>
  <si>
    <t>[EC, PR, WBF]</t>
  </si>
  <si>
    <t>[FA, FR, INV, NR, OE, PR, SR, WS]</t>
  </si>
  <si>
    <t xml:space="preserve"> [FA, FR, PH, SBM, Sens, WBF, WBN]</t>
  </si>
  <si>
    <r>
      <t xml:space="preserve">The upper end of the AA is located very close to the base of (but mostly not ON) a natural slope much steeper (usually &gt;15%) than that within the AA and longer than 100 m </t>
    </r>
    <r>
      <rPr>
        <b/>
        <sz val="10"/>
        <rFont val="Arial Narrow"/>
        <family val="2"/>
      </rPr>
      <t>AND</t>
    </r>
    <r>
      <rPr>
        <sz val="10"/>
        <rFont val="Arial Narrow"/>
        <family val="2"/>
      </rPr>
      <t xml:space="preserve"> if surface water was measured, its pH (Q47) is &gt;5.5.</t>
    </r>
  </si>
  <si>
    <t>AVERAGE(Aspect, Karst, TreeVar)</t>
  </si>
  <si>
    <t>[AM, SBM]</t>
  </si>
  <si>
    <t>Determine this by viewing aerial imagery in Google Earth or GeoNB.  [Sens, WBF, WBN]</t>
  </si>
  <si>
    <t>[NR, SBM, Sens]</t>
  </si>
  <si>
    <t>[WSv]</t>
  </si>
  <si>
    <t>[SBMv, WBFv, WBNv]</t>
  </si>
  <si>
    <t>[AM, FA, FR, INV, OE, PH]</t>
  </si>
  <si>
    <t>Contributing Area (CA) Percentage</t>
  </si>
  <si>
    <t xml:space="preserve"> [NRv, PRv, SRv, WSv]</t>
  </si>
  <si>
    <t>[WBNv]</t>
  </si>
  <si>
    <t>[PU]</t>
  </si>
  <si>
    <t>In Google Earth, view the KMZ overlay of these areas that accompanies this calculator, or follow the links given here to download shapefiles if you have GIS. [NRv, PRv]</t>
  </si>
  <si>
    <t>[SBM, ]</t>
  </si>
  <si>
    <t xml:space="preserve"> If you are unable to determine the condition at the driest time of year, ask the land owner or neighbors about it if possible. Indicators of persistence may include fish, some dragonflies, beaver, and muskrat. [AM, CS, FA, FR, INV, NR, POL, PR, SBM, WBF, WBN]</t>
  </si>
  <si>
    <t>Look for flood marks (see above).  Because the annual range of water levels is difficult to estimate without multiple visits, consider asking the land owner or neighbors about it. [AM, CS, INV, NR, OE, PH, PR, SR, WBN, WS]</t>
  </si>
  <si>
    <r>
      <rPr>
        <b/>
        <sz val="10"/>
        <rFont val="Arial Narrow"/>
        <family val="2"/>
      </rPr>
      <t>Open water</t>
    </r>
    <r>
      <rPr>
        <sz val="10"/>
        <rFont val="Arial Narrow"/>
        <family val="2"/>
      </rPr>
      <t xml:space="preserve"> is not obscured by vegetation in aerial ("duck's eye") view.  It includes vegetation floating on the water surface or entirely submersed beneath it.  </t>
    </r>
  </si>
  <si>
    <t>[AM, CS, FA, FR, INV, NR, OE, PH, Sens, SFS, WBF, WBN]</t>
  </si>
  <si>
    <t>Snags are dead standing trees that often (not always) lack bark and foliage.  Include only ones that are at least 2 m tall.  [POL, SBM, WBN]</t>
  </si>
  <si>
    <t>Exclude temporary "burn piles."  [AM, INV, POL, SBM]</t>
  </si>
  <si>
    <t>Do not include N-fixing algae or lichens. [FA, FR, INV, NRv, OE, PH, SBM, Sens]</t>
  </si>
  <si>
    <t>Exclude moss growing on trees and rocks. [CS, PH]</t>
  </si>
  <si>
    <t>[AM, EC, INV, NR, PH, POL, PR, SBM, SR, WS]</t>
  </si>
  <si>
    <t xml:space="preserve"> [AM, NR, SBM]</t>
  </si>
  <si>
    <t>[CS, NR, OE, PH, PR, Sens, SFS, WS]</t>
  </si>
  <si>
    <t>This addresses needs of many but not all migratory sandpipers, plovers, and related species. [WBF]</t>
  </si>
  <si>
    <t>[CS]</t>
  </si>
  <si>
    <t>[EC, INV, PH, POL, Sens]</t>
  </si>
  <si>
    <t xml:space="preserve"> [EC, PH, POL, Sens]</t>
  </si>
  <si>
    <t>[NRv, PRv, Sens, SRv]</t>
  </si>
  <si>
    <t>Do not include upturned trees as potential den sites.  [POL, SBM]</t>
  </si>
  <si>
    <r>
      <t>The percentage of the AA almost never visited by humans during an average growing season probably comprises:</t>
    </r>
    <r>
      <rPr>
        <i/>
        <sz val="10"/>
        <rFont val="Arial Narrow"/>
        <family val="2"/>
      </rPr>
      <t xml:space="preserve"> [Note: Do not include visitors on trails outside of the AA unless more than half the wetland is visible from the trails and they are within 30 m of the wetland edge. In that case include only the area occupied by the trail]</t>
    </r>
  </si>
  <si>
    <r>
      <t xml:space="preserve">The part of the AA visited by humans almost daily for several weeks during an average growing season probably comprises:  </t>
    </r>
    <r>
      <rPr>
        <i/>
        <sz val="10"/>
        <rFont val="Arial Narrow"/>
        <family val="2"/>
      </rPr>
      <t xml:space="preserve">[Note: Do not include visitors on trails outside of the AA unless more than half the wetland is visible from the trails and they are within 30 m of the wetland edge. In that case include only the area occupied by the trail]. </t>
    </r>
  </si>
  <si>
    <t>[PH, PU]</t>
  </si>
  <si>
    <t>[AM, PU, WBF, WBN]</t>
  </si>
  <si>
    <t>[NRv]</t>
  </si>
  <si>
    <t>[FA, WC, ]</t>
  </si>
  <si>
    <t>If a boat is unavailable, estimate this by considering wetland size and local topography.  Or if timing and safety allow, depths may be measured by drilling through winter ice.This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  [CS, FA, FR, INV, OE, PH, PR, Sens, SFS, SR, WBF, WBN, WC, ]</t>
  </si>
  <si>
    <t xml:space="preserve"> [AM, CS, FA, FR, INV, NR, OE, PR, SR, WBF, WBN, WC, ]</t>
  </si>
  <si>
    <t>Adhere to these criteria strictly -- do not use personal judgment based on fen conditions, pH, or other evidence.  Consult topographic maps to detect breaks in slope described here. Rust deposits associated with groundwater seeps may be most noticeable as orange discoloration in ice formations along streams during early winter. [AM, CS, FA, FR, INV, NR, OE, PH, PRv, SFS, WC, WS, ]</t>
  </si>
  <si>
    <r>
      <t xml:space="preserve">50-500 m, and </t>
    </r>
    <r>
      <rPr>
        <b/>
        <sz val="10"/>
        <rFont val="Arial Narrow"/>
        <family val="2"/>
      </rPr>
      <t>not</t>
    </r>
    <r>
      <rPr>
        <sz val="10"/>
        <rFont val="Arial Narrow"/>
        <family val="2"/>
      </rPr>
      <t xml:space="preserve"> separated.</t>
    </r>
  </si>
  <si>
    <t>50-500 m, but separated by those features.</t>
  </si>
  <si>
    <r>
      <t xml:space="preserve">0.5 - 5 km, and </t>
    </r>
    <r>
      <rPr>
        <b/>
        <sz val="10"/>
        <rFont val="Arial Narrow"/>
        <family val="2"/>
      </rPr>
      <t>not</t>
    </r>
    <r>
      <rPr>
        <sz val="10"/>
        <rFont val="Arial Narrow"/>
        <family val="2"/>
      </rPr>
      <t xml:space="preserve"> separated.</t>
    </r>
  </si>
  <si>
    <t>0.5 - 5 km, but separated by those features.</t>
  </si>
  <si>
    <t>none of the above (the closest patches or corridors which are that large are &gt;5 km away).</t>
  </si>
  <si>
    <t>&lt;0.01 hectare (about 10 m x 10 m)</t>
  </si>
  <si>
    <r>
      <t>&gt;1000 hectares [</t>
    </r>
    <r>
      <rPr>
        <i/>
        <sz val="10"/>
        <rFont val="Arial Narrow"/>
        <family val="2"/>
      </rPr>
      <t>This is nearly always the answer in relatively undeveloped landscapes.</t>
    </r>
    <r>
      <rPr>
        <sz val="10"/>
        <rFont val="Arial Narrow"/>
        <family val="2"/>
      </rPr>
      <t>]</t>
    </r>
  </si>
  <si>
    <t xml:space="preserve">&lt;5% of the land. </t>
  </si>
  <si>
    <t>5 to 20% of the land.</t>
  </si>
  <si>
    <t>20 to 60% of the land.</t>
  </si>
  <si>
    <t>60 to 90% of the land.</t>
  </si>
  <si>
    <t>&lt;50 m, but completely separated by those features.</t>
  </si>
  <si>
    <t>50-500 m, and not separated.</t>
  </si>
  <si>
    <t>0.5 - 1 km, and not separated.</t>
  </si>
  <si>
    <t>0.5 - 1 km, but separated by those features.</t>
  </si>
  <si>
    <t>none of the above (the closest patches or corridors that large are &gt;1 km away).</t>
  </si>
  <si>
    <t>in the upper one-third of its watershed.</t>
  </si>
  <si>
    <t>in the middle one-third of its watershed.</t>
  </si>
  <si>
    <t>in the lower one-third of its watershed.</t>
  </si>
  <si>
    <t>&lt;1% of its CA  (includes most wetlands, especially those located low in watersheds, such as ones on major river floodplains or the marine shoreline).</t>
  </si>
  <si>
    <t>1 to 10% of its CA.</t>
  </si>
  <si>
    <t>10 to 100% of its CA.</t>
  </si>
  <si>
    <r>
      <t xml:space="preserve">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
    </r>
    <r>
      <rPr>
        <b/>
        <sz val="10"/>
        <rFont val="Arial Narrow"/>
        <family val="2"/>
      </rPr>
      <t>This statement is:</t>
    </r>
  </si>
  <si>
    <t>other (E, SE, W, NW), or no detectable uphill slope or input channel (flat).</t>
  </si>
  <si>
    <t xml:space="preserve">is known or likely to be fishless (e.g., too small, dry, and/or not accessible even temporarily). </t>
  </si>
  <si>
    <t>none of the above, or no data.</t>
  </si>
  <si>
    <t>Bog</t>
  </si>
  <si>
    <t>OF27</t>
  </si>
  <si>
    <t>coniferous trees (may include tamarack) taller than 3 m.</t>
  </si>
  <si>
    <t>deciduous trees taller than 3 m.</t>
  </si>
  <si>
    <t>coniferous shrubs or trees 1-3 m tall not directly below the canopy of trees &gt;3 m (e.g., conifer saplings, many ericaceous shrubs).</t>
  </si>
  <si>
    <t>deciduous shrubs or trees 1-3 m tall not directly below the canopy of trees &gt;3 m (e.g., deciduous saplings).</t>
  </si>
  <si>
    <t>coniferous shrubs or trees &lt;1 m tall not directly below the canopy of taller vegetation (e.g., conifer seedlings, many ericaceous shrubs); &gt;3 m.</t>
  </si>
  <si>
    <t>deciduous shrubs or trees &lt;1 m tall (e.g., deciduous seedlings).</t>
  </si>
  <si>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</si>
  <si>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</si>
  <si>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</si>
  <si>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</si>
  <si>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</si>
  <si>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</si>
  <si>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</si>
  <si>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</si>
  <si>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None, or fewer than 8/ hectare which exceed this diameter.</t>
  </si>
  <si>
    <t>5-25% of the vegetated part of the AA.</t>
  </si>
  <si>
    <t>25-50% of the vegetated part of the AA.</t>
  </si>
  <si>
    <t>50-95% of the vegetated part of the AA.</t>
  </si>
  <si>
    <t>&gt;95% of the vegetated part of the AA.</t>
  </si>
  <si>
    <t>Other conditions.</t>
  </si>
  <si>
    <t>Few or none (minimal microtopography; &lt;1% has such features).</t>
  </si>
  <si>
    <t>Intermediate.</t>
  </si>
  <si>
    <t>Several (extensive micro-topography).</t>
  </si>
  <si>
    <t>Few or none.</t>
  </si>
  <si>
    <t>Loamy: includes loam, sandy loam.</t>
  </si>
  <si>
    <r>
      <t xml:space="preserve">During any 2 consecutive weeks of the growing season, the extent of mudflats, bare unshaded saturated areas not covered by thatch, and unshaded waters shallower than 6 cm is:  [include also any area that directly </t>
    </r>
    <r>
      <rPr>
        <b/>
        <sz val="10"/>
        <rFont val="Arial Narrow"/>
        <family val="2"/>
      </rPr>
      <t xml:space="preserve">adjoins </t>
    </r>
    <r>
      <rPr>
        <sz val="10"/>
        <rFont val="Arial Narrow"/>
        <family val="2"/>
      </rPr>
      <t>the AA].</t>
    </r>
  </si>
  <si>
    <t>none, or &lt;100 sq. m.</t>
  </si>
  <si>
    <t>100-1000 sq. m.</t>
  </si>
  <si>
    <t>1000 – 10,000 sq. m.</t>
  </si>
  <si>
    <t xml:space="preserve">&gt;10,000 sq. m. </t>
  </si>
  <si>
    <t>5-25% of the herbaceous part of the AA.</t>
  </si>
  <si>
    <t>25-50% of the herbaceous part of the AA.</t>
  </si>
  <si>
    <t>50-95% of the herbaceous part of the AA.</t>
  </si>
  <si>
    <t>&gt;95% of the herbaceous part of the AA.</t>
  </si>
  <si>
    <t>&lt;5% of the vegetated area, or none.</t>
  </si>
  <si>
    <t>5-50% of the vegetated area.</t>
  </si>
  <si>
    <t>50-95% of the vegetated area.</t>
  </si>
  <si>
    <t>&gt;95% of the vegetated area.</t>
  </si>
  <si>
    <t>some (but &lt;5%) of the upland edge.</t>
  </si>
  <si>
    <t>5-50% of the upland edge.</t>
  </si>
  <si>
    <t>most (&gt;50%) of the upland edge.</t>
  </si>
  <si>
    <t>1-25% of the AA,  or &lt;1% but &gt;0.01 ha, never contains surface water.</t>
  </si>
  <si>
    <t>25-50% of the AA never contains surface water.</t>
  </si>
  <si>
    <t>50-75% of the AA never contains surface water.</t>
  </si>
  <si>
    <t>75-99% of the AA never contains surface water.</t>
  </si>
  <si>
    <t>1-20% of the AA.</t>
  </si>
  <si>
    <t>20-50% of the AA.</t>
  </si>
  <si>
    <t>50-95% of the AA.</t>
  </si>
  <si>
    <t>5-25% of the water is shaded.</t>
  </si>
  <si>
    <t>25-50% of the water is shaded.</t>
  </si>
  <si>
    <t>50-75% of the water is shaded.</t>
  </si>
  <si>
    <t>&gt;75% of the water is shaded.</t>
  </si>
  <si>
    <t>1-20% of the AA, or &lt;1% but &gt;0.01 ha.</t>
  </si>
  <si>
    <t>&lt;10 cm change (stable or nearly so).</t>
  </si>
  <si>
    <t>10 cm - 50 cm change.</t>
  </si>
  <si>
    <t>0.5 - 1 m change.</t>
  </si>
  <si>
    <t>1-2 m change.</t>
  </si>
  <si>
    <t>&gt;2 m change.</t>
  </si>
  <si>
    <t>&lt;10 cm deep (but &gt;0).</t>
  </si>
  <si>
    <t>10 - 50 cm deep.</t>
  </si>
  <si>
    <t>0.5 - 1 m deep.</t>
  </si>
  <si>
    <t>1 - 2 m deep.</t>
  </si>
  <si>
    <t xml:space="preserve">One depth class that comprises &gt;90% of the AA’s inundated area (use the classes in the question above). </t>
  </si>
  <si>
    <t>One depth class that comprises 50-90% of the AA's inundated area.</t>
  </si>
  <si>
    <t>5-30% of the water.</t>
  </si>
  <si>
    <t>30-70% of the water.</t>
  </si>
  <si>
    <t>70-95% of the water.</t>
  </si>
  <si>
    <t>&gt;95% of the water.</t>
  </si>
  <si>
    <t>&lt;1% of the water edge.</t>
  </si>
  <si>
    <t>1-25% of the water edge.</t>
  </si>
  <si>
    <t>25-50% of the water edge.</t>
  </si>
  <si>
    <t>50-75% of the water edge.</t>
  </si>
  <si>
    <t>&gt;75% of the water edge.</t>
  </si>
  <si>
    <t>1-25% of the emergent vegetation.</t>
  </si>
  <si>
    <t>25-75% of the emergent vegetation.</t>
  </si>
  <si>
    <t>&gt;75%, of the emergent vegetation.</t>
  </si>
  <si>
    <t>Little or none.</t>
  </si>
  <si>
    <t>Extensive.</t>
  </si>
  <si>
    <t>persistent (&gt;9 months/year, regardless of whether frozen or not).</t>
  </si>
  <si>
    <t>seasonal (14 days to 9 months/year, not necessarily consecutive, including times when frozen).</t>
  </si>
  <si>
    <t>temporary (&lt;14 days, not necessarily consecutive, but must be unfrozen).</t>
  </si>
  <si>
    <r>
      <t xml:space="preserve">During its travel through the AA at the time of peak annual flow, water arriving in channels: [select only the ONE encountered by </t>
    </r>
    <r>
      <rPr>
        <b/>
        <sz val="10"/>
        <rFont val="Arial Narrow"/>
        <family val="2"/>
      </rPr>
      <t xml:space="preserve">most </t>
    </r>
    <r>
      <rPr>
        <sz val="10"/>
        <rFont val="Arial Narrow"/>
        <family val="2"/>
      </rPr>
      <t>of the incoming water].</t>
    </r>
  </si>
  <si>
    <t xml:space="preserve">yes, and created 20 - 100 years ago. </t>
  </si>
  <si>
    <t>yes, and created 3-20 years ago.</t>
  </si>
  <si>
    <t>yes, and created within last 3 years.</t>
  </si>
  <si>
    <t>yes, but time of origin unknown.</t>
  </si>
  <si>
    <t>unknown if new within 20 years or not.</t>
  </si>
  <si>
    <t>burned within past 5 years.</t>
  </si>
  <si>
    <t>burned 6-10 years ago.</t>
  </si>
  <si>
    <t>burned 11-30 years ago.</t>
  </si>
  <si>
    <t>&lt;5% and no inhabited building is within 100 m of the AA.</t>
  </si>
  <si>
    <t>&lt;5% and inhabited building is within 100 m of the AA.</t>
  </si>
  <si>
    <t>5-50% and no inhabited building is within 100 m of the AA.</t>
  </si>
  <si>
    <t>5-50% and inhabited building is within 100 m of the AA.</t>
  </si>
  <si>
    <t>&gt;95% of the AA.</t>
  </si>
  <si>
    <t>low-impact commercial timber harvest (e.g., selective thinning).</t>
  </si>
  <si>
    <t>commercial or traditional-use harvesting of native plants, their fruits, or mushrooms.</t>
  </si>
  <si>
    <t>waterfowl hunting.</t>
  </si>
  <si>
    <t>fishing.</t>
  </si>
  <si>
    <t>trapping of furbearers.</t>
  </si>
  <si>
    <t>none of the above.</t>
  </si>
  <si>
    <t>Within 0-100 m of the AA.</t>
  </si>
  <si>
    <t>100-500 m away.</t>
  </si>
  <si>
    <t>&gt;500 m away, or no information.</t>
  </si>
  <si>
    <t>No.</t>
  </si>
  <si>
    <t>Site Identifier:</t>
  </si>
  <si>
    <t>Investigator:</t>
  </si>
  <si>
    <t>Water Storage      &amp; Delay</t>
  </si>
  <si>
    <t>Crabtree, R. W. and T. P. Burt. 1983. Spatial variation in solutional denudation and soil moisture over a hillslope hollow. Earth Surface Processes and Landforms 8:151-160.</t>
  </si>
  <si>
    <t>Stein, E., M. Mattson, A. E. Fetscher, and K. J. Halama. 2004. Influence of geologic setting on slope wetland hydrodynamics. Wetlands 24: 244-260.</t>
  </si>
  <si>
    <t>Anderson, M. P. 2005. Heat as a ground water tracer. Groundwater 43:951-968.</t>
  </si>
  <si>
    <t>Benefit                    Indicators</t>
  </si>
  <si>
    <t>Water             Cooling</t>
  </si>
  <si>
    <t>Function            Indicators</t>
  </si>
  <si>
    <t>Abbreviations</t>
  </si>
  <si>
    <t xml:space="preserve">Abbreviations </t>
  </si>
  <si>
    <t>Benefit            Indicators</t>
  </si>
  <si>
    <t>ShedPos2</t>
  </si>
  <si>
    <t>Function                    Indicators</t>
  </si>
  <si>
    <t>Physical Accumulation</t>
  </si>
  <si>
    <r>
      <t xml:space="preserve">&gt;2 km, </t>
    </r>
    <r>
      <rPr>
        <b/>
        <sz val="10"/>
        <rFont val="Arial Narrow"/>
        <family val="2"/>
      </rPr>
      <t>or wetland lacks an outlet.</t>
    </r>
  </si>
  <si>
    <t>Function           Indicators</t>
  </si>
  <si>
    <t>Paquette, G. A. and C. D. Ankney. 1996. Wetland selection by American green-winged teal breeding in British Columbia. Condor:27-33.</t>
  </si>
  <si>
    <t>McAuley, D. G. and J. R. Longcore. 1988. Survival of juvenile ring-necked ducks on wetlands of different pH. The Journal of Wildlife Management:169-176.</t>
  </si>
  <si>
    <t>Stevens, C. E., T. S. Gabor, and A. W. Diamond. 2003. Use of restored small wetlands by breeding waterfowl in Prince Edward Island, Canada. Restoration Ecology 11:3-12.</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</si>
  <si>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</si>
  <si>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An indicator of Sensitivity or Stress, only presumptively an indicator of Condition.</t>
  </si>
  <si>
    <t>An indicator of Stress, only presumptively an indicator of Condition.</t>
  </si>
  <si>
    <t>Impossible to assess (in context of a rapid one-visit method) with reasonable repeatability.</t>
  </si>
  <si>
    <t>S</t>
  </si>
  <si>
    <t>AVERAGE(DistRd, Wetter, WetterEx, Drier, DrierEx, AltTiming, Constricted)</t>
  </si>
  <si>
    <t>AVERAGE(Toxic, ToxicData, Enrich, SedLoad, SoilDisturb, CAimperv, BuffDisturbTyp)</t>
  </si>
  <si>
    <t>AVERAGE(NatVegCA, RdBox, WeedSource)</t>
  </si>
  <si>
    <t>AVERAGE(RecUse, Core1, Core2, DistRd, VisibWet, PopCtrDist, Owner, BurnHist)</t>
  </si>
  <si>
    <t>(MAX(HydroStress, WQstress, FragStress, DisturbStress)) + AVERAGE(HydroStress, WQstress, FragStress, DisturbStress))/2</t>
  </si>
  <si>
    <t>AVERAGE[GDD, AVERAGE(Wettype, Nfix, NewWet, Acidic, Conductiv)]</t>
  </si>
  <si>
    <t>AVERAGE(HerbDom, Elev, NatVegProx, NatVegSize, NatVegCUpct, PondProx, LakeProx)</t>
  </si>
  <si>
    <t>AVERAGE(TreeDBHs, TreeCover)</t>
  </si>
  <si>
    <t>(AVERAGE(RareAll, EmSens, BareGpct) + AVERAGE(HerbDom, GirregCQ, OverRich))/ 2</t>
  </si>
  <si>
    <t>AVERAGE(Ownership, Visibility, RdDist, Core1PU, Core2PU, ElevPU, PopCtrDisPU, TidalProxPU)</t>
  </si>
  <si>
    <t>AVERAGE (Width, Size, SizeVegConn, SatPct)</t>
  </si>
  <si>
    <t>[AVERAGE (Core1, Core2, BMPsoils, WeedSource) + AVERAGE(PopCtr, DistRd) + MIN(AltTime, Salt, SedDep, SedDisturb) ]/3</t>
  </si>
  <si>
    <t>AVERAGE(Toxic, CovPctScape, DistNat, BuffPerim, BuffLUtype)</t>
  </si>
  <si>
    <t>AVERAGE(AbioSens, BioSens, Fertility, Climate, Colonizer, GrowthRate)</t>
  </si>
  <si>
    <t>AVERAGE (WetTypeDiv, CUbuffNatPct, CUtypeLU, NatVegProx, NatVegPctScape, ScapeLU, NatVegSize)</t>
  </si>
  <si>
    <t>AVERAGE (CoreA, CoreB, BuffPerim, PopCtr, RdBox, DisRd)</t>
  </si>
  <si>
    <r>
      <t xml:space="preserve">IF((AllWater=1),0, </t>
    </r>
    <r>
      <rPr>
        <b/>
        <sz val="10"/>
        <rFont val="Arial Narrow"/>
        <family val="2"/>
      </rPr>
      <t>ELSE</t>
    </r>
    <r>
      <rPr>
        <sz val="10"/>
        <rFont val="Arial Narrow"/>
        <family val="2"/>
      </rPr>
      <t>: (AVERAGE(PermWpct, AVERAGE(StrucA, StrucB, Produc, Lscape, Wscape, Stress))</t>
    </r>
  </si>
  <si>
    <t>AVERAGE(BuffLUtype, BuffNatPct, RdDis)</t>
  </si>
  <si>
    <r>
      <t xml:space="preserve">IF((AllSat=1), 0, IF((TooSteep=1),0, IF((TooSmall=1),0, </t>
    </r>
    <r>
      <rPr>
        <b/>
        <sz val="10"/>
        <rFont val="Arial Narrow"/>
        <family val="2"/>
      </rPr>
      <t>ELSE</t>
    </r>
    <r>
      <rPr>
        <sz val="10"/>
        <rFont val="Arial Narrow"/>
        <family val="2"/>
      </rPr>
      <t>: 
[3*AVERAGE(AqPlantCov, SizeHerbac, Wettype,Wscape) +2*AVERAGE(HydroRegime, Structure, Productivity) + AVERAGE(Stressors, Landscape)] / 6</t>
    </r>
  </si>
  <si>
    <t>AVERAGE[Mudflat, Interspers, AreaTotal, AVERAGE(ABpct, EmPct)]</t>
  </si>
  <si>
    <t>AVERAGE(WetTypeDiv, Beaver, PondProx, BigPondProx)</t>
  </si>
  <si>
    <t>IF((Rare=1),1, IF((IBirdv=1),1, AVERAGE(HerbUniq, DuckHunt, PopCtr, Visib))))</t>
  </si>
  <si>
    <t>AVERAGE(ABpct, WoodAbove, Interspers, Vwidth)</t>
  </si>
  <si>
    <t>AVERAGE(WoodHerbMix, WoodDown, ShrubSun, Gcover, Girreg, Inclus, WetTypeDiv))</t>
  </si>
  <si>
    <t>AVERAGE[RoadCirc, AVERAGE(NatVegPct, BuffLU, NatVegProx, NatCov2mi, ScapeLU, NatVegSize)]</t>
  </si>
  <si>
    <t>AVERAGE [(AmPres, Wettype, AVERAGE(Hydro, AqStruc, TerrStruc, Produc, Climate, Lscape, Waterscape, Stress)]</t>
  </si>
  <si>
    <t>IF((RareHerp=1),1, ELSE:  AVERAGE(WBFscore, MAX(HerbUniq, WoodyUniq), SBMscore)</t>
  </si>
  <si>
    <t>AVERAGE [ABpct, AVERAGE(AqCov, WoodHerbMix, HerbDiv, Gcover, WoodDown, Girreg) ]</t>
  </si>
  <si>
    <t>AVERAGE(Interspers, ThruFlo, IsoWet)</t>
  </si>
  <si>
    <t>AVERAGE [WetType, AVERAGE(Depth, DecidTree, Hardwood, WoodDown, Nfixers, Conduc, Karst, TidalProx) ]</t>
  </si>
  <si>
    <t>AVERAGE(Imperv, NatVegPctCU, CUbuffLUtype, Subtypes)</t>
  </si>
  <si>
    <t>AVERAGE[Fish, MAX(AltTime, SedCA, SoilDisturb)]</t>
  </si>
  <si>
    <t>AVERAGE [Struc, Productivity, AVERAGE(Hydropd, Connec, Stressors, LScape]</t>
  </si>
  <si>
    <t>AVERAGE(AnadFish, ResFish, Amphib, WbirdF, WbirdNest, SongbMam)</t>
  </si>
  <si>
    <t>AVERAGE(SatPct, Depth, DepthEven, PermWPct, Interspers, ThruFlo)</t>
  </si>
  <si>
    <t>AVERAGE[Beaver, AVERAGE(Wettype, Shade, WoodAbove, ABpct, AqCov) ]</t>
  </si>
  <si>
    <t>AVERAGE(InletOutlet, GroundW, NewWetland, Wettype, Conduc, Karst, Nfix, Lake)</t>
  </si>
  <si>
    <t>IF((Fish Access=0),0,
IF((Water=0),0, ELSE 
AVERAGE(HydroRegime, Structure, Productivity, AnoxiaRisk, Stress))</t>
  </si>
  <si>
    <t xml:space="preserve">AVERAGE(Depth, SatPct, MAX(SeasWPct, PermWPct), Lake, Interspers, ThruFlo) </t>
  </si>
  <si>
    <t>AVERAGE(NatVegPctCU, BuffLU, ImpervCA)</t>
  </si>
  <si>
    <t>MIN(Acid, ToxicIn, SedIn, AltTime, ToxData)</t>
  </si>
  <si>
    <t>AVERAGE(SoilTex, NewWet)</t>
  </si>
  <si>
    <t>AVERAGE(Wettype, SeasWpct, Fluctu, Nfix, Karst)]</t>
  </si>
  <si>
    <r>
      <t xml:space="preserve">IF((NotNewWet=1), AVERAGE(SoilDisturb, MossCov, Wettype, Burn, SoilTex, AVERAGE(Warmth, DecidPct, DecidTree, Width), </t>
    </r>
    <r>
      <rPr>
        <b/>
        <sz val="10"/>
        <rFont val="Arial Narrow"/>
        <family val="2"/>
      </rPr>
      <t xml:space="preserve">ELSE: </t>
    </r>
    <r>
      <rPr>
        <sz val="10"/>
        <rFont val="Arial Narrow"/>
        <family val="2"/>
      </rPr>
      <t>NewWetland</t>
    </r>
  </si>
  <si>
    <t>AVERAGE(MossCov, Sedge, SeasPct, Fluctu, Groundw, TreeForm, Wetter, PermWpct)</t>
  </si>
  <si>
    <t>AVERAGE[(AVERAGE(WoodyTyp, TreeCanop, Groundw), AVERAGE(Warmth, Aspect)]</t>
  </si>
  <si>
    <t>AVERAGE(PondPct, Width, FloDist, Gcover, Thruflo, Interspers, Elev, WetPctCA)</t>
  </si>
  <si>
    <t>AVERAGE(OutDur, Gradient, Constric)</t>
  </si>
  <si>
    <t>AVERAGE(Acid, SoilTex, WetType, NewWetland, AqPlantCov, SoilDisturb)</t>
  </si>
  <si>
    <t>(AVERAGE(SatPct, Persis, SeasPct) + AVERAGE(Fluctu, UpEdgeShape, Inclusions, Girreg))/2</t>
  </si>
  <si>
    <r>
      <t xml:space="preserve">IF((NoOutlet=1), 1, IF((AllSat1=1), (2*Connec + Intercep + FrozDur + Organic + Redox)/6, </t>
    </r>
    <r>
      <rPr>
        <b/>
        <sz val="10"/>
        <rFont val="Arial Narrow"/>
        <family val="2"/>
      </rPr>
      <t>ELSE</t>
    </r>
    <r>
      <rPr>
        <sz val="10"/>
        <rFont val="Arial Narrow"/>
        <family val="2"/>
      </rPr>
      <t>: (3*Redox + 2*Connec + FrozDur + Organic + Intercep)/ 8)))</t>
    </r>
  </si>
  <si>
    <t>AVERAGE(Gradient, FlowDist, AVERAGE(Girreg, Gcover, CApctB))</t>
  </si>
  <si>
    <t>IF(AllSat1=1),"", IF(NoPonded=1),"", AVERAGE (Width, MAX(Thruflo, AqPlantCov, Interspers))</t>
  </si>
  <si>
    <t>AVERAGE(OutDur, Constric, Gradient, FlowDist, Lake)</t>
  </si>
  <si>
    <t>AVERAGE(SoilTex, Stain, CalcFen)</t>
  </si>
  <si>
    <t>[MAX(Pload, PsampUp, PsampDown, AVERAGE((Inflo, AVERAGE(BuffSlope, ErodScore, CApct, Transport, Groundw, ImpervCA, NatCApct))</t>
  </si>
  <si>
    <t>IF(AllSat1=1),"", AVERAGE(Fluctua, SeasPct)</t>
  </si>
  <si>
    <t>IF(AllSat1=1),"", AVERAGE(OutDura, FlowDist, Depth, Ponding, Constric, WatEdgeSlope)</t>
  </si>
  <si>
    <t>AVERAGE[Gradient, WetPctCA, AVERAGE(Girreg, Gcover, SoilDisturb)]</t>
  </si>
  <si>
    <t>IF(AllSat1=1),"", IF(NoPonded=1),"", ELSE:  AVERAGE (Width, AVERAGE(Thruflo, AqPlantCov, Interspers))</t>
  </si>
  <si>
    <t>(IF((AllSat1=1), DryIntercept, IF((NoOutlet=1), 1, (2*AVERAGE(Entrain, LiveStore2) + AVERAGE(DryIntercept, WetIntercept))/3)))</t>
  </si>
  <si>
    <t>MAX(ToxData, ToxUp, AVERAGE(Inflo, SatPct, AVERAGE(ImpervPctSS, ErodibleSS, SedIn, CAnatPct, BuffSlope, CApct, TransportSS, MaxFluc)</t>
  </si>
  <si>
    <t>IF((AllSat1=1), AVERAGE(IntercepDry, Adsorb, FreezeDura), IF((NoOut=1), 1, ELSE:  (3*AVERAGE(Adsorption, Desorption) + 2*Connectivity+ (AVERAGE(InterceptWet, InterceptDry) + FreezeDuration) / 7</t>
  </si>
  <si>
    <t>IF((AllSat1=1), Gwater, ELSE: AVERAGE(Gwater, Shade, OpenPonded, Depth, ISOdry, SatPct)))</t>
  </si>
  <si>
    <t>IF(Fringe=1), 0, OutDur  X [AVERAGE(ShadeIn, ShedPos, Aspect, Imperv, Warmth) + AnadFish] /2</t>
  </si>
  <si>
    <t>AVERAGE(Groundw, Wettype)</t>
  </si>
  <si>
    <t>AVERAGE(Aspect, Depth, Soil)</t>
  </si>
  <si>
    <t>AVERAGE[ShedPos, AVERAGE(InvScore, AnadScore, ResFishScore)]</t>
  </si>
  <si>
    <t>IF((AllSat1=1), 0, AVERAGE(Fluctua, SeasPct))</t>
  </si>
  <si>
    <r>
      <t xml:space="preserve">IF((AllSat1=1), (3*Gradient +AVERAGE(Gcover, Girreg))/4, </t>
    </r>
    <r>
      <rPr>
        <b/>
        <sz val="10"/>
        <rFont val="Arial Narrow"/>
        <family val="2"/>
      </rPr>
      <t>ELSE</t>
    </r>
    <r>
      <rPr>
        <sz val="10"/>
        <rFont val="Arial Narrow"/>
        <family val="2"/>
      </rPr>
      <t>: AVERAGE(Gradient, Constric, ThruFlo, FloDist, IsoDry)</t>
    </r>
  </si>
  <si>
    <t xml:space="preserve">If((FloodDam=1), 1, AVERAGE(FloodBdg, AVERAGE: (ShedPos, CAunveg, Transport))
</t>
  </si>
  <si>
    <t>IF(AllWet=1), 0, AVERAGE(PollenOnsite, NestSites, Stress)</t>
  </si>
  <si>
    <t>Subsurf</t>
  </si>
  <si>
    <t>_GpA1</t>
  </si>
  <si>
    <t>_GpB1</t>
  </si>
  <si>
    <t>_GpC1</t>
  </si>
  <si>
    <t>ConnectivLF</t>
  </si>
  <si>
    <t>ClimateLF</t>
  </si>
  <si>
    <t>GpC_2</t>
  </si>
  <si>
    <t>LiveStore2</t>
  </si>
  <si>
    <t>DryIntercept</t>
  </si>
  <si>
    <t>WetIntercept</t>
  </si>
  <si>
    <t>Frozen2</t>
  </si>
  <si>
    <t>FreezeDura3</t>
  </si>
  <si>
    <t>IntercepDry3</t>
  </si>
  <si>
    <t>IntercepWet3</t>
  </si>
  <si>
    <t>Connec3</t>
  </si>
  <si>
    <t>Adsorb3</t>
  </si>
  <si>
    <t>Desorb3</t>
  </si>
  <si>
    <t>FrozDura4</t>
  </si>
  <si>
    <t>Intercep4</t>
  </si>
  <si>
    <t>Connec4</t>
  </si>
  <si>
    <t>Organic4</t>
  </si>
  <si>
    <t>Redox4</t>
  </si>
  <si>
    <t>HistAccum5</t>
  </si>
  <si>
    <t>Productiv</t>
  </si>
  <si>
    <t>PhysAccum5</t>
  </si>
  <si>
    <t>MethLimit5</t>
  </si>
  <si>
    <t>HistAccum6</t>
  </si>
  <si>
    <t>Productiv6</t>
  </si>
  <si>
    <t>FrozDura6</t>
  </si>
  <si>
    <t>PlantCov6</t>
  </si>
  <si>
    <t>NutrAvail6</t>
  </si>
  <si>
    <t>ExportPot6</t>
  </si>
  <si>
    <t>Hydropd9</t>
  </si>
  <si>
    <t>Struc9</t>
  </si>
  <si>
    <t>Produc9</t>
  </si>
  <si>
    <t>Lscape9</t>
  </si>
  <si>
    <t>Stress9</t>
  </si>
  <si>
    <t>Hydro10</t>
  </si>
  <si>
    <t>Struc10</t>
  </si>
  <si>
    <t>Produc10</t>
  </si>
  <si>
    <t>AnoxRisk10</t>
  </si>
  <si>
    <t>Stress10</t>
  </si>
  <si>
    <t>Structure8</t>
  </si>
  <si>
    <t>Hydropd8</t>
  </si>
  <si>
    <t>Connec8</t>
  </si>
  <si>
    <t>Food8</t>
  </si>
  <si>
    <t>Lscape8</t>
  </si>
  <si>
    <t>Stressors8</t>
  </si>
  <si>
    <t>Hydro11</t>
  </si>
  <si>
    <t>AqStruc11</t>
  </si>
  <si>
    <t>TerrStruc11</t>
  </si>
  <si>
    <t>Produc11</t>
  </si>
  <si>
    <t>Climate11</t>
  </si>
  <si>
    <t>Lscape11</t>
  </si>
  <si>
    <t>Waterscape11</t>
  </si>
  <si>
    <t>Benefits Score for Amphibian Habitat</t>
  </si>
  <si>
    <t>Stress11</t>
  </si>
  <si>
    <t>Hydro12</t>
  </si>
  <si>
    <t>Struc12</t>
  </si>
  <si>
    <t>Produc12</t>
  </si>
  <si>
    <t>Climate12</t>
  </si>
  <si>
    <t>Lscape12</t>
  </si>
  <si>
    <t>Stress12</t>
  </si>
  <si>
    <t>Hydro13</t>
  </si>
  <si>
    <t>Struc13</t>
  </si>
  <si>
    <t>Produc13</t>
  </si>
  <si>
    <t>Wscape</t>
  </si>
  <si>
    <t>Stressors13</t>
  </si>
  <si>
    <t>Lscape13</t>
  </si>
  <si>
    <t>StrucA</t>
  </si>
  <si>
    <t>StrucB</t>
  </si>
  <si>
    <t>Produc</t>
  </si>
  <si>
    <t>Lscape14</t>
  </si>
  <si>
    <t>Wscape14</t>
  </si>
  <si>
    <t>Stress14</t>
  </si>
  <si>
    <t>PollenOn</t>
  </si>
  <si>
    <t>Stress0</t>
  </si>
  <si>
    <t>SppArea</t>
  </si>
  <si>
    <t>Lscape</t>
  </si>
  <si>
    <t>AqFertilPD</t>
  </si>
  <si>
    <t>TerrFertilPD</t>
  </si>
  <si>
    <t>CompetPD</t>
  </si>
  <si>
    <t>StressPD</t>
  </si>
  <si>
    <t>Conven</t>
  </si>
  <si>
    <t>Invest</t>
  </si>
  <si>
    <t>RecPot</t>
  </si>
  <si>
    <t>HydroStress</t>
  </si>
  <si>
    <t>WQstress</t>
  </si>
  <si>
    <t>FragStress</t>
  </si>
  <si>
    <t>DisturbStress</t>
  </si>
  <si>
    <t>ToxicIn11</t>
  </si>
  <si>
    <t>See above. [Sens, WBF]</t>
  </si>
  <si>
    <t>See above.  [AMv, PHv, POLv, SBMv]</t>
  </si>
  <si>
    <t>"Population center" means a settled area with more than about 5 regularly- inhabited structures per square kilometer.  In the GeoNB viewer, it includes most but not all areas close to settlements (click on Place Names in menu) plus many areas not close to settlements.  In GeoNB, use Freehand Line in Draw &amp; Measure tool to draw and measure the route.  In Google Earth, click on the Ruler icon, then Path, and draw and measure the route. [FAv, FRv, NRv, PH, PU, SBM, WBFv]</t>
  </si>
  <si>
    <t>Determine this by viewing aerial imagery in Google Earth and measuring with the Ruler&gt;Line tool or in GeoNB, the Draw Line tool.  [AM, FAv, FRv, NRv, PH, PU, SBM, STR, WBN]</t>
  </si>
  <si>
    <t>In NB: In the GeoNB map viewer: click on "More" in upper right, then "Flood Information".  Expand the menu under it by clicking on the arrow to its left and the slider to its right.  Uncheck the first (Limits of Data) box. [PH, WSv]</t>
  </si>
  <si>
    <t>[NR, Sens, SFSv, WCv, WSv]</t>
  </si>
  <si>
    <t xml:space="preserve"> [AM, FA, FR, NRv, PRv, SRv, STR, WBF, WBN]</t>
  </si>
  <si>
    <t xml:space="preserve"> [NRv, PRv, SRv]</t>
  </si>
  <si>
    <t xml:space="preserve"> [NR, PR, Sens, SR, WS]</t>
  </si>
  <si>
    <t>[FA, INV, NRv, PRv, SRv, STR, WCv, WSv, ]</t>
  </si>
  <si>
    <t>[AM, NR, SFS, WC, WS, ]</t>
  </si>
  <si>
    <t>[AM, CS, FR, INV, NR, OE, PH, PR, Sens, SR, WBF, WCv, WS, ]</t>
  </si>
  <si>
    <t>Wetland Functions or Other Attributes:</t>
  </si>
  <si>
    <t>AVERAGE (OutDura, Constric,AqPlantCov, Gradient, IsoWet)</t>
  </si>
  <si>
    <t>AVERAGE(Depth, AVERAGE(Freeze, Warmth, MossCov, WetType)</t>
  </si>
  <si>
    <t>AVERAGE [OutDura, Gradient, FloDist, AVERAGE(Constric, ThruFlo, Interspers, Width, PondedPct)]</t>
  </si>
  <si>
    <t>AVERAGE(GDD, Aspect)</t>
  </si>
  <si>
    <t>GDD</t>
  </si>
  <si>
    <t>AVERAGE(Warmth, Groundw)</t>
  </si>
  <si>
    <t>If accessible and otherwise suitable for fish, wetlands closer to the coast are more likely to support  anadromous species due partly to reduced duration of ice cover, shorter instream migration routes, and potentially elevated aquatic productivity.</t>
  </si>
  <si>
    <t>AVERAGE (OutDura, Depth, Warmth)</t>
  </si>
  <si>
    <t>MAX[Bduck,AVERAGE(Lake, LakeProx, Fringe, Beaver, PondProx)]</t>
  </si>
  <si>
    <t>AVERAGE(Core1, Core2, BMP, Toxics)</t>
  </si>
  <si>
    <t>AVERAGE(Wettype, Gradient, Acidity, ShoreSlope, Fish, Island)</t>
  </si>
  <si>
    <t>(AVERAGE(SizeHerbac, Vwidth))*((AVERAGE(Nfix, Inclus, UpEdge, Hardwd)))</t>
  </si>
  <si>
    <t>[AMv, EC, PHv, POLv, SBMv, Sens, WBFv, WBNv]</t>
  </si>
  <si>
    <t>[AM, INV, SBM, WBF]</t>
  </si>
  <si>
    <t>First decide if the vegetation proportions are 30-70% (the first 2 choices) or &lt;30 and &gt;70% (second 2 choices).  Then evaluate the overall pattern. [AM, INV, NR, PH, SBM, Sens]</t>
  </si>
  <si>
    <t>[PH, POL, SBM, Sens]</t>
  </si>
  <si>
    <t>Thatch is dead plant material (stems, leaves) resting on the ground surface.  Bare ground that is present under a tree or shrub canopy should be counted. Wetlands with mineral soils and that are heavily shaded or are dominated by annual plant species tend to have more extensive areas that are bare during the early growing season.  [AM, EC, INV, NR, OE, POL, PR, SBM, Sens]</t>
  </si>
  <si>
    <t>[AM, WBF, WBN]</t>
  </si>
  <si>
    <t xml:space="preserve"> [WBF, WBN, WCv, ]</t>
  </si>
  <si>
    <t>[FR, PR, PU, WBF, WBN]</t>
  </si>
  <si>
    <t>[AM, FA, FR, INV, NR, PH, PR, SBM, Sens, SRv, WBF, WBN, WC ]</t>
  </si>
  <si>
    <t>Nearly all wetlands with surface water have some ponded water. [AM, CS, INV, NR, OE, PR, Sens, SR, WBF, WBN, WC, WS]</t>
  </si>
  <si>
    <t>If outlets cannot be searched for due to inaccessibility of part of the AA, consult topographic maps perhaps by viewing these online with Toporama (http://atlas.nrcan.gc.ca/toporama/en/index.html), or use GIS to view streams after downloading the NB Hydrographic Networkshapefiles from http://w.snb.ca/geonb1/e/DC/catalogue-E.asp  [CS, FA, FR, NR, OE, PR, Sens, SFS, SR, WCv, WS]</t>
  </si>
  <si>
    <t>"Major runoff events" would include biennial high water caused by storms and/or rapid snowmelt. [CS, NR, OE, PR, Sens, SR, STR, WS]</t>
  </si>
  <si>
    <t>If inlet tributaries cannot be searched for due to inaccessibility of part of the AA, follow suggestions in F42 above. [NRv, PH, PRv, SRv]</t>
  </si>
  <si>
    <t>[WCv]</t>
  </si>
  <si>
    <t>[AM, FA, FR, NR, PH, PR, Sens, WBN]</t>
  </si>
  <si>
    <t>Measure in flowing water if any is present within the AA, otherwise measure in larger and deeper patches of ponded water. [FR, INV, NRv, PH, PRv, Sens]</t>
  </si>
  <si>
    <t>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  [CS, NR, OE, PR, SR, WBF, WBN, WS]</t>
  </si>
  <si>
    <t>The "wetland-upland edge" may include the edge where wetland meets a road or other filled area. [AM, FA, FR, INV, NRv, PH, POL, PRv, SBM, Sens, SRv, STR, WBN]</t>
  </si>
  <si>
    <t>[AM, FA, INV, NRv, PH, POL, SBM, STR, WBN]</t>
  </si>
  <si>
    <t>Determine this using historical aerial photography, old maps, soil maps, or permit files as available [CS, NR, OE, PH, Sens]</t>
  </si>
  <si>
    <t>Look for charred soil or stumps (in multiple widely-spaced locations) or ask landowner. [CS, PH, STR]</t>
  </si>
  <si>
    <t>[PU, STR, WBFv]</t>
  </si>
  <si>
    <t>[PU, STR]</t>
  </si>
  <si>
    <t>[AM, FAv, FRv, PH, PU, SBM, STR, WBF, WBN]</t>
  </si>
  <si>
    <t>[AM, PH, PU, SBM, STR, WBF, WBN]</t>
  </si>
  <si>
    <t>[FAv, FRv, WBFv]</t>
  </si>
  <si>
    <t>[PH, PR]</t>
  </si>
  <si>
    <t>In the last column, place a check mark next to any item that is likely to have caused a part of the wetland to be inundated more extensively, more frequently, more deeply, and/or for longer duration than it would be without that item or activity. Consider only items occurring within past 100 years or since wetland was created or restored (whichever is less). (The items you check are not used automatically in subsequent calculations. They are included simply so they may be considered when evaluating the factors in the table beneath them). [CS]</t>
  </si>
  <si>
    <t>In the last column, place a check mark next to any item -- occurring in either the wetland or its CA -- that is likely to have accelerated the inputs of contaminants or salts to the AA. [AM, FA, PH, POL, STR]</t>
  </si>
  <si>
    <t>In the last column, place a check mark next to any item -- occurring in either the wetland or its CA -- that is likely to have accelerated the inputs of nutrients to the wetland. [NRv, PRv, STR]</t>
  </si>
  <si>
    <t>In the last column, place a check mark next to any item present in the CA that is likely to have elevated the load of waterborne or windborne sediment reaching the wetland from its CA. [FA, FR, INV, PH, SRv, STR]</t>
  </si>
  <si>
    <t>In the last column, place a check mark next to any item present in the wetland that is likely to have compacted, eroded, or otherwise altered the wetland's soil. Consider only items occurring within past 100 years or since wetland was created or restored (whichever is less). [CS, INV, NR, PH, SR, STR]</t>
  </si>
  <si>
    <t>MAX(HerbUniq, WoodyUniq, RareHerb)</t>
  </si>
  <si>
    <t xml:space="preserve">Stressor (S) Data Form for Non-Tidal Wetlands. WESP for Atlantic Canada. Version 1.1.                                                                                                </t>
  </si>
  <si>
    <t>GDD (warmth)</t>
  </si>
  <si>
    <t>AVERAGE(Wettype, Fringe, Lake, Algae, TidalProx, Gradient, Fish)</t>
  </si>
  <si>
    <t>Amphibian &amp; Turtle Habitat (AM)</t>
  </si>
  <si>
    <t>Amphibian &amp; Turtle Habitat</t>
  </si>
  <si>
    <t>&lt;1% of the emergent vegetation, or emergent vegetation is absent.</t>
  </si>
  <si>
    <r>
      <rPr>
        <b/>
        <sz val="10"/>
        <rFont val="Arial Narrow"/>
        <family val="2"/>
      </rPr>
      <t xml:space="preserve">Emergent vegetation </t>
    </r>
    <r>
      <rPr>
        <sz val="10"/>
        <rFont val="Arial Narrow"/>
        <family val="2"/>
      </rPr>
      <t>is herbaceous plants whose stems are partly above and partly below the water surface during most of the time water is present. The "water edge" should include the circumference of any patches of robust emergents that are surrounded by water.</t>
    </r>
  </si>
  <si>
    <t>ConsDesig1</t>
  </si>
  <si>
    <t>This reflects more widespread recognition of particular wetlands or their surroundings.</t>
  </si>
  <si>
    <t>MAX(MitigaSite, ConsInvest, ConsDesig, SciUse)</t>
  </si>
  <si>
    <t>GWsens</t>
  </si>
  <si>
    <t>Use Google Earth Pro (as above) or, if you have GIS, you may go to the GeoNB web site and download layers for Forest and Roads to assist this measurement, but be aware that many non-forest areas should also be included as unmanaged vegetation cover, and many areas classified as Forest are actually conifer plantations and should thus be excluded.  Layers (shapefiles) can be downloaded at: http://w.snb.ca/geonb1/e/DC/catalogue-E.asp  [AM, PH, SBM, Sens]</t>
  </si>
  <si>
    <r>
      <t xml:space="preserve">Following EACH row below, indicate with a number code (6 if &gt;95%, 5 if 75-95%, 4 if 50-75%, 3 if 25-50%, 2 if 5-25%, 1 if &lt;5%, 0 if none) the percentage of the vegetated AA occupied by that feature. </t>
    </r>
    <r>
      <rPr>
        <b/>
        <sz val="10"/>
        <rFont val="Arial Narrow"/>
        <family val="2"/>
      </rPr>
      <t>If ALL are marked 0 or 1,</t>
    </r>
    <r>
      <rPr>
        <sz val="10"/>
        <rFont val="Arial Narrow"/>
        <family val="2"/>
      </rPr>
      <t xml:space="preserve"> </t>
    </r>
    <r>
      <rPr>
        <b/>
        <sz val="10"/>
        <rFont val="Arial Narrow"/>
        <family val="2"/>
      </rPr>
      <t xml:space="preserve">SKIP to F9 </t>
    </r>
    <r>
      <rPr>
        <sz val="10"/>
        <rFont val="Arial Narrow"/>
        <family val="2"/>
      </rPr>
      <t xml:space="preserve">(N fixers). </t>
    </r>
  </si>
  <si>
    <r>
      <t xml:space="preserve">Is the AA smaller than 0.01 hectare (about 10m x 10m, or 1m x 100 m)?  If so, enter "1" in column D and </t>
    </r>
    <r>
      <rPr>
        <b/>
        <sz val="10"/>
        <rFont val="Times New Roman"/>
        <family val="1"/>
      </rPr>
      <t>SKIP TO F42</t>
    </r>
    <r>
      <rPr>
        <sz val="10"/>
        <rFont val="Times New Roman"/>
        <family val="1"/>
      </rPr>
      <t xml:space="preserve"> (Connection).</t>
    </r>
  </si>
  <si>
    <r>
      <t xml:space="preserve">If the deepest patch of surface water (flowing or ponded) in or directly adjacent to the AA is mostly deeper than 0.5 m for &gt;2 weeks during the growing season, enter "1" and continue. If not, enter "0" and </t>
    </r>
    <r>
      <rPr>
        <b/>
        <sz val="10"/>
        <rFont val="Arial Narrow"/>
        <family val="2"/>
      </rPr>
      <t>SKIP to F40</t>
    </r>
    <r>
      <rPr>
        <sz val="10"/>
        <rFont val="Arial Narrow"/>
        <family val="2"/>
      </rPr>
      <t>.(Floating Algae &amp; Duckweed).</t>
    </r>
  </si>
  <si>
    <r>
      <t xml:space="preserve">&lt;5%. If F61 was answered "&gt;95%" (mostly never visited), </t>
    </r>
    <r>
      <rPr>
        <b/>
        <sz val="10"/>
        <rFont val="Arial Narrow"/>
        <family val="2"/>
      </rPr>
      <t>SKIP to F65</t>
    </r>
    <r>
      <rPr>
        <sz val="10"/>
        <rFont val="Arial Narrow"/>
        <family val="2"/>
      </rPr>
      <t>.</t>
    </r>
  </si>
  <si>
    <t>Determine this by viewing aerial imagery after first drawing or estimating the approximate boundary of the 5 km buffer, or do GIS analysis of an appropriate land cover layer. [AM, PH, POL, SBM, Sens]</t>
  </si>
  <si>
    <t xml:space="preserve">Measure the area from aerial imagery using Google Earth Pro (click on Ruler icon in toolbar, then Polygon in pop-up menu), or by going to the online GeoNB viewer, enabling the aerial Basemap and the Wetlands layer, then using the Draw &amp; Measure tool.  However, do not rely entirely on wetland boundaries shown in the Wetlands layer.  GeoNB is at: http://geonb.snb.ca/geonb/ [PH, SBM, WBN] </t>
  </si>
  <si>
    <t>Enable the Wetlands layer in GeoNB (despite its omissions) to show surrounding wetlands and roads, while estimating the location of the 5 km circle (or draw the 5 km circle in Google Earth Pro using the Circle tool and compare). [AM, SBM, STR]</t>
  </si>
  <si>
    <t>In Google Earth, zoom in closely to examine the surrounding landscape for ponds or lakes (not wetlands unless persistently flooded). This can include beaver flowages and seasonal floodplain ponds. [ AM, PH, SBM, Sens, WBF, WBN]</t>
  </si>
  <si>
    <t>In GeoNB, use Freehand Line in Draw &amp; Measure tool to draw and measure the approximate flow path. In Google Earth, click on the Ruler icon, then Path, and draw and measure the path.  [NR, OE, PR, SR, WS]</t>
  </si>
  <si>
    <t>Also, see the KMZ overlay that accompanies this calculator and displays Protected Natural Areas of NB. [PU]</t>
  </si>
  <si>
    <t>To measure distance, use Google Earth Pro (Ruler &gt; Line tool) or use Draw &amp; Measure tool at GeoNB.  375 ha is about 2 km on a side, if square.  The 375-ha criterion is from the Fundy Model Forest Project.  [AM, PH, POL, SBM, Sens]</t>
  </si>
  <si>
    <t>Evaluate based on topographic maps and if available, soil and water table maps.[PRv, Sens, SRv]</t>
  </si>
  <si>
    <r>
      <t xml:space="preserve"> In the Seattle area, salmon were dominant only in streams whose contributing areas contained less than 5% impervious surface. Salmon were essentially absent from streams draining areas with more than 35% impervious surfaces (May et al. 1997). Some types of watershed disturbances are probably more harmful to anadromous fish habitat than others. Impervious surfaces and storm drains, even when occurring at low densities but near drainageways that lead to the same stream or wetland, can dramatically alter the amount, timing, frequency, and duration of flow in streams and water level in lakes and wetlands (Booth et al. 2002, Konrad et al. 2005, Poff et al. 2006, Shields et al. 2008); increase pollutant loads and concentrations (Chadwick et al. 2006, Morgan et al. 2007); disrupt channel configurations (McBride &amp; Booth 2005, Colosimo &amp; Wilcock 2007); shift local air and water temperature regimes (Delgado et al. 2007); introduce chronic noise, predators, and other disturbances (Hepinstall et al. 2008); and as a consequence of these and related factors, alter the abundance, diversity, and species composition of fish and wildlife communities (Miltner et al. 2004, Hansen et al. 2005, Alberti et al. 2007, Walsh &amp; Kunapo 2009, Cookson &amp; Schorr 2009). </t>
    </r>
    <r>
      <rPr>
        <i/>
        <sz val="10"/>
        <rFont val="Arial Narrow"/>
        <family val="2"/>
      </rPr>
      <t xml:space="preserve">In calculations, is excluded automatically (cell goes blank) if </t>
    </r>
    <r>
      <rPr>
        <i/>
        <sz val="10"/>
        <color rgb="FFFF0000"/>
        <rFont val="Arial Narrow"/>
        <family val="2"/>
      </rPr>
      <t xml:space="preserve">F52 </t>
    </r>
    <r>
      <rPr>
        <i/>
        <sz val="10"/>
        <rFont val="Arial Narrow"/>
        <family val="2"/>
      </rPr>
      <t>was answered positively.</t>
    </r>
  </si>
  <si>
    <r>
      <t xml:space="preserve">This indicator is similar to the one above but focuses specifically on the type of unsuitable land cover closest to the wetland. </t>
    </r>
    <r>
      <rPr>
        <i/>
        <sz val="10"/>
        <rFont val="Arial Narrow"/>
        <family val="2"/>
      </rPr>
      <t xml:space="preserve">In calculations, is excluded automatically (cell goes blank) if </t>
    </r>
    <r>
      <rPr>
        <i/>
        <sz val="10"/>
        <color rgb="FFFF0000"/>
        <rFont val="Arial Narrow"/>
        <family val="2"/>
      </rPr>
      <t>F52</t>
    </r>
    <r>
      <rPr>
        <i/>
        <sz val="10"/>
        <rFont val="Arial Narrow"/>
        <family val="2"/>
      </rPr>
      <t xml:space="preserve"> was answered "&gt;90%".</t>
    </r>
  </si>
  <si>
    <r>
      <t>The type as well as the amount of upland cover near the wetland is important to nesting waterbirds. Impervious surfaces are unusable, whereas some low-intensity rural lands can provide marginally suitable cover.</t>
    </r>
    <r>
      <rPr>
        <i/>
        <sz val="10"/>
        <rFont val="Arial Narrow"/>
        <family val="2"/>
      </rPr>
      <t xml:space="preserve"> In calculations, is excluded automatically (cell goes blank) if </t>
    </r>
    <r>
      <rPr>
        <i/>
        <sz val="10"/>
        <color rgb="FFFF0000"/>
        <rFont val="Arial Narrow"/>
        <family val="2"/>
      </rPr>
      <t>F52</t>
    </r>
    <r>
      <rPr>
        <i/>
        <sz val="10"/>
        <rFont val="Arial Narrow"/>
        <family val="2"/>
      </rPr>
      <t xml:space="preserve"> was answered "&gt;90%".</t>
    </r>
  </si>
  <si>
    <r>
      <t xml:space="preserve">Small mammals moving between wetlands are less likely to have their movements disrupted by lands with residual cover than in lands with impervious surface, but both are capable of hindering dispersal (Flaherty et al. 2008). </t>
    </r>
    <r>
      <rPr>
        <i/>
        <sz val="10"/>
        <rFont val="Arial Narrow"/>
        <family val="2"/>
      </rPr>
      <t xml:space="preserve">In calculations, is excluded automatically (cell goes blank) if </t>
    </r>
    <r>
      <rPr>
        <i/>
        <sz val="10"/>
        <color rgb="FFFF0000"/>
        <rFont val="Arial Narrow"/>
        <family val="2"/>
      </rPr>
      <t>F52</t>
    </r>
    <r>
      <rPr>
        <i/>
        <sz val="10"/>
        <rFont val="Arial Narrow"/>
        <family val="2"/>
      </rPr>
      <t xml:space="preserve"> was answered "&gt;90%".</t>
    </r>
  </si>
  <si>
    <r>
      <t>Unvegetated uplands provide the least refuge for emerging aquatic insects, and also are most likely to contribute contaminants and disturb runoff patterns. Agricultural land cover seemed less impacting than impervious cover. Most organisms were capable of tolerating high levels of agricultural land cover, but a few disappeared when agricultural land cover exceeded 21% of the watershed area.</t>
    </r>
    <r>
      <rPr>
        <i/>
        <sz val="10"/>
        <rFont val="Arial Narrow"/>
        <family val="2"/>
      </rPr>
      <t xml:space="preserve"> In calculations, is excluded automatically (cell goes blank) if F52 was answered positively.</t>
    </r>
  </si>
  <si>
    <t>B</t>
  </si>
  <si>
    <t>MAX[Aquifer, GWsens, Inflo, MAX(NSource, NsampUp, NsampDown, Nfix), AVERAGE(Imperv, RdDist, PopDist), AVERAGE(CAnatPct, BuffSlope, BuffCovTyp, Transport)]</t>
  </si>
  <si>
    <t>AVERAGE(Feeding Waterbird Habitat score, Fishing, PopDist, DistRd, Core)))</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</si>
  <si>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</si>
  <si>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</si>
  <si>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AVERAGE[persist, AVERAGE(woodydbh, snags, downwood, girreg, cliff, gcover)]</t>
  </si>
  <si>
    <t>Forbs0</t>
  </si>
  <si>
    <t>AVERAGE[MAX(WoodyHtForm, Forbs), AVERAGE(herbsens, herbdiv, ShrubDiv)]</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</si>
  <si>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</si>
  <si>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</si>
  <si>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</si>
  <si>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</si>
  <si>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</si>
  <si>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</si>
  <si>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</si>
  <si>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</si>
  <si>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</si>
  <si>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r>
      <t xml:space="preserve">Many wetland invertebrates reach their greatest density in ponded areas. That is partly because the isolation protects them from predation by fish that normally inhabit the channels (Hornung &amp; Foote 2006). Flowing water in channels favours different invertebrate assemblages, which when combined with the contribution of pools, adds to the overall diversity of the wetland. </t>
    </r>
    <r>
      <rPr>
        <i/>
        <sz val="10"/>
        <rFont val="Arial Narrow"/>
        <family val="2"/>
      </rPr>
      <t xml:space="preserve">In calculations, is excluded automatically (cell goes blank) if wetland never has surface water during an average year. </t>
    </r>
  </si>
  <si>
    <t>Because amphibians and reptiles do not physiologically regulate their body temperatures and some are at the northern limit of their range in this region, it can be assumed that they may favour warmer microhabitats overall. Wetlands fed by water from south-facing slopes would be expected to be warmer, but the possible effect on amphibians has not been widely tested.</t>
  </si>
  <si>
    <t>Marshes and fens are most likely to provide favored breeding habitat (e.g., Houlahan &amp; Findlay 2003) but many swamps provide excellent cover for dispersing adults.  Some swamps in floodplains, however, have water levels that are too dynamic to support breeding by some amphibian speces.</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</si>
  <si>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</si>
  <si>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</si>
  <si>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</si>
  <si>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Wetland value is considered greater if it is part of an area recognised officially as being of outstanding importance to waterbirds. Such areas have been chosen through a systematic selection process by biologists and birders in this region and elsewhere.</t>
  </si>
  <si>
    <t>The total proportion of the land that is natural land cover, as well as its proximity, can affect songbird and mammal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</si>
  <si>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sised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</si>
  <si>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t xml:space="preserve">Although plant richness is often less in moss wetlands compared to others, there are many exceptions, and species that occur are often specialised and regionally uncommon (Hinds 1983, Moore et al. 1989, Keddy &amp; Wisheu 1989, Hill &amp; Keddy 1992, Hinds 2000). Moss (especially Sphagnum) indicates acidic conditions which slow the decomposition of plant material and decrease thus the availability of nutrients for other plants (Malmer et al. 2003, Fenton et al. 2005). </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</si>
  <si>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</si>
  <si>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</si>
  <si>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Shade from vegetation and other features is an important factor in cooling surface water and runoff before it reaches water bodies farther downstream (e.g., Rounds 2007). A study of many Seattle-area wetlands found that summertime temperatures ranged higher in wetlands that were characterised by relatively large open pools that lacked shade (Reinelt &amp; Horner 1990). In calculations, is excluded automatically (cell goes blank) if wetland never has surface water during an average year or if water is present only seasonally.</t>
  </si>
  <si>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</si>
  <si>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According to Figure A-1 in Appendix A of the Manual, the mean annual Growing Degree Days (GDD) in the vicinity of the AA is approximately:</t>
  </si>
  <si>
    <r>
      <t xml:space="preserve">Presence of one or more of the </t>
    </r>
    <r>
      <rPr>
        <b/>
        <sz val="10"/>
        <rFont val="Arial Narrow"/>
        <family val="2"/>
      </rPr>
      <t>waterbird</t>
    </r>
    <r>
      <rPr>
        <sz val="10"/>
        <rFont val="Arial Narrow"/>
        <family val="2"/>
      </rPr>
      <t xml:space="preserve"> species of conservation concern (WBF, WBN) as listed in the Wildlife_Rare worksheet of the accompanying SuppInfo file, during their nesting season (May-July for most species).</t>
    </r>
  </si>
  <si>
    <r>
      <t xml:space="preserve">Presence of one or more of the nesting </t>
    </r>
    <r>
      <rPr>
        <b/>
        <sz val="10"/>
        <rFont val="Arial Narrow"/>
        <family val="2"/>
      </rPr>
      <t>songbird or raptor</t>
    </r>
    <r>
      <rPr>
        <sz val="10"/>
        <rFont val="Arial Narrow"/>
        <family val="2"/>
      </rPr>
      <t xml:space="preserve"> species of conservation concern (SBM) as listed in the Wildlife_Rare worksheet of the accompanying SuppInfo file, during their nesting season (May-July for most species).</t>
    </r>
  </si>
  <si>
    <r>
      <t xml:space="preserve">Presence of one or more of the </t>
    </r>
    <r>
      <rPr>
        <b/>
        <sz val="10"/>
        <rFont val="Arial Narrow"/>
        <family val="2"/>
      </rPr>
      <t>amphibian or reptile</t>
    </r>
    <r>
      <rPr>
        <sz val="10"/>
        <rFont val="Arial Narrow"/>
        <family val="2"/>
      </rPr>
      <t xml:space="preserve"> species of conservation concern (AM) as listed in</t>
    </r>
    <r>
      <rPr>
        <sz val="10"/>
        <color rgb="FFFF0000"/>
        <rFont val="Arial Narrow"/>
        <family val="2"/>
      </rPr>
      <t xml:space="preserve"> </t>
    </r>
    <r>
      <rPr>
        <sz val="10"/>
        <rFont val="Arial Narrow"/>
        <family val="2"/>
      </rPr>
      <t>the Wildlife_Rare worksheet of the accompanying SuppInfo file</t>
    </r>
  </si>
  <si>
    <t>See Table A-1 in Appendix A of the Manual for a partial list of the inland limits of tidal influence, or consult local information sources.  [FA, WBF]</t>
  </si>
  <si>
    <t>[CS, INV, NR, PH, POL, SBM, Sens]</t>
  </si>
  <si>
    <t>Estimate the diameters at chest height.  If small-diameter trees are overtopped (shaded) by larger ones, visualise a "subcanopy" at the average height of the smaller-dbh trees, to serve as a basis for the minimum 5% canopy requirement in this question. The trees and shrubs need not be wetland species.  [AM, CS, POL, SBM, Sens, WBN]</t>
  </si>
  <si>
    <t>Forbs do not include grasses, sedges, cattail, or other graminoids.  Do not count horsetail as a forb.  [POL]</t>
  </si>
  <si>
    <t>[AM, FA, FR, INV, WBF, WBN]</t>
  </si>
  <si>
    <t>Water Cooling (WC)</t>
  </si>
  <si>
    <t>Sediment Retention &amp; Stabilisation (SR)</t>
  </si>
  <si>
    <t>Resident Fish Habitat (FR)</t>
  </si>
  <si>
    <t xml:space="preserve"> Sediment   Retention &amp; Stabilisation</t>
  </si>
  <si>
    <t>The effectiveness for intercepting and filtering suspended inorganic sediments, thus allowing their deposition, as well as reducing energy of waves and currents, resisting excessive erosion, and stabilising underlying sediments or soil.</t>
  </si>
  <si>
    <t xml:space="preserve">Peat or organic &lt;40 cm deep. </t>
  </si>
  <si>
    <t>Fines: includes silt, clay, clay loam, silty clay, silty clay loam, sandy clay, sandy clay loam.</t>
  </si>
  <si>
    <r>
      <t xml:space="preserve">The AA is in an area where research or map analysis (if any) has indicated groundwater may be at higher risk of contamination. Enter 1= yes, 0= no.  </t>
    </r>
    <r>
      <rPr>
        <u/>
        <sz val="10"/>
        <rFont val="Arial Narrow"/>
        <family val="2"/>
      </rPr>
      <t>In NB</t>
    </r>
    <r>
      <rPr>
        <sz val="10"/>
        <rFont val="Arial Narrow"/>
        <family val="2"/>
      </rPr>
      <t xml:space="preserve">: includes but not limited to Designated Protected Watershed or Protected Wellfield.  Go to: </t>
    </r>
    <r>
      <rPr>
        <sz val="10"/>
        <color rgb="FF0000CC"/>
        <rFont val="Arial Narrow"/>
        <family val="2"/>
      </rPr>
      <t>http://www.snb.ca/geonb1/e/apps/apps-E.asp</t>
    </r>
    <r>
      <rPr>
        <sz val="10"/>
        <rFont val="Arial Narrow"/>
        <family val="2"/>
      </rPr>
      <t xml:space="preserve"> </t>
    </r>
  </si>
  <si>
    <r>
      <t xml:space="preserve">is not connected to nearby salmon waters, but is known or likely to have </t>
    </r>
    <r>
      <rPr>
        <b/>
        <sz val="10"/>
        <rFont val="Arial Narrow"/>
        <family val="2"/>
      </rPr>
      <t>other fish</t>
    </r>
    <r>
      <rPr>
        <sz val="10"/>
        <rFont val="Arial Narrow"/>
        <family val="2"/>
      </rPr>
      <t xml:space="preserve"> at least seasonally.  </t>
    </r>
    <r>
      <rPr>
        <u/>
        <sz val="10"/>
        <rFont val="Arial Narrow"/>
        <family val="2"/>
      </rPr>
      <t>In NB</t>
    </r>
    <r>
      <rPr>
        <sz val="10"/>
        <rFont val="Arial Narrow"/>
        <family val="2"/>
      </rPr>
      <t xml:space="preserve">: includes but not limited to:  </t>
    </r>
    <r>
      <rPr>
        <sz val="10"/>
        <color rgb="FF0000CC"/>
        <rFont val="Arial Narrow"/>
        <family val="2"/>
      </rPr>
      <t>http://www2.gnb.ca/content/gnb/en/departments/natural_resources/fish/content/StockedWaters.html</t>
    </r>
  </si>
  <si>
    <r>
      <t>Presence of one or more of the</t>
    </r>
    <r>
      <rPr>
        <b/>
        <sz val="10"/>
        <rFont val="Arial Narrow"/>
        <family val="2"/>
      </rPr>
      <t xml:space="preserve"> plant </t>
    </r>
    <r>
      <rPr>
        <sz val="10"/>
        <rFont val="Arial Narrow"/>
        <family val="2"/>
      </rPr>
      <t>species listed in the Plants_Rare worksheet of the accompanying SuppInfo file,</t>
    </r>
    <r>
      <rPr>
        <sz val="10"/>
        <color rgb="FFFF0000"/>
        <rFont val="Arial Narrow"/>
        <family val="2"/>
      </rPr>
      <t xml:space="preserve"> </t>
    </r>
    <r>
      <rPr>
        <b/>
        <u/>
        <sz val="10"/>
        <rFont val="Arial Narrow"/>
        <family val="2"/>
      </rPr>
      <t>or</t>
    </r>
    <r>
      <rPr>
        <sz val="10"/>
        <rFont val="Arial Narrow"/>
        <family val="2"/>
      </rPr>
      <t xml:space="preserve"> (in NS only) the AA is </t>
    </r>
    <r>
      <rPr>
        <b/>
        <sz val="10"/>
        <rFont val="Arial Narrow"/>
        <family val="2"/>
      </rPr>
      <t>within a mapped Atlantic Coastal Plain Flora Buffer</t>
    </r>
    <r>
      <rPr>
        <sz val="10"/>
        <rFont val="Arial Narrow"/>
        <family val="2"/>
      </rPr>
      <t xml:space="preserve"> as shown in Special Management Practice Zones at</t>
    </r>
    <r>
      <rPr>
        <sz val="10"/>
        <color rgb="FFFF0000"/>
        <rFont val="Arial Narrow"/>
        <family val="2"/>
      </rPr>
      <t xml:space="preserve">: </t>
    </r>
    <r>
      <rPr>
        <sz val="10"/>
        <color rgb="FF0000CC"/>
        <rFont val="Arial Narrow"/>
        <family val="2"/>
      </rPr>
      <t xml:space="preserve">https://nsgi.novascotia.ca/plv/ </t>
    </r>
  </si>
  <si>
    <r>
      <t xml:space="preserve">The AA is all or part of a Deer Wintering Area or (in NS only) a Mainland Moose Concentration Area.  If AA is on private land with no information, change to </t>
    </r>
    <r>
      <rPr>
        <b/>
        <sz val="10"/>
        <rFont val="Arial Narrow"/>
        <family val="2"/>
      </rPr>
      <t xml:space="preserve">blank. </t>
    </r>
    <r>
      <rPr>
        <sz val="10"/>
        <rFont val="Arial Narrow"/>
        <family val="2"/>
      </rPr>
      <t xml:space="preserve"> Otherwise,</t>
    </r>
    <r>
      <rPr>
        <u/>
        <sz val="10"/>
        <rFont val="Arial Narrow"/>
        <family val="2"/>
      </rPr>
      <t xml:space="preserve"> in NB</t>
    </r>
    <r>
      <rPr>
        <sz val="10"/>
        <rFont val="Arial Narrow"/>
        <family val="2"/>
      </rPr>
      <t>: In Google Earth, view the KMZ overlay that accompanies this calculator, or download the shapefile (Crown Lands Conservation Areas) at</t>
    </r>
    <r>
      <rPr>
        <sz val="10"/>
        <color rgb="FF0070C0"/>
        <rFont val="Arial Narrow"/>
        <family val="2"/>
      </rPr>
      <t xml:space="preserve"> </t>
    </r>
    <r>
      <rPr>
        <sz val="10"/>
        <color rgb="FF0000CC"/>
        <rFont val="Arial Narrow"/>
        <family val="2"/>
      </rPr>
      <t>http://www.snb.ca/geonb1/e/DC/catalogue-E.asp</t>
    </r>
    <r>
      <rPr>
        <sz val="10"/>
        <rFont val="Arial Narrow"/>
        <family val="2"/>
      </rPr>
      <t xml:space="preserve"> </t>
    </r>
    <r>
      <rPr>
        <u/>
        <sz val="10"/>
        <rFont val="Arial Narrow"/>
        <family val="2"/>
      </rPr>
      <t xml:space="preserve"> In NS</t>
    </r>
    <r>
      <rPr>
        <sz val="10"/>
        <rFont val="Arial Narrow"/>
        <family val="2"/>
      </rPr>
      <t xml:space="preserve">: go to </t>
    </r>
    <r>
      <rPr>
        <sz val="10"/>
        <color rgb="FF0000CC"/>
        <rFont val="Arial Narrow"/>
        <family val="2"/>
      </rPr>
      <t>https://nsgi.novascotia.ca/plv/</t>
    </r>
    <r>
      <rPr>
        <sz val="10"/>
        <color rgb="FF0070C0"/>
        <rFont val="Arial Narrow"/>
        <family val="2"/>
      </rPr>
      <t xml:space="preserve"> </t>
    </r>
    <r>
      <rPr>
        <sz val="10"/>
        <rFont val="Arial Narrow"/>
        <family val="2"/>
      </rPr>
      <t xml:space="preserve"> and view Special Management Practice Zones&gt; Mainland Moose Concentration Areas).</t>
    </r>
  </si>
  <si>
    <r>
      <t xml:space="preserve">The AA is all or part of an area designated by the provincial government for its exceptional ecological features or highly intact natural conditions.  Enter: yes= 1, no= 0.  </t>
    </r>
    <r>
      <rPr>
        <u/>
        <sz val="10"/>
        <rFont val="Arial Narrow"/>
        <family val="2"/>
      </rPr>
      <t>In NB</t>
    </r>
    <r>
      <rPr>
        <sz val="10"/>
        <rFont val="Arial Narrow"/>
        <family val="2"/>
      </rPr>
      <t xml:space="preserve">: Provincially Significant Wetland, Environmentally Significant Area, Protected Natural Area (go to </t>
    </r>
    <r>
      <rPr>
        <sz val="10"/>
        <color rgb="FF0000CC"/>
        <rFont val="Arial Narrow"/>
        <family val="2"/>
      </rPr>
      <t>http://www.snb.ca/geonb1/e/apps/apps-E.asp</t>
    </r>
    <r>
      <rPr>
        <sz val="10"/>
        <color rgb="FF0070C0"/>
        <rFont val="Arial Narrow"/>
        <family val="2"/>
      </rPr>
      <t xml:space="preserve"> </t>
    </r>
    <r>
      <rPr>
        <sz val="10"/>
        <rFont val="Arial Narrow"/>
        <family val="2"/>
      </rPr>
      <t xml:space="preserve">and see Candidate PNA Map Viewer)  </t>
    </r>
    <r>
      <rPr>
        <u/>
        <sz val="10"/>
        <rFont val="Arial Narrow"/>
        <family val="2"/>
      </rPr>
      <t>In NS</t>
    </r>
    <r>
      <rPr>
        <sz val="10"/>
        <rFont val="Arial Narrow"/>
        <family val="2"/>
      </rPr>
      <t xml:space="preserve">: go to </t>
    </r>
    <r>
      <rPr>
        <sz val="10"/>
        <color rgb="FF0000CC"/>
        <rFont val="Arial Narrow"/>
        <family val="2"/>
      </rPr>
      <t xml:space="preserve">https://nsgi.novascotia.ca/plv/ </t>
    </r>
    <r>
      <rPr>
        <sz val="10"/>
        <rFont val="Arial Narrow"/>
        <family val="2"/>
      </rPr>
      <t xml:space="preserve"> and view Protected Areas).</t>
    </r>
  </si>
  <si>
    <r>
      <t>The AA is within an area mapped as generally high suitability (</t>
    </r>
    <r>
      <rPr>
        <b/>
        <sz val="10"/>
        <rFont val="Arial Narrow"/>
        <family val="2"/>
      </rPr>
      <t>&gt;20</t>
    </r>
    <r>
      <rPr>
        <sz val="10"/>
        <rFont val="Arial Narrow"/>
        <family val="2"/>
      </rPr>
      <t xml:space="preserve"> pairs/25 sq km) for nesting American Black Duck.  See Figure A-5 in Appendix A of the Manual.  Enter 1= yes, 0= no.</t>
    </r>
  </si>
  <si>
    <r>
      <rPr>
        <b/>
        <sz val="12"/>
        <rFont val="Calibri"/>
        <family val="2"/>
      </rPr>
      <t>Form OF (Office). Non-tidal Wetland Data Form. WESP-AC version 1.1</t>
    </r>
    <r>
      <rPr>
        <sz val="11"/>
        <rFont val="Calibri"/>
        <family val="2"/>
      </rPr>
      <t xml:space="preserve">. </t>
    </r>
    <r>
      <rPr>
        <u/>
        <sz val="11"/>
        <rFont val="Calibri"/>
        <family val="2"/>
      </rPr>
      <t>DIRECTIONS</t>
    </r>
    <r>
      <rPr>
        <sz val="11"/>
        <rFont val="Calibri"/>
        <family val="2"/>
      </rPr>
      <t xml:space="preserve">:  Conduct an assessment only after reading the accompanying Manual. In the Data column, change the 0 (false) to a 1 (true) for the best choice, or for multiple choices where allowed and so indicated.  Answering most of the questions below will require accessing the internet. For most wetlands, completing this office data form will require 1-2 hours. For a list of functions to which each question pertains, see the Definitions/Explanations column. For detailed descriptions of each WESP-AC model, see Appendix B of the accompanying Manual. Codes for functions and values are: WS= Water Storage, SFS= Stream Flow Support, WC= Water Cooling, SR= Sediment Retention &amp; Stabilisation, PR= Phosphorus Retention, NR= Nitrate Removal, CS= Carbon Sequestration, OE= Organic Nutrient Export, INV= Invertebrate Habitat, FA= Anadromous Fish Habitat, FR= Resident Fish Habitat, AM= Amphibians &amp; Reptiles Habitat, WBF= Feeding Waterbirds Habitat, WBN= Nesting Waterbirds Habitat, SBM= Songbirds, Raptors, &amp; Mammal Habitat, POL= Pollinator Habitat, PH= Native Plant Habitat, PU= Public Use &amp; Recognition, EC= Ecological Condition, Sen= Wetland Sensitivity, STR= Stressors.                                                                                                                                                                                                                                                                             </t>
    </r>
  </si>
  <si>
    <r>
      <t xml:space="preserve">is known to support </t>
    </r>
    <r>
      <rPr>
        <b/>
        <sz val="10"/>
        <rFont val="Arial Narrow"/>
        <family val="2"/>
      </rPr>
      <t xml:space="preserve">Atlantic salmon </t>
    </r>
    <r>
      <rPr>
        <sz val="10"/>
        <rFont val="Arial Narrow"/>
        <family val="2"/>
      </rPr>
      <t xml:space="preserve">rearing and/or spawning.  In NB, consult Figure A-2 in Appendix A of the Manual, or local fishery biologists. </t>
    </r>
  </si>
  <si>
    <t xml:space="preserve">The AA is all or part of the West Shepody Bay or St. Johns River Important Bird Areas (IBA). See Figures A-3 &amp; A-4 in Appendix A of the Manual. Enter 1= yes, 0= no. </t>
  </si>
  <si>
    <r>
      <t>The AA is in an area that is at least partly underlain by soil, sediment, or bedrock that is highly calcareous (</t>
    </r>
    <r>
      <rPr>
        <b/>
        <sz val="10"/>
        <rFont val="Arial Narrow"/>
        <family val="2"/>
      </rPr>
      <t>enter 3</t>
    </r>
    <r>
      <rPr>
        <sz val="10"/>
        <rFont val="Arial Narrow"/>
        <family val="2"/>
      </rPr>
      <t xml:space="preserve"> in next column), moderately calcareous (</t>
    </r>
    <r>
      <rPr>
        <b/>
        <sz val="10"/>
        <rFont val="Arial Narrow"/>
        <family val="2"/>
      </rPr>
      <t>enter 2</t>
    </r>
    <r>
      <rPr>
        <sz val="10"/>
        <rFont val="Arial Narrow"/>
        <family val="2"/>
      </rPr>
      <t>), or slightly calcareous (</t>
    </r>
    <r>
      <rPr>
        <b/>
        <sz val="10"/>
        <rFont val="Arial Narrow"/>
        <family val="2"/>
      </rPr>
      <t>enter 1</t>
    </r>
    <r>
      <rPr>
        <sz val="10"/>
        <rFont val="Arial Narrow"/>
        <family val="2"/>
      </rPr>
      <t xml:space="preserve">), none= </t>
    </r>
    <r>
      <rPr>
        <b/>
        <sz val="10"/>
        <rFont val="Arial Narrow"/>
        <family val="2"/>
      </rPr>
      <t>0</t>
    </r>
    <r>
      <rPr>
        <sz val="10"/>
        <rFont val="Arial Narrow"/>
        <family val="2"/>
      </rPr>
      <t xml:space="preserve">. Limestone is typically a major component (karst geology) and water is not acidic (pH is usually &gt;8). If no map coverage, </t>
    </r>
    <r>
      <rPr>
        <b/>
        <sz val="10"/>
        <rFont val="Arial Narrow"/>
        <family val="2"/>
      </rPr>
      <t>change to blank</t>
    </r>
    <r>
      <rPr>
        <sz val="10"/>
        <rFont val="Arial Narrow"/>
        <family val="2"/>
      </rPr>
      <t xml:space="preserve">. </t>
    </r>
    <r>
      <rPr>
        <u/>
        <sz val="10"/>
        <rFont val="Arial Narrow"/>
        <family val="2"/>
      </rPr>
      <t>In NB</t>
    </r>
    <r>
      <rPr>
        <sz val="10"/>
        <rFont val="Arial Narrow"/>
        <family val="2"/>
      </rPr>
      <t xml:space="preserve">: see Figure A-6 in Appendix A of the Manual, or use GIS with Bedrock Geology shapefile at </t>
    </r>
    <r>
      <rPr>
        <sz val="10"/>
        <color rgb="FF0000CC"/>
        <rFont val="Arial Narrow"/>
        <family val="2"/>
      </rPr>
      <t>http://www.snb.ca/geonb1/e/DC/catalogue-E.asp</t>
    </r>
  </si>
  <si>
    <r>
      <rPr>
        <b/>
        <sz val="12"/>
        <rFont val="Calibri"/>
        <family val="2"/>
      </rPr>
      <t>Form F (Field). Non-tidal Wetland Data Form. WESP-AC version 1.1</t>
    </r>
    <r>
      <rPr>
        <sz val="11"/>
        <rFont val="Calibri"/>
        <family val="2"/>
      </rPr>
      <t xml:space="preserve">. </t>
    </r>
    <r>
      <rPr>
        <u/>
        <sz val="11"/>
        <rFont val="Calibri"/>
        <family val="2"/>
      </rPr>
      <t>DIRECTIONS</t>
    </r>
    <r>
      <rPr>
        <sz val="11"/>
        <rFont val="Calibri"/>
        <family val="2"/>
      </rPr>
      <t xml:space="preserve">:  Conduct an assessment only after reading the accompanying Manual. In the Data column, change the 0 (false) to a 1 (true) for the best choice, or for multiple choices where allowed and so indicated. Answer these questions primarily based on your onsite observations and interpretations. Do not write in shaded parts of this data form. Answering some questions accurately may require conferring with the landowner or other knowledgable persons, and/or reviewing aerial imagery. For most wetlands, completing this field data form will require 1-2 hours on a site. For a list of functions to which each question pertains, see the accompanying Interpretations form. For detailed descriptions of each WESP-AC model, see Appendix B of the accompanying Manual. Codes for functions and values are: WS= Water Storage, SFS= Stream Flow Support, WC= Water Cooling, SR= Sediment Retention &amp; Stabilisation, PR= Phosphorus Retention, NR= Nitrate Removal, CS= Carbon Sequestration, OE= Organic Nutrient Export, INV= Invertebrate Habitat, FA= Anadromous Fish Habitat, FR= Resident Fish Habitat, AM= Amphibians &amp; Reptiles Habitat, WBF= Feeding Waterbirds Habitat, WBN= Nesting Waterbirds Habitat, SBM= Songbirds, Raptors, &amp; Mammal Habitat, POL= Pollinator Habitat, PH= Native Plant Habitat, PU= Public Use &amp; Recognition, EC= Ecological Condition, Sen= Wetland Sensitivity, STR= Stressors.                                                                                                                                                                                                   </t>
    </r>
  </si>
  <si>
    <r>
      <t>In parts of the AA that lack persistent water, the texture of soil in the uppermost layer is mostly:  [</t>
    </r>
    <r>
      <rPr>
        <i/>
        <sz val="10"/>
        <rFont val="Arial Narrow"/>
        <family val="2"/>
      </rPr>
      <t xml:space="preserve">To determine this, use a trowel to check in at least 3 widely spaced locations, and use the soil texture key (Figure A-7 in the Manual. ] </t>
    </r>
  </si>
  <si>
    <t>Exotic Plant Cover</t>
  </si>
  <si>
    <t>How extensive is the cover of exotic plant species in the AA?  For species, see Plants_Exotic worksheet in the SuppInfo file accompanying this calculator.</t>
  </si>
  <si>
    <r>
      <t xml:space="preserve">exotic species appear to be </t>
    </r>
    <r>
      <rPr>
        <b/>
        <sz val="10"/>
        <rFont val="Arial Narrow"/>
        <family val="2"/>
      </rPr>
      <t xml:space="preserve">absent </t>
    </r>
    <r>
      <rPr>
        <u/>
        <sz val="10"/>
        <rFont val="Arial Narrow"/>
        <family val="2"/>
      </rPr>
      <t>in</t>
    </r>
    <r>
      <rPr>
        <b/>
        <sz val="10"/>
        <rFont val="Arial Narrow"/>
        <family val="2"/>
      </rPr>
      <t xml:space="preserve"> </t>
    </r>
    <r>
      <rPr>
        <sz val="10"/>
        <rFont val="Arial Narrow"/>
        <family val="2"/>
      </rPr>
      <t>the AA, or are present only in trace amount (a few individuals).</t>
    </r>
  </si>
  <si>
    <r>
      <t>Along the wetland-upland boundary, the percent of the upland edge (within 3 m upslope from the wetland) that is occupied by exotic plant species</t>
    </r>
    <r>
      <rPr>
        <sz val="10"/>
        <rFont val="Arial Narrow"/>
        <family val="2"/>
      </rPr>
      <t xml:space="preserve"> is:</t>
    </r>
  </si>
  <si>
    <t>If a plant cannot be identified to species (e.g., winter conditions) but its genus contains an exotic species, assume the unidentified plant to also be exotic. If vegetation is so senesced that exotic species cannot be identified, answer "none". [PH, STR]</t>
  </si>
  <si>
    <t>Exotic Cover Along Upland Edge</t>
  </si>
  <si>
    <t>exotic species are present in more than trace amounts, but comprise &lt;5% of herbaceous cover (or woody cover, if the exotics are woody).</t>
  </si>
  <si>
    <t>exotic species comprise 5-20% of the herb cover (or woody cover, if the exotics are woody).</t>
  </si>
  <si>
    <t>exotic species comprise 20-50% of the herb cover  (or woody cover, if the exotics are woody).</t>
  </si>
  <si>
    <t>exotic species comprise &gt;50% of the herb cover  (or woody cover, if the exotics are woody).</t>
  </si>
  <si>
    <t>none of the upland edge (exotics apparently absent), or AA has no upland edge.</t>
  </si>
  <si>
    <t>To view watersheds, open Google Earth and then the NB_Watersheds.kmz file that accompanies this calculator. Determine the AA's position in its watershed as follows: 
1) If the AA is on a channel wider than 10 m, or has both inlet &amp; outlet and is closer to the watershed's outlet than to its upper end, check "lower 1/3.” 
2) If the AA is the source of a headwater stream, or lacks an outlet and is close to the watershed's outer margin, then check "upper 1/3.”  For all other conditions, check "middle 1/3".</t>
  </si>
  <si>
    <r>
      <t xml:space="preserve">The AA is, or is part of, a calcareous fen. See the Plants_Calcar worksheet in the accompanying SuppInfo file for list of plant indicators (calciphiles). Enter 1 If more than two </t>
    </r>
    <r>
      <rPr>
        <b/>
        <sz val="10"/>
        <rFont val="Arial Narrow"/>
        <family val="2"/>
      </rPr>
      <t>Strong</t>
    </r>
    <r>
      <rPr>
        <sz val="10"/>
        <rFont val="Arial Narrow"/>
        <family val="2"/>
      </rPr>
      <t xml:space="preserve"> or more than five </t>
    </r>
    <r>
      <rPr>
        <b/>
        <sz val="10"/>
        <rFont val="Arial Narrow"/>
        <family val="2"/>
      </rPr>
      <t>Moderate</t>
    </r>
    <r>
      <rPr>
        <sz val="10"/>
        <rFont val="Arial Narrow"/>
        <family val="2"/>
      </rPr>
      <t xml:space="preserve"> calciphile species are present; otherwise enter 0, but if not able to identify those and </t>
    </r>
    <r>
      <rPr>
        <b/>
        <sz val="10"/>
        <rFont val="Arial Narrow"/>
        <family val="2"/>
      </rPr>
      <t xml:space="preserve">no information, change to blank. </t>
    </r>
  </si>
  <si>
    <r>
      <rPr>
        <b/>
        <sz val="10"/>
        <rFont val="Arial Narrow"/>
        <family val="2"/>
      </rPr>
      <t>Open Peatland Flat</t>
    </r>
    <r>
      <rPr>
        <sz val="10"/>
        <rFont val="Arial Narrow"/>
        <family val="2"/>
      </rPr>
      <t xml:space="preserve"> (Bog). More than 50% of the ground is covered with moss and/or lichen and undecomposed peat substrate predominates (mineral soil or bedrock often not predominating until soil depth exceeds 40 cm). Often with ericaceous shrubs (e.g., Labrador tea), pitcher plant, sundew. </t>
    </r>
    <r>
      <rPr>
        <b/>
        <sz val="10"/>
        <rFont val="Arial Narrow"/>
        <family val="2"/>
      </rPr>
      <t>Tree &amp; tall shrub cover usually &lt;25%</t>
    </r>
    <r>
      <rPr>
        <sz val="10"/>
        <rFont val="Arial Narrow"/>
        <family val="2"/>
      </rPr>
      <t>, often black spruce. Seldom with inlet &amp; outlet. Surface water is absent or, if present, pH is usually &lt;4.5.</t>
    </r>
  </si>
  <si>
    <r>
      <rPr>
        <b/>
        <sz val="10"/>
        <rFont val="Arial Narrow"/>
        <family val="2"/>
      </rPr>
      <t>Fen</t>
    </r>
    <r>
      <rPr>
        <sz val="10"/>
        <rFont val="Arial Narrow"/>
        <family val="2"/>
      </rPr>
      <t>: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t>
    </r>
  </si>
  <si>
    <r>
      <rPr>
        <b/>
        <sz val="10"/>
        <rFont val="Arial Narrow"/>
        <family val="2"/>
      </rPr>
      <t>Marsh</t>
    </r>
    <r>
      <rPr>
        <sz val="10"/>
        <rFont val="Arial Narrow"/>
        <family val="2"/>
      </rPr>
      <t>: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t>
    </r>
  </si>
  <si>
    <t>Determine this by viewing aerial imagery in Google Earth or GeoNB, after successively drawing or estimating the boundaries of the buffers of 5 km, 1 km, and 100 m focused on the center of the AA.  Circles of specified radius can be drawn in Google Earth Pro by clicking on the Ruler icon, then Circle in the pop-up menu. [AMv, PHv, POLv, SBMv, WBFv, WBNv]</t>
  </si>
  <si>
    <r>
      <t xml:space="preserve">Does the AA contain the </t>
    </r>
    <r>
      <rPr>
        <b/>
        <sz val="10"/>
        <rFont val="Arial Narrow"/>
        <family val="2"/>
      </rPr>
      <t xml:space="preserve">largest </t>
    </r>
    <r>
      <rPr>
        <sz val="10"/>
        <rFont val="Arial Narrow"/>
        <family val="2"/>
      </rPr>
      <t xml:space="preserve">unmanaged herbaceous* patch within </t>
    </r>
    <r>
      <rPr>
        <b/>
        <sz val="10"/>
        <rFont val="Arial Narrow"/>
        <family val="2"/>
      </rPr>
      <t xml:space="preserve">5 km </t>
    </r>
    <r>
      <rPr>
        <sz val="10"/>
        <rFont val="Arial Narrow"/>
        <family val="2"/>
      </rPr>
      <t>of the AA's edge? (or is the AA's vegetation mostly herbaceous but uplands within 5 km have &lt;10% herbaceous cover?). If so, enter "</t>
    </r>
    <r>
      <rPr>
        <b/>
        <sz val="10"/>
        <rFont val="Arial Narrow"/>
        <family val="2"/>
      </rPr>
      <t>3</t>
    </r>
    <r>
      <rPr>
        <sz val="10"/>
        <rFont val="Arial Narrow"/>
        <family val="2"/>
      </rPr>
      <t xml:space="preserve">" and continue to OF6.  If not, consider: 
Does the AA have the largest unmanaged herbaceous patch within </t>
    </r>
    <r>
      <rPr>
        <b/>
        <sz val="10"/>
        <rFont val="Arial Narrow"/>
        <family val="2"/>
      </rPr>
      <t>1 km</t>
    </r>
    <r>
      <rPr>
        <sz val="10"/>
        <rFont val="Arial Narrow"/>
        <family val="2"/>
      </rPr>
      <t>? (or is the AA's vegetation mostly herbaceous but uplands within 1 km have &lt;10% herbaceous cover?); if so enter "</t>
    </r>
    <r>
      <rPr>
        <b/>
        <sz val="10"/>
        <rFont val="Arial Narrow"/>
        <family val="2"/>
      </rPr>
      <t>2</t>
    </r>
    <r>
      <rPr>
        <sz val="10"/>
        <rFont val="Arial Narrow"/>
        <family val="2"/>
      </rPr>
      <t xml:space="preserve">" and continue to OF6.  If not, consider: 
Does  the AA have the largest unmanaged patch of herbaceous vegetation within </t>
    </r>
    <r>
      <rPr>
        <b/>
        <sz val="10"/>
        <rFont val="Arial Narrow"/>
        <family val="2"/>
      </rPr>
      <t>100 m</t>
    </r>
    <r>
      <rPr>
        <sz val="10"/>
        <rFont val="Arial Narrow"/>
        <family val="2"/>
      </rPr>
      <t>? (or is the AA's vegetation mostly herbaceous but uplands within 100 m have &lt;10% herbaceous cover?)  If so, enter "</t>
    </r>
    <r>
      <rPr>
        <b/>
        <sz val="10"/>
        <rFont val="Arial Narrow"/>
        <family val="2"/>
      </rPr>
      <t>1</t>
    </r>
    <r>
      <rPr>
        <sz val="10"/>
        <rFont val="Arial Narrow"/>
        <family val="2"/>
      </rPr>
      <t xml:space="preserve">"  
[* NOTE: </t>
    </r>
    <r>
      <rPr>
        <b/>
        <sz val="10"/>
        <rFont val="Arial Narrow"/>
        <family val="2"/>
      </rPr>
      <t>Exclude</t>
    </r>
    <r>
      <rPr>
        <sz val="10"/>
        <rFont val="Arial Narrow"/>
        <family val="2"/>
      </rPr>
      <t xml:space="preserve"> lawns, row crops, heavily grazed lands, forest, shrublands. Include moss as well as grasslike plants in this use of "herbaceous vegetation"]
</t>
    </r>
  </si>
  <si>
    <r>
      <t xml:space="preserve">Does the AA contain the </t>
    </r>
    <r>
      <rPr>
        <b/>
        <sz val="10"/>
        <rFont val="Arial Narrow"/>
        <family val="2"/>
      </rPr>
      <t>largest</t>
    </r>
    <r>
      <rPr>
        <sz val="10"/>
        <rFont val="Arial Narrow"/>
        <family val="2"/>
      </rPr>
      <t xml:space="preserve"> unmanaged woody* patch within </t>
    </r>
    <r>
      <rPr>
        <b/>
        <sz val="10"/>
        <rFont val="Arial Narrow"/>
        <family val="2"/>
      </rPr>
      <t>5 km</t>
    </r>
    <r>
      <rPr>
        <sz val="10"/>
        <rFont val="Arial Narrow"/>
        <family val="2"/>
      </rPr>
      <t xml:space="preserve">? (or is the AA's vegetation mostly woody but uplands within 5 km have &lt;10% woody cover?). If so, enter "3" and continue to OF6.  If not, consider: 
Does the AA have the largest unmanaged woody patch within </t>
    </r>
    <r>
      <rPr>
        <b/>
        <sz val="10"/>
        <rFont val="Arial Narrow"/>
        <family val="2"/>
      </rPr>
      <t>1 km</t>
    </r>
    <r>
      <rPr>
        <sz val="10"/>
        <rFont val="Arial Narrow"/>
        <family val="2"/>
      </rPr>
      <t xml:space="preserve">? (or is the AA's vegetation mostly woody but uplands within 1 km have &lt;10% woody cover?); if so enter "2" and continue to OF6.  If not, consider: 
Does  the AA have the largest unmanaged patch of woody vegetation within </t>
    </r>
    <r>
      <rPr>
        <b/>
        <sz val="10"/>
        <rFont val="Arial Narrow"/>
        <family val="2"/>
      </rPr>
      <t>100 m</t>
    </r>
    <r>
      <rPr>
        <sz val="10"/>
        <rFont val="Arial Narrow"/>
        <family val="2"/>
      </rPr>
      <t xml:space="preserve">? (or is the AA's vegetation mostly woody but uplands within 100 m have &lt;10% woody cover?)  If so, enter "1".  
 [*NOTE: woody = Shrubland and forest, but exclude conifer plantations. ]
</t>
    </r>
  </si>
  <si>
    <t>CoverPg: Basic Description of Assessment</t>
  </si>
  <si>
    <t>Site Name:</t>
  </si>
  <si>
    <t>Investigator Name:</t>
  </si>
  <si>
    <t>Date of Field Assessment:</t>
  </si>
  <si>
    <t>Nearest Town:</t>
  </si>
  <si>
    <t>Latitude (decimal degrees):</t>
  </si>
  <si>
    <t>Longitude (decimal degrees):</t>
  </si>
  <si>
    <t>Approximate size of the Assessment Area (AA, in acres):</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</si>
  <si>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</si>
  <si>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</si>
  <si>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</si>
  <si>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Have you attended a WESP-AC training session?  If so, indicate approximate month &amp; year.</t>
  </si>
  <si>
    <t>How many wetlands have you assessed previously using WESP-AC? (approx.)</t>
  </si>
  <si>
    <t>Comments about the site or this WESP-AC assessment (attach extra page if desired):</t>
  </si>
  <si>
    <t>WESP-AC version 1.1</t>
  </si>
  <si>
    <t>WETLAND CONDITION (EC)</t>
  </si>
  <si>
    <t>min</t>
  </si>
  <si>
    <t>max</t>
  </si>
  <si>
    <t>range</t>
  </si>
  <si>
    <t>Function Rating</t>
  </si>
  <si>
    <t xml:space="preserve">Benefits Score (normalized) </t>
  </si>
  <si>
    <t>Benefits Rating</t>
  </si>
  <si>
    <r>
      <t xml:space="preserve">Function </t>
    </r>
    <r>
      <rPr>
        <sz val="11"/>
        <rFont val="Arial Narrow"/>
        <family val="2"/>
      </rPr>
      <t>Score (normalized)</t>
    </r>
  </si>
  <si>
    <r>
      <t xml:space="preserve">The minimum distance from the AA </t>
    </r>
    <r>
      <rPr>
        <b/>
        <sz val="10"/>
        <rFont val="Arial Narrow"/>
        <family val="2"/>
      </rPr>
      <t>edge</t>
    </r>
    <r>
      <rPr>
        <sz val="10"/>
        <rFont val="Arial Narrow"/>
        <family val="2"/>
      </rPr>
      <t xml:space="preserve"> to the edge of the closest patch or corridor of </t>
    </r>
    <r>
      <rPr>
        <b/>
        <i/>
        <sz val="10"/>
        <rFont val="Arial Narrow"/>
        <family val="2"/>
      </rPr>
      <t xml:space="preserve">unmanaged vegetated land </t>
    </r>
    <r>
      <rPr>
        <sz val="10"/>
        <rFont val="Arial Narrow"/>
        <family val="2"/>
      </rPr>
      <t xml:space="preserve">(excluding row crops, lawn, conifer plantation) </t>
    </r>
    <r>
      <rPr>
        <b/>
        <sz val="10"/>
        <rFont val="Arial Narrow"/>
        <family val="2"/>
      </rPr>
      <t>larger than 375 hectares</t>
    </r>
    <r>
      <rPr>
        <sz val="10"/>
        <rFont val="Arial Narrow"/>
        <family val="2"/>
      </rPr>
      <t>, is:</t>
    </r>
  </si>
  <si>
    <t>EC</t>
  </si>
  <si>
    <t>Organic                   Nutrient                    Export</t>
  </si>
  <si>
    <t xml:space="preserve">The effectiveness for producing and subsequently exporting organic nutrients, either particulate or dissolved, along with associated compounds and elements such as iron.
</t>
  </si>
  <si>
    <r>
      <t xml:space="preserve">IF((Access=0),0,
IF((AllSat1=0),0, </t>
    </r>
    <r>
      <rPr>
        <b/>
        <sz val="10"/>
        <rFont val="Arial Narrow"/>
        <family val="2"/>
      </rPr>
      <t>ELSE:</t>
    </r>
    <r>
      <rPr>
        <sz val="10"/>
        <rFont val="Arial Narrow"/>
        <family val="2"/>
      </rPr>
      <t xml:space="preserve">
(AVERAGE(Access, OutDura)) X (AVERAGE(HydroRegime, Structure, Productivity, LScape, Stress))
</t>
    </r>
  </si>
  <si>
    <t>Local Vegetated Cover Percentage</t>
  </si>
  <si>
    <r>
      <t xml:space="preserve">Draw a </t>
    </r>
    <r>
      <rPr>
        <b/>
        <sz val="10"/>
        <rFont val="Arial Narrow"/>
        <family val="2"/>
      </rPr>
      <t>5-km</t>
    </r>
    <r>
      <rPr>
        <sz val="10"/>
        <rFont val="Arial Narrow"/>
        <family val="2"/>
      </rPr>
      <t xml:space="preserve"> radius circle measured from the center of the AA. </t>
    </r>
    <r>
      <rPr>
        <b/>
        <sz val="10"/>
        <rFont val="Arial Narrow"/>
        <family val="2"/>
      </rPr>
      <t xml:space="preserve"> Ignoring all permanent water</t>
    </r>
    <r>
      <rPr>
        <sz val="10"/>
        <rFont val="Arial Narrow"/>
        <family val="2"/>
      </rPr>
      <t xml:space="preserve"> in the circle, the percent of the </t>
    </r>
    <r>
      <rPr>
        <b/>
        <sz val="10"/>
        <rFont val="Arial Narrow"/>
        <family val="2"/>
      </rPr>
      <t>remaining</t>
    </r>
    <r>
      <rPr>
        <sz val="10"/>
        <rFont val="Arial Narrow"/>
        <family val="2"/>
      </rPr>
      <t xml:space="preserve"> area</t>
    </r>
    <r>
      <rPr>
        <b/>
        <sz val="10"/>
        <rFont val="Arial Narrow"/>
        <family val="2"/>
      </rPr>
      <t xml:space="preserve"> </t>
    </r>
    <r>
      <rPr>
        <sz val="10"/>
        <rFont val="Arial Narrow"/>
        <family val="2"/>
      </rPr>
      <t>that</t>
    </r>
    <r>
      <rPr>
        <b/>
        <sz val="10"/>
        <rFont val="Arial Narrow"/>
        <family val="2"/>
      </rPr>
      <t xml:space="preserve"> </t>
    </r>
    <r>
      <rPr>
        <sz val="10"/>
        <rFont val="Arial Narrow"/>
        <family val="2"/>
      </rPr>
      <t xml:space="preserve">is </t>
    </r>
    <r>
      <rPr>
        <b/>
        <sz val="10"/>
        <rFont val="Arial Narrow"/>
        <family val="2"/>
      </rPr>
      <t>NOT</t>
    </r>
    <r>
      <rPr>
        <sz val="10"/>
        <rFont val="Arial Narrow"/>
        <family val="2"/>
      </rPr>
      <t xml:space="preserve"> lawn, row crops, heavily grazed land, clearcuts, or conifer plantations is:</t>
    </r>
  </si>
  <si>
    <r>
      <t xml:space="preserve">Within the </t>
    </r>
    <r>
      <rPr>
        <b/>
        <sz val="10"/>
        <rFont val="Arial Narrow"/>
        <family val="2"/>
      </rPr>
      <t xml:space="preserve">5-km </t>
    </r>
    <r>
      <rPr>
        <sz val="10"/>
        <rFont val="Arial Narrow"/>
        <family val="2"/>
      </rPr>
      <t xml:space="preserve">radius circle, and ignoring all permanent water, the land area that is </t>
    </r>
    <r>
      <rPr>
        <sz val="10"/>
        <rFont val="Arial Narrow"/>
        <family val="2"/>
      </rPr>
      <t>unmanaged cover is mostly:</t>
    </r>
  </si>
  <si>
    <r>
      <t xml:space="preserve">&lt;2% </t>
    </r>
    <r>
      <rPr>
        <b/>
        <sz val="10"/>
        <rFont val="Arial Narrow"/>
        <family val="2"/>
      </rPr>
      <t>or</t>
    </r>
    <r>
      <rPr>
        <sz val="10"/>
        <rFont val="Arial Narrow"/>
        <family val="2"/>
      </rPr>
      <t xml:space="preserve"> the AA has no surface water outlet (not even seasonally)</t>
    </r>
  </si>
  <si>
    <t>NOTE: A score of 0 does not mean the function or benefit is absent from the wetland. It means only that this wetland has a capacity that is equal or less than the lowest-scoring one, for that function or benefit, from among the 98 NB calibration wetlands that were assessed previously.</t>
  </si>
  <si>
    <t>TRANSITION HABITAT Group (max+avg/2 of SBM, PH, POL)</t>
  </si>
  <si>
    <t>WATER QUALITY SUPPORT Group (max+avg/2 of SR, PR, NR, CS)</t>
  </si>
</sst>
</file>

<file path=xl/styles.xml><?xml version="1.0" encoding="utf-8"?>
<styleSheet xmlns="http://schemas.openxmlformats.org/spreadsheetml/2006/main">
  <numFmts count="1">
    <numFmt numFmtId="164" formatCode="0.0000"/>
  </numFmts>
  <fonts count="81">
    <font>
      <sz val="10"/>
      <name val="Times New Roman"/>
    </font>
    <font>
      <sz val="10"/>
      <color indexed="8"/>
      <name val="Arial Narrow"/>
      <family val="2"/>
    </font>
    <font>
      <sz val="8"/>
      <name val="Times New Roman"/>
      <family val="1"/>
    </font>
    <font>
      <sz val="10"/>
      <name val="Arial"/>
      <family val="2"/>
    </font>
    <font>
      <sz val="10"/>
      <name val="Arial Narrow"/>
      <family val="2"/>
    </font>
    <font>
      <b/>
      <sz val="10"/>
      <name val="Arial Narrow"/>
      <family val="2"/>
    </font>
    <font>
      <u/>
      <sz val="10"/>
      <name val="Arial Narrow"/>
      <family val="2"/>
    </font>
    <font>
      <b/>
      <sz val="12"/>
      <name val="Arial Narrow"/>
      <family val="2"/>
    </font>
    <font>
      <b/>
      <u/>
      <sz val="10"/>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i/>
      <sz val="12"/>
      <name val="Arial"/>
      <family val="2"/>
    </font>
    <font>
      <b/>
      <sz val="11"/>
      <name val="Arial Narrow"/>
      <family val="2"/>
    </font>
    <font>
      <sz val="11"/>
      <name val="Arial"/>
      <family val="2"/>
    </font>
    <font>
      <b/>
      <i/>
      <sz val="11"/>
      <name val="Arial Narrow"/>
      <family val="2"/>
    </font>
    <font>
      <i/>
      <sz val="11"/>
      <name val="Times New Roman"/>
      <family val="1"/>
    </font>
    <font>
      <sz val="10"/>
      <color indexed="8"/>
      <name val="Arial Narrow"/>
      <family val="2"/>
    </font>
    <font>
      <sz val="11"/>
      <color indexed="8"/>
      <name val="Arial Narrow"/>
      <family val="2"/>
    </font>
    <font>
      <sz val="8"/>
      <name val="Times New Roman"/>
      <family val="1"/>
    </font>
    <font>
      <i/>
      <sz val="10"/>
      <color indexed="8"/>
      <name val="Arial Narrow"/>
      <family val="2"/>
    </font>
    <font>
      <sz val="10"/>
      <name val="Arial Narrow"/>
      <family val="2"/>
    </font>
    <font>
      <sz val="10"/>
      <name val="Arial Narrow"/>
      <family val="2"/>
    </font>
    <font>
      <b/>
      <sz val="10"/>
      <name val="Arial Narrow"/>
      <family val="2"/>
    </font>
    <font>
      <sz val="11"/>
      <name val="Arial Narrow"/>
      <family val="2"/>
    </font>
    <font>
      <sz val="10"/>
      <name val="Arial Narrow"/>
      <family val="2"/>
    </font>
    <font>
      <sz val="10"/>
      <name val="Arial Narrow"/>
      <family val="2"/>
    </font>
    <font>
      <b/>
      <sz val="10"/>
      <name val="Arial Narrow"/>
      <family val="2"/>
    </font>
    <font>
      <sz val="10"/>
      <name val="Arial Narrow"/>
      <family val="2"/>
    </font>
    <font>
      <b/>
      <sz val="10"/>
      <name val="Arial Narrow"/>
      <family val="2"/>
    </font>
    <font>
      <b/>
      <sz val="16"/>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b/>
      <i/>
      <sz val="10"/>
      <name val="Arial Narrow"/>
      <family val="2"/>
    </font>
    <font>
      <i/>
      <sz val="10"/>
      <name val="Times New Roman"/>
      <family val="1"/>
    </font>
    <font>
      <sz val="10.9"/>
      <name val="Arial Narrow"/>
      <family val="2"/>
    </font>
    <font>
      <b/>
      <sz val="13"/>
      <name val="Arial"/>
      <family val="2"/>
    </font>
    <font>
      <b/>
      <sz val="13"/>
      <name val="Arial Narrow"/>
      <family val="2"/>
    </font>
    <font>
      <b/>
      <sz val="14"/>
      <name val="Arial"/>
      <family val="2"/>
    </font>
    <font>
      <sz val="10.5"/>
      <name val="Arial Narrow"/>
      <family val="2"/>
    </font>
    <font>
      <sz val="10"/>
      <color rgb="FFFF0000"/>
      <name val="Arial Narrow"/>
      <family val="2"/>
    </font>
    <font>
      <sz val="10"/>
      <name val="Arial Narrow"/>
      <family val="2"/>
      <scheme val="minor"/>
    </font>
    <font>
      <sz val="10"/>
      <color theme="0" tint="-0.34998626667073579"/>
      <name val="Arial Narrow"/>
      <family val="2"/>
    </font>
    <font>
      <sz val="10"/>
      <color theme="0" tint="-0.24994659260841701"/>
      <name val="Arial Narrow"/>
      <family val="2"/>
    </font>
    <font>
      <sz val="10"/>
      <name val="Calibri"/>
      <family val="2"/>
    </font>
    <font>
      <b/>
      <sz val="12"/>
      <name val="Calibri"/>
      <family val="2"/>
    </font>
    <font>
      <sz val="10"/>
      <name val="Arial Narrow"/>
      <family val="2"/>
      <scheme val="major"/>
    </font>
    <font>
      <sz val="11"/>
      <name val="Arial Narrow"/>
      <family val="2"/>
      <scheme val="major"/>
    </font>
    <font>
      <b/>
      <sz val="10"/>
      <name val="Times New Roman"/>
      <family val="1"/>
    </font>
    <font>
      <b/>
      <sz val="10"/>
      <color indexed="8"/>
      <name val="Arial Narrow"/>
      <family val="2"/>
    </font>
    <font>
      <b/>
      <sz val="10"/>
      <name val="Calibri"/>
      <family val="2"/>
    </font>
    <font>
      <i/>
      <sz val="10"/>
      <color rgb="FFFF0000"/>
      <name val="Arial Narrow"/>
      <family val="2"/>
    </font>
    <font>
      <sz val="10"/>
      <color rgb="FFFF0000"/>
      <name val="Arial Narrow"/>
      <family val="2"/>
      <scheme val="minor"/>
    </font>
    <font>
      <sz val="10"/>
      <color rgb="FF000000"/>
      <name val="Arial Narrow"/>
      <family val="2"/>
    </font>
    <font>
      <sz val="8"/>
      <color rgb="FFFF0000"/>
      <name val="Arial"/>
      <family val="2"/>
    </font>
    <font>
      <i/>
      <sz val="10"/>
      <color rgb="FFFF0000"/>
      <name val="Arial Narrow"/>
      <family val="2"/>
      <scheme val="minor"/>
    </font>
    <font>
      <sz val="8"/>
      <color rgb="FF222222"/>
      <name val="Arial"/>
      <family val="2"/>
    </font>
    <font>
      <sz val="10"/>
      <color rgb="FF0070C0"/>
      <name val="Arial Narrow"/>
      <family val="2"/>
    </font>
    <font>
      <b/>
      <sz val="10"/>
      <color rgb="FFFF0000"/>
      <name val="Arial Narrow"/>
      <family val="2"/>
    </font>
    <font>
      <sz val="11"/>
      <name val="Calibri"/>
      <family val="2"/>
    </font>
    <font>
      <i/>
      <sz val="10"/>
      <name val="Arial Narrow"/>
      <family val="2"/>
      <scheme val="minor"/>
    </font>
    <font>
      <u/>
      <sz val="11"/>
      <name val="Calibri"/>
      <family val="2"/>
    </font>
    <font>
      <b/>
      <sz val="11"/>
      <name val="Calibri"/>
      <family val="2"/>
    </font>
    <font>
      <b/>
      <i/>
      <sz val="11"/>
      <name val="Calibri"/>
      <family val="2"/>
    </font>
    <font>
      <b/>
      <sz val="16"/>
      <name val="Arial"/>
      <family val="2"/>
    </font>
    <font>
      <b/>
      <sz val="16"/>
      <name val="Times New Roman"/>
      <family val="1"/>
    </font>
    <font>
      <i/>
      <sz val="10.5"/>
      <name val="Arial Narrow"/>
      <family val="2"/>
    </font>
    <font>
      <sz val="10"/>
      <color theme="0" tint="-0.499984740745262"/>
      <name val="Arial Narrow"/>
      <family val="2"/>
    </font>
    <font>
      <sz val="10"/>
      <color rgb="FF0000CC"/>
      <name val="Arial Narrow"/>
      <family val="2"/>
    </font>
    <font>
      <b/>
      <sz val="14"/>
      <name val="Arial Narrow"/>
      <family val="2"/>
    </font>
    <font>
      <b/>
      <sz val="11"/>
      <name val="Arial"/>
      <family val="2"/>
    </font>
    <font>
      <sz val="8"/>
      <color rgb="FFFF0000"/>
      <name val="Arial Narrow"/>
      <family val="2"/>
      <scheme val="minor"/>
    </font>
    <font>
      <sz val="10"/>
      <color rgb="FFFF0000"/>
      <name val="Arial"/>
      <family val="2"/>
    </font>
    <font>
      <sz val="10"/>
      <color theme="0" tint="-0.14999847407452621"/>
      <name val="Arial Narrow"/>
      <family val="2"/>
      <scheme val="minor"/>
    </font>
    <font>
      <sz val="10"/>
      <color theme="0" tint="-0.14999847407452621"/>
      <name val="Times New Roman"/>
      <family val="1"/>
    </font>
    <font>
      <sz val="10"/>
      <color theme="0" tint="-0.14999847407452621"/>
      <name val="Arial"/>
      <family val="2"/>
    </font>
  </fonts>
  <fills count="32">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66FF33"/>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rgb="FFFF99CC"/>
        <bgColor indexed="64"/>
      </patternFill>
    </fill>
    <fill>
      <patternFill patternType="solid">
        <fgColor rgb="FF66FF66"/>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FFCC00"/>
        <bgColor indexed="64"/>
      </patternFill>
    </fill>
    <fill>
      <patternFill patternType="solid">
        <fgColor theme="4" tint="0.79998168889431442"/>
        <bgColor indexed="64"/>
      </patternFill>
    </fill>
    <fill>
      <patternFill patternType="solid">
        <fgColor rgb="FFD8D8D8"/>
        <bgColor indexed="64"/>
      </patternFill>
    </fill>
    <fill>
      <patternFill patternType="solid">
        <fgColor theme="0" tint="-0.499984740745262"/>
        <bgColor indexed="6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right style="medium">
        <color indexed="64"/>
      </right>
      <top/>
      <bottom style="thin">
        <color indexed="64"/>
      </bottom>
      <diagonal/>
    </border>
  </borders>
  <cellStyleXfs count="2">
    <xf numFmtId="0" fontId="0" fillId="0" borderId="0">
      <alignment vertical="top"/>
    </xf>
    <xf numFmtId="0" fontId="9" fillId="0" borderId="0">
      <alignment vertical="top"/>
    </xf>
  </cellStyleXfs>
  <cellXfs count="2994">
    <xf numFmtId="0" fontId="0" fillId="0" borderId="0" xfId="0">
      <alignment vertical="top"/>
    </xf>
    <xf numFmtId="0" fontId="4" fillId="0" borderId="0" xfId="0" applyFont="1" applyAlignment="1">
      <alignment wrapText="1"/>
    </xf>
    <xf numFmtId="0" fontId="4" fillId="0" borderId="0" xfId="0" applyFont="1" applyFill="1" applyBorder="1" applyAlignment="1">
      <alignment vertical="top" wrapText="1"/>
    </xf>
    <xf numFmtId="0" fontId="4" fillId="0" borderId="0" xfId="0" applyFont="1">
      <alignment vertical="top"/>
    </xf>
    <xf numFmtId="0" fontId="4" fillId="0" borderId="0" xfId="0" applyFont="1" applyBorder="1" applyAlignment="1">
      <alignment vertical="top" wrapText="1"/>
    </xf>
    <xf numFmtId="0" fontId="4" fillId="0" borderId="5" xfId="0" applyFont="1" applyFill="1" applyBorder="1" applyAlignment="1">
      <alignment vertical="top" wrapText="1"/>
    </xf>
    <xf numFmtId="0" fontId="4" fillId="0" borderId="6" xfId="0" applyFont="1" applyFill="1" applyBorder="1" applyAlignment="1">
      <alignment vertical="top" wrapText="1"/>
    </xf>
    <xf numFmtId="0" fontId="4" fillId="0" borderId="0" xfId="0" applyFont="1" applyAlignment="1">
      <alignment vertical="top" wrapText="1"/>
    </xf>
    <xf numFmtId="0" fontId="4" fillId="0" borderId="0" xfId="0" applyFont="1" applyFill="1" applyAlignment="1">
      <alignment vertical="top" wrapText="1"/>
    </xf>
    <xf numFmtId="0" fontId="4" fillId="0" borderId="0" xfId="0" applyFont="1" applyFill="1">
      <alignment vertical="top"/>
    </xf>
    <xf numFmtId="0" fontId="3" fillId="0" borderId="0" xfId="0" applyFont="1" applyFill="1">
      <alignment vertical="top"/>
    </xf>
    <xf numFmtId="0" fontId="4" fillId="0" borderId="0" xfId="0" applyNumberFormat="1" applyFont="1" applyBorder="1" applyAlignment="1">
      <alignment vertical="top" wrapText="1"/>
    </xf>
    <xf numFmtId="0" fontId="4" fillId="0" borderId="0" xfId="0" applyFont="1" applyAlignment="1">
      <alignment vertical="top"/>
    </xf>
    <xf numFmtId="0" fontId="4" fillId="0" borderId="0" xfId="0" applyFont="1" applyFill="1" applyAlignment="1">
      <alignment vertical="top"/>
    </xf>
    <xf numFmtId="0" fontId="4" fillId="0" borderId="0" xfId="0" applyFont="1" applyFill="1" applyBorder="1" applyAlignment="1">
      <alignment vertical="top"/>
    </xf>
    <xf numFmtId="49" fontId="4" fillId="0" borderId="0" xfId="0" applyNumberFormat="1" applyFont="1" applyBorder="1" applyAlignment="1">
      <alignment vertical="top" wrapText="1"/>
    </xf>
    <xf numFmtId="0" fontId="5" fillId="0" borderId="0" xfId="0" applyFont="1" applyFill="1" applyAlignment="1">
      <alignment vertical="top" wrapText="1"/>
    </xf>
    <xf numFmtId="0" fontId="4" fillId="0" borderId="0" xfId="0" applyFont="1" applyBorder="1" applyAlignment="1">
      <alignment vertical="top"/>
    </xf>
    <xf numFmtId="0" fontId="4" fillId="0" borderId="1" xfId="0" applyFont="1" applyBorder="1" applyAlignment="1">
      <alignment vertical="top"/>
    </xf>
    <xf numFmtId="49" fontId="4" fillId="0" borderId="0" xfId="0" applyNumberFormat="1" applyFont="1" applyFill="1" applyBorder="1" applyAlignment="1">
      <alignment vertical="top" wrapText="1"/>
    </xf>
    <xf numFmtId="49" fontId="4" fillId="0" borderId="0" xfId="0" applyNumberFormat="1" applyFont="1" applyAlignment="1">
      <alignment vertical="top" wrapText="1"/>
    </xf>
    <xf numFmtId="0" fontId="4" fillId="0" borderId="1" xfId="0" applyFont="1" applyFill="1" applyBorder="1" applyAlignment="1">
      <alignment vertical="top"/>
    </xf>
    <xf numFmtId="0" fontId="4" fillId="0" borderId="6" xfId="0" applyFont="1" applyBorder="1" applyAlignment="1">
      <alignment vertical="top"/>
    </xf>
    <xf numFmtId="0" fontId="4" fillId="0" borderId="0" xfId="0" applyFont="1" applyFill="1" applyBorder="1" applyAlignment="1">
      <alignment horizontal="left" vertical="top" wrapText="1"/>
    </xf>
    <xf numFmtId="0" fontId="4" fillId="0" borderId="0" xfId="0" applyFont="1" applyFill="1" applyAlignment="1">
      <alignment horizontal="left" vertical="top" wrapText="1"/>
    </xf>
    <xf numFmtId="2" fontId="4" fillId="0" borderId="0" xfId="0" applyNumberFormat="1" applyFont="1" applyFill="1" applyBorder="1" applyAlignment="1">
      <alignment vertical="top"/>
    </xf>
    <xf numFmtId="2" fontId="4" fillId="0" borderId="0" xfId="0" applyNumberFormat="1" applyFont="1" applyFill="1" applyBorder="1" applyAlignment="1">
      <alignment horizontal="right" vertical="top"/>
    </xf>
    <xf numFmtId="0" fontId="4" fillId="0" borderId="6" xfId="0" applyFont="1" applyFill="1" applyBorder="1" applyAlignment="1">
      <alignment vertical="top"/>
    </xf>
    <xf numFmtId="0" fontId="4" fillId="0" borderId="0" xfId="0" applyNumberFormat="1" applyFont="1" applyFill="1" applyBorder="1" applyAlignment="1">
      <alignment vertical="top" wrapText="1"/>
    </xf>
    <xf numFmtId="0" fontId="4" fillId="0" borderId="0" xfId="0" applyFont="1" applyAlignment="1">
      <alignment horizontal="center" vertical="top" wrapText="1"/>
    </xf>
    <xf numFmtId="0" fontId="4" fillId="0" borderId="12" xfId="0" applyFont="1" applyFill="1" applyBorder="1" applyAlignment="1">
      <alignment vertical="top" wrapText="1"/>
    </xf>
    <xf numFmtId="0" fontId="4" fillId="0" borderId="0" xfId="1" applyFont="1" applyAlignment="1">
      <alignment vertical="top"/>
    </xf>
    <xf numFmtId="0" fontId="4" fillId="0" borderId="0" xfId="0" applyFont="1" applyBorder="1" applyAlignment="1">
      <alignment horizontal="left" vertical="top" wrapText="1"/>
    </xf>
    <xf numFmtId="0" fontId="4" fillId="0" borderId="0" xfId="0" applyFont="1" applyAlignment="1">
      <alignment horizontal="left" vertical="top" wrapText="1"/>
    </xf>
    <xf numFmtId="0" fontId="9" fillId="0" borderId="0" xfId="1" applyFont="1" applyAlignment="1">
      <alignment vertical="top"/>
    </xf>
    <xf numFmtId="0" fontId="24" fillId="0" borderId="0" xfId="0" applyFont="1" applyBorder="1" applyAlignment="1">
      <alignment vertical="top" wrapText="1"/>
    </xf>
    <xf numFmtId="0" fontId="24" fillId="0" borderId="0" xfId="0" applyFont="1" applyAlignment="1">
      <alignment vertical="top" wrapText="1"/>
    </xf>
    <xf numFmtId="0" fontId="24" fillId="0" borderId="0" xfId="0" applyFont="1" applyFill="1" applyBorder="1" applyAlignment="1">
      <alignment vertical="top" wrapText="1"/>
    </xf>
    <xf numFmtId="49" fontId="24" fillId="0" borderId="0" xfId="0" applyNumberFormat="1" applyFont="1" applyBorder="1" applyAlignment="1">
      <alignment vertical="top" wrapText="1"/>
    </xf>
    <xf numFmtId="0" fontId="24" fillId="0" borderId="0" xfId="0" applyFont="1" applyFill="1" applyBorder="1" applyAlignment="1">
      <alignment horizontal="left" vertical="top" wrapText="1"/>
    </xf>
    <xf numFmtId="0" fontId="24" fillId="0" borderId="0" xfId="0" applyFont="1" applyFill="1" applyAlignment="1">
      <alignment vertical="top" wrapText="1"/>
    </xf>
    <xf numFmtId="0" fontId="24" fillId="0" borderId="0" xfId="0" applyFont="1" applyFill="1" applyAlignment="1">
      <alignment horizontal="left" vertical="top" wrapText="1"/>
    </xf>
    <xf numFmtId="0" fontId="28" fillId="0" borderId="0" xfId="0" applyFont="1">
      <alignment vertical="top"/>
    </xf>
    <xf numFmtId="0" fontId="28" fillId="0" borderId="0" xfId="0" applyFont="1" applyFill="1">
      <alignment vertical="top"/>
    </xf>
    <xf numFmtId="0" fontId="28" fillId="0" borderId="0" xfId="0" applyFont="1" applyFill="1" applyBorder="1" applyAlignment="1">
      <alignment vertical="top" wrapText="1"/>
    </xf>
    <xf numFmtId="0" fontId="28" fillId="0" borderId="0" xfId="0" applyFont="1" applyAlignment="1">
      <alignment vertical="top" wrapText="1"/>
    </xf>
    <xf numFmtId="0" fontId="28" fillId="0" borderId="0" xfId="0" applyFont="1" applyBorder="1" applyAlignment="1">
      <alignment vertical="top" wrapText="1"/>
    </xf>
    <xf numFmtId="0" fontId="28" fillId="0" borderId="1" xfId="0" applyFont="1" applyFill="1" applyBorder="1" applyAlignment="1">
      <alignment horizontal="center" vertical="top" wrapText="1"/>
    </xf>
    <xf numFmtId="0" fontId="28" fillId="0" borderId="1" xfId="0" applyFont="1" applyBorder="1" applyAlignment="1">
      <alignment horizontal="center" vertical="top" wrapText="1"/>
    </xf>
    <xf numFmtId="0" fontId="28" fillId="0" borderId="0" xfId="0" applyFont="1" applyAlignment="1">
      <alignment horizontal="center" vertical="top" wrapText="1"/>
    </xf>
    <xf numFmtId="0" fontId="28" fillId="0" borderId="0" xfId="0" applyFont="1" applyFill="1" applyAlignment="1">
      <alignment vertical="top" wrapText="1"/>
    </xf>
    <xf numFmtId="0" fontId="4" fillId="0" borderId="0" xfId="0" applyFont="1" applyBorder="1" applyAlignment="1">
      <alignment horizontal="left" vertical="top"/>
    </xf>
    <xf numFmtId="0" fontId="4" fillId="0" borderId="0" xfId="0" applyFont="1" applyAlignment="1">
      <alignment horizontal="left" vertical="top"/>
    </xf>
    <xf numFmtId="0" fontId="4" fillId="0" borderId="0" xfId="0" applyNumberFormat="1" applyFont="1" applyBorder="1" applyAlignment="1">
      <alignment horizontal="left" vertical="top" wrapText="1"/>
    </xf>
    <xf numFmtId="0" fontId="28" fillId="0" borderId="0" xfId="0" applyFont="1" applyBorder="1" applyAlignment="1">
      <alignment wrapText="1"/>
    </xf>
    <xf numFmtId="0" fontId="28" fillId="0" borderId="0" xfId="0" applyFont="1" applyAlignment="1">
      <alignment wrapText="1"/>
    </xf>
    <xf numFmtId="0" fontId="28" fillId="0" borderId="0" xfId="0" applyFont="1" applyFill="1" applyBorder="1" applyAlignment="1">
      <alignment wrapText="1"/>
    </xf>
    <xf numFmtId="0" fontId="28" fillId="0" borderId="1" xfId="0" applyFont="1" applyFill="1" applyBorder="1" applyAlignment="1">
      <alignment wrapText="1"/>
    </xf>
    <xf numFmtId="0" fontId="28" fillId="0" borderId="0" xfId="0" applyNumberFormat="1" applyFont="1" applyBorder="1" applyAlignment="1">
      <alignment vertical="top" wrapText="1"/>
    </xf>
    <xf numFmtId="49" fontId="28" fillId="0" borderId="0" xfId="0" applyNumberFormat="1" applyFont="1" applyBorder="1" applyAlignment="1">
      <alignment vertical="top" wrapText="1"/>
    </xf>
    <xf numFmtId="0" fontId="28" fillId="0" borderId="0" xfId="0" applyFont="1" applyBorder="1" applyAlignment="1"/>
    <xf numFmtId="0" fontId="28" fillId="0" borderId="0" xfId="0" applyFont="1" applyAlignment="1"/>
    <xf numFmtId="0" fontId="30" fillId="0" borderId="0" xfId="0" applyFont="1" applyAlignment="1">
      <alignment vertical="top" wrapText="1"/>
    </xf>
    <xf numFmtId="0" fontId="30" fillId="0" borderId="0" xfId="0" applyFont="1" applyBorder="1" applyAlignment="1">
      <alignment vertical="top" wrapText="1"/>
    </xf>
    <xf numFmtId="0" fontId="30" fillId="0" borderId="0" xfId="0" applyFont="1" applyFill="1" applyBorder="1" applyAlignment="1">
      <alignment vertical="top" wrapText="1"/>
    </xf>
    <xf numFmtId="0" fontId="30" fillId="0" borderId="0" xfId="0" applyFont="1" applyFill="1" applyBorder="1" applyAlignment="1">
      <alignment horizontal="left" vertical="top" wrapText="1"/>
    </xf>
    <xf numFmtId="0" fontId="30" fillId="0" borderId="0" xfId="0" applyFont="1" applyFill="1" applyAlignment="1">
      <alignment vertical="top" wrapText="1"/>
    </xf>
    <xf numFmtId="0" fontId="30" fillId="0" borderId="0" xfId="0" applyFont="1" applyFill="1" applyAlignment="1">
      <alignment horizontal="left" vertical="top" wrapText="1"/>
    </xf>
    <xf numFmtId="0" fontId="4" fillId="0" borderId="0" xfId="0" applyNumberFormat="1" applyFont="1" applyFill="1" applyBorder="1" applyAlignment="1">
      <alignment horizontal="left" vertical="top" wrapText="1"/>
    </xf>
    <xf numFmtId="0" fontId="4" fillId="0" borderId="8" xfId="0" applyFont="1" applyFill="1" applyBorder="1" applyAlignment="1">
      <alignment horizontal="left" vertical="top" wrapText="1"/>
    </xf>
    <xf numFmtId="0" fontId="4" fillId="0" borderId="0" xfId="0" applyFont="1" applyFill="1" applyAlignment="1">
      <alignment horizontal="left" vertical="top"/>
    </xf>
    <xf numFmtId="0" fontId="23" fillId="0" borderId="0" xfId="0" applyFont="1">
      <alignment vertical="top"/>
    </xf>
    <xf numFmtId="0" fontId="23" fillId="0" borderId="0" xfId="0" applyFont="1" applyFill="1">
      <alignment vertical="top"/>
    </xf>
    <xf numFmtId="0" fontId="27" fillId="0" borderId="0" xfId="0" applyFont="1">
      <alignment vertical="top"/>
    </xf>
    <xf numFmtId="0" fontId="30" fillId="0" borderId="0" xfId="0" applyFont="1">
      <alignment vertical="top"/>
    </xf>
    <xf numFmtId="0" fontId="30" fillId="0" borderId="0" xfId="0" applyFont="1" applyFill="1">
      <alignment vertical="top"/>
    </xf>
    <xf numFmtId="0" fontId="30" fillId="0" borderId="0" xfId="0" applyFont="1" applyAlignment="1">
      <alignment horizontal="left" vertical="top" wrapText="1"/>
    </xf>
    <xf numFmtId="2" fontId="30" fillId="0" borderId="0" xfId="0" applyNumberFormat="1" applyFont="1" applyFill="1" applyBorder="1" applyAlignment="1">
      <alignment horizontal="right" vertical="top" wrapText="1"/>
    </xf>
    <xf numFmtId="0" fontId="4" fillId="0" borderId="1" xfId="0" applyFont="1" applyBorder="1" applyAlignment="1">
      <alignment horizontal="center" vertical="top" wrapText="1"/>
    </xf>
    <xf numFmtId="0" fontId="4" fillId="2" borderId="3" xfId="0" applyFont="1" applyFill="1" applyBorder="1" applyAlignment="1">
      <alignment horizontal="center" vertical="top" wrapText="1"/>
    </xf>
    <xf numFmtId="0" fontId="4" fillId="2" borderId="1" xfId="0" applyFont="1" applyFill="1" applyBorder="1" applyAlignment="1">
      <alignment horizontal="center" vertical="top" wrapText="1"/>
    </xf>
    <xf numFmtId="0" fontId="4" fillId="0" borderId="5" xfId="0" applyFont="1" applyFill="1" applyBorder="1" applyAlignment="1">
      <alignment horizontal="left" vertical="top" wrapText="1"/>
    </xf>
    <xf numFmtId="0" fontId="30" fillId="0" borderId="6" xfId="0" applyFont="1" applyBorder="1" applyAlignment="1">
      <alignment vertical="top" wrapText="1"/>
    </xf>
    <xf numFmtId="0" fontId="4" fillId="2" borderId="4" xfId="0" applyFont="1" applyFill="1" applyBorder="1" applyAlignment="1">
      <alignment horizontal="center" vertical="top" wrapText="1"/>
    </xf>
    <xf numFmtId="0" fontId="4" fillId="0" borderId="0" xfId="0" applyNumberFormat="1" applyFont="1" applyAlignment="1">
      <alignment vertical="top" wrapText="1"/>
    </xf>
    <xf numFmtId="0" fontId="28" fillId="0" borderId="0" xfId="0" applyFont="1" applyFill="1" applyAlignment="1">
      <alignment wrapText="1"/>
    </xf>
    <xf numFmtId="0" fontId="28" fillId="0" borderId="0" xfId="0" applyFont="1" applyFill="1" applyAlignment="1"/>
    <xf numFmtId="0" fontId="28" fillId="0" borderId="0" xfId="0" applyFont="1" applyAlignment="1">
      <alignment vertical="top"/>
    </xf>
    <xf numFmtId="0" fontId="28" fillId="0" borderId="0" xfId="0" applyFont="1" applyBorder="1" applyAlignment="1">
      <alignment vertical="top"/>
    </xf>
    <xf numFmtId="0" fontId="28" fillId="0" borderId="0" xfId="0" applyNumberFormat="1" applyFont="1">
      <alignment vertical="top"/>
    </xf>
    <xf numFmtId="0" fontId="30" fillId="0" borderId="0" xfId="0" applyFont="1" applyBorder="1" applyAlignment="1">
      <alignment horizontal="left" vertical="top" wrapText="1"/>
    </xf>
    <xf numFmtId="0" fontId="30" fillId="0" borderId="0" xfId="0" applyNumberFormat="1" applyFont="1" applyBorder="1" applyAlignment="1">
      <alignment horizontal="left" vertical="top" wrapText="1"/>
    </xf>
    <xf numFmtId="0" fontId="30" fillId="0" borderId="0" xfId="0" applyNumberFormat="1" applyFont="1" applyAlignment="1">
      <alignment horizontal="left" vertical="top" wrapText="1"/>
    </xf>
    <xf numFmtId="0" fontId="30" fillId="0" borderId="16" xfId="0" applyFont="1" applyBorder="1" applyAlignment="1">
      <alignment vertical="top" wrapText="1"/>
    </xf>
    <xf numFmtId="49" fontId="28" fillId="0" borderId="0" xfId="0" applyNumberFormat="1" applyFont="1" applyAlignment="1">
      <alignment vertical="top" wrapText="1"/>
    </xf>
    <xf numFmtId="0" fontId="4" fillId="0" borderId="0" xfId="0" applyFont="1" applyAlignment="1">
      <alignment horizontal="left" wrapText="1"/>
    </xf>
    <xf numFmtId="1" fontId="28" fillId="2" borderId="1" xfId="0" applyNumberFormat="1" applyFont="1" applyFill="1" applyBorder="1" applyAlignment="1">
      <alignment horizontal="center" vertical="top" wrapText="1"/>
    </xf>
    <xf numFmtId="0" fontId="28" fillId="2" borderId="2" xfId="0" applyFont="1" applyFill="1" applyBorder="1" applyAlignment="1">
      <alignment horizontal="center" vertical="top" wrapText="1"/>
    </xf>
    <xf numFmtId="0" fontId="28" fillId="0" borderId="3" xfId="0" applyFont="1" applyBorder="1" applyAlignment="1">
      <alignment horizontal="center" vertical="top" wrapText="1"/>
    </xf>
    <xf numFmtId="1" fontId="28" fillId="2" borderId="2" xfId="0" applyNumberFormat="1" applyFont="1" applyFill="1" applyBorder="1" applyAlignment="1">
      <alignment horizontal="center" vertical="top" wrapText="1"/>
    </xf>
    <xf numFmtId="0" fontId="28" fillId="2" borderId="1" xfId="0" applyFont="1" applyFill="1" applyBorder="1" applyAlignment="1">
      <alignment horizontal="center" vertical="top" wrapText="1"/>
    </xf>
    <xf numFmtId="0" fontId="28" fillId="2" borderId="8" xfId="0" applyFont="1" applyFill="1" applyBorder="1" applyAlignment="1">
      <alignment horizontal="center" vertical="top" wrapText="1"/>
    </xf>
    <xf numFmtId="1" fontId="28" fillId="2" borderId="8" xfId="0" applyNumberFormat="1" applyFont="1" applyFill="1" applyBorder="1" applyAlignment="1">
      <alignment horizontal="center" vertical="top" wrapText="1"/>
    </xf>
    <xf numFmtId="1" fontId="28" fillId="2" borderId="9" xfId="0" applyNumberFormat="1" applyFont="1" applyFill="1" applyBorder="1" applyAlignment="1">
      <alignment horizontal="center" vertical="top" wrapText="1"/>
    </xf>
    <xf numFmtId="1" fontId="28" fillId="0" borderId="0" xfId="0" applyNumberFormat="1" applyFont="1" applyAlignment="1">
      <alignment horizontal="center" vertical="top" wrapText="1"/>
    </xf>
    <xf numFmtId="0" fontId="28" fillId="0" borderId="4" xfId="0" applyFont="1" applyBorder="1" applyAlignment="1">
      <alignment horizontal="center" vertical="top" wrapText="1"/>
    </xf>
    <xf numFmtId="0" fontId="4" fillId="2" borderId="8" xfId="0" applyFont="1" applyFill="1" applyBorder="1" applyAlignment="1">
      <alignment horizontal="center" vertical="top" wrapText="1"/>
    </xf>
    <xf numFmtId="0" fontId="28" fillId="0" borderId="0" xfId="0" applyFont="1" applyFill="1" applyAlignment="1">
      <alignment horizontal="left" vertical="top" wrapText="1"/>
    </xf>
    <xf numFmtId="2" fontId="3" fillId="0" borderId="0" xfId="0" applyNumberFormat="1" applyFont="1" applyFill="1" applyAlignment="1">
      <alignment horizontal="center"/>
    </xf>
    <xf numFmtId="164" fontId="0" fillId="0" borderId="0" xfId="0" applyNumberFormat="1" applyBorder="1" applyAlignment="1" applyProtection="1">
      <alignment horizontal="center" vertical="top" wrapText="1"/>
      <protection locked="0"/>
    </xf>
    <xf numFmtId="0" fontId="18" fillId="0" borderId="0" xfId="0" applyFont="1" applyFill="1" applyAlignment="1">
      <alignment vertical="top" wrapText="1"/>
    </xf>
    <xf numFmtId="0" fontId="16" fillId="0" borderId="25" xfId="0" applyFont="1" applyBorder="1" applyAlignment="1">
      <alignment vertical="top" wrapText="1"/>
    </xf>
    <xf numFmtId="0" fontId="16" fillId="0" borderId="26" xfId="0" applyFont="1" applyBorder="1" applyAlignment="1">
      <alignment vertical="top" wrapText="1"/>
    </xf>
    <xf numFmtId="0" fontId="16" fillId="0" borderId="20" xfId="0" applyFont="1" applyBorder="1" applyAlignment="1">
      <alignment vertical="top" wrapText="1"/>
    </xf>
    <xf numFmtId="0" fontId="24" fillId="0" borderId="0" xfId="0" applyNumberFormat="1" applyFont="1" applyFill="1" applyBorder="1" applyAlignment="1">
      <alignment vertical="top" wrapText="1"/>
    </xf>
    <xf numFmtId="0" fontId="17" fillId="0" borderId="0" xfId="0" applyFont="1" applyFill="1" applyBorder="1" applyAlignment="1">
      <alignment horizontal="center" vertical="top" wrapText="1"/>
    </xf>
    <xf numFmtId="2" fontId="3" fillId="0" borderId="0" xfId="0" applyNumberFormat="1" applyFont="1" applyFill="1">
      <alignment vertical="top"/>
    </xf>
    <xf numFmtId="2" fontId="33" fillId="0" borderId="0" xfId="0" applyNumberFormat="1" applyFont="1" applyBorder="1" applyAlignment="1">
      <alignment horizontal="left" vertical="center" wrapText="1"/>
    </xf>
    <xf numFmtId="2" fontId="3" fillId="0" borderId="0" xfId="0" applyNumberFormat="1" applyFont="1" applyBorder="1" applyAlignment="1" applyProtection="1">
      <alignment horizontal="center" vertical="top" wrapText="1"/>
      <protection locked="0"/>
    </xf>
    <xf numFmtId="0" fontId="4" fillId="0" borderId="0" xfId="0" applyFont="1" applyFill="1" applyBorder="1" applyAlignment="1">
      <alignment horizontal="left" vertical="top"/>
    </xf>
    <xf numFmtId="0" fontId="4" fillId="0" borderId="14" xfId="0" applyFont="1" applyFill="1" applyBorder="1" applyAlignment="1">
      <alignment horizontal="left" vertical="top" wrapText="1"/>
    </xf>
    <xf numFmtId="0" fontId="4" fillId="0" borderId="0" xfId="0" applyFont="1" applyAlignment="1">
      <alignment vertical="center" wrapText="1"/>
    </xf>
    <xf numFmtId="49" fontId="4" fillId="0" borderId="5" xfId="0" applyNumberFormat="1" applyFont="1" applyBorder="1" applyAlignment="1">
      <alignment horizontal="left" vertical="top" wrapText="1"/>
    </xf>
    <xf numFmtId="0" fontId="4" fillId="0" borderId="5" xfId="0" applyFont="1" applyBorder="1" applyAlignment="1">
      <alignment vertical="top" wrapText="1"/>
    </xf>
    <xf numFmtId="0" fontId="10" fillId="11" borderId="5" xfId="0" applyFont="1" applyFill="1" applyBorder="1" applyAlignment="1">
      <alignment vertical="top" wrapText="1"/>
    </xf>
    <xf numFmtId="0" fontId="10" fillId="11" borderId="23" xfId="0" applyFont="1" applyFill="1" applyBorder="1" applyAlignment="1">
      <alignment vertical="top" wrapText="1"/>
    </xf>
    <xf numFmtId="0" fontId="10" fillId="11" borderId="34" xfId="0" applyFont="1" applyFill="1" applyBorder="1" applyAlignment="1">
      <alignment vertical="top" wrapText="1"/>
    </xf>
    <xf numFmtId="0" fontId="10" fillId="11" borderId="30" xfId="0" applyFont="1" applyFill="1" applyBorder="1" applyAlignment="1">
      <alignment horizontal="left" vertical="top" wrapText="1"/>
    </xf>
    <xf numFmtId="0" fontId="34" fillId="0" borderId="0" xfId="0" applyFont="1" applyFill="1" applyAlignment="1">
      <alignment vertical="top"/>
    </xf>
    <xf numFmtId="0" fontId="34" fillId="0" borderId="0" xfId="0" applyFont="1" applyAlignment="1">
      <alignment vertical="top"/>
    </xf>
    <xf numFmtId="0" fontId="34" fillId="0" borderId="0" xfId="0" applyFont="1" applyAlignment="1">
      <alignment vertical="top" wrapText="1"/>
    </xf>
    <xf numFmtId="0" fontId="34" fillId="0" borderId="0" xfId="0" applyFont="1" applyFill="1" applyBorder="1" applyAlignment="1">
      <alignment vertical="top"/>
    </xf>
    <xf numFmtId="0" fontId="34" fillId="0" borderId="0" xfId="0" applyFont="1" applyBorder="1" applyAlignment="1">
      <alignment vertical="top" wrapText="1"/>
    </xf>
    <xf numFmtId="0" fontId="34" fillId="0" borderId="0" xfId="0" applyFont="1">
      <alignment vertical="top"/>
    </xf>
    <xf numFmtId="0" fontId="34" fillId="0" borderId="0" xfId="0" applyFont="1" applyAlignment="1">
      <alignment wrapText="1"/>
    </xf>
    <xf numFmtId="0" fontId="9" fillId="0" borderId="0" xfId="1" applyFont="1" applyBorder="1" applyAlignment="1">
      <alignment vertical="top"/>
    </xf>
    <xf numFmtId="0" fontId="4" fillId="0" borderId="41" xfId="0" applyFont="1" applyFill="1" applyBorder="1" applyAlignment="1">
      <alignment horizontal="left" vertical="top" wrapText="1"/>
    </xf>
    <xf numFmtId="0" fontId="28" fillId="0" borderId="5" xfId="0" applyFont="1" applyFill="1" applyBorder="1" applyAlignment="1">
      <alignment horizontal="left" vertical="top" wrapText="1"/>
    </xf>
    <xf numFmtId="0" fontId="26" fillId="0" borderId="0" xfId="0" applyFont="1" applyAlignment="1">
      <alignment vertical="top" wrapText="1"/>
    </xf>
    <xf numFmtId="0" fontId="40" fillId="0" borderId="0" xfId="0" applyFont="1" applyAlignment="1">
      <alignment vertical="top" wrapText="1"/>
    </xf>
    <xf numFmtId="0" fontId="40" fillId="0" borderId="0" xfId="0" applyFont="1" applyBorder="1" applyAlignment="1">
      <alignment vertical="top" wrapText="1"/>
    </xf>
    <xf numFmtId="0" fontId="40" fillId="0" borderId="0" xfId="0" applyFont="1" applyFill="1" applyAlignment="1">
      <alignment vertical="top" wrapText="1"/>
    </xf>
    <xf numFmtId="0" fontId="26" fillId="0" borderId="0" xfId="0" applyFont="1" applyFill="1" applyBorder="1" applyAlignment="1">
      <alignment vertical="top"/>
    </xf>
    <xf numFmtId="0" fontId="26" fillId="0" borderId="0" xfId="0" applyFont="1">
      <alignment vertical="top"/>
    </xf>
    <xf numFmtId="0" fontId="26" fillId="0" borderId="0" xfId="0" applyNumberFormat="1" applyFont="1" applyAlignment="1">
      <alignment vertical="top" wrapText="1"/>
    </xf>
    <xf numFmtId="0" fontId="30" fillId="0" borderId="5" xfId="0" applyFont="1" applyFill="1" applyBorder="1" applyAlignment="1">
      <alignment vertical="top" wrapText="1"/>
    </xf>
    <xf numFmtId="0" fontId="30" fillId="0" borderId="5" xfId="0" applyFont="1" applyFill="1" applyBorder="1" applyAlignment="1">
      <alignment horizontal="left" vertical="top" wrapText="1"/>
    </xf>
    <xf numFmtId="0" fontId="30" fillId="0" borderId="5" xfId="0" applyFont="1" applyBorder="1" applyAlignment="1">
      <alignment horizontal="left" vertical="top" wrapText="1"/>
    </xf>
    <xf numFmtId="1" fontId="30" fillId="0" borderId="5" xfId="0" applyNumberFormat="1" applyFont="1" applyBorder="1" applyAlignment="1">
      <alignment horizontal="left" vertical="top" wrapText="1"/>
    </xf>
    <xf numFmtId="1" fontId="42" fillId="0" borderId="5" xfId="0" applyNumberFormat="1" applyFont="1" applyBorder="1" applyAlignment="1">
      <alignment horizontal="center" vertical="top" wrapText="1"/>
    </xf>
    <xf numFmtId="1" fontId="42" fillId="0" borderId="23" xfId="0" applyNumberFormat="1" applyFont="1" applyBorder="1" applyAlignment="1">
      <alignment horizontal="center" vertical="top"/>
    </xf>
    <xf numFmtId="0" fontId="42" fillId="11" borderId="23" xfId="0" applyFont="1" applyFill="1" applyBorder="1" applyAlignment="1">
      <alignment horizontal="center" vertical="top" wrapText="1"/>
    </xf>
    <xf numFmtId="1" fontId="42" fillId="0" borderId="23" xfId="0" applyNumberFormat="1" applyFont="1" applyBorder="1" applyAlignment="1">
      <alignment horizontal="center" vertical="top" wrapText="1"/>
    </xf>
    <xf numFmtId="1" fontId="41" fillId="0" borderId="5" xfId="0" applyNumberFormat="1" applyFont="1" applyBorder="1" applyAlignment="1">
      <alignment horizontal="center" vertical="top" wrapText="1"/>
    </xf>
    <xf numFmtId="1" fontId="41" fillId="0" borderId="5" xfId="0" applyNumberFormat="1" applyFont="1" applyBorder="1" applyAlignment="1">
      <alignment horizontal="center" vertical="top"/>
    </xf>
    <xf numFmtId="0" fontId="42" fillId="0" borderId="1" xfId="0" applyFont="1" applyBorder="1" applyAlignment="1">
      <alignment horizontal="center" vertical="top" wrapText="1"/>
    </xf>
    <xf numFmtId="2" fontId="4" fillId="0" borderId="0" xfId="0" applyNumberFormat="1" applyFont="1" applyAlignment="1">
      <alignment horizontal="center" vertical="center" wrapText="1"/>
    </xf>
    <xf numFmtId="1" fontId="4" fillId="0" borderId="0" xfId="0" applyNumberFormat="1" applyFont="1" applyAlignment="1">
      <alignment horizontal="center" vertical="center" wrapText="1"/>
    </xf>
    <xf numFmtId="1" fontId="4" fillId="2" borderId="1" xfId="0" applyNumberFormat="1" applyFont="1" applyFill="1" applyBorder="1" applyAlignment="1">
      <alignment horizontal="center" vertical="center" wrapText="1"/>
    </xf>
    <xf numFmtId="1" fontId="4" fillId="0" borderId="0" xfId="0" applyNumberFormat="1" applyFont="1" applyBorder="1" applyAlignment="1">
      <alignment horizontal="center" vertical="center" wrapText="1"/>
    </xf>
    <xf numFmtId="0" fontId="4" fillId="2" borderId="4" xfId="0" applyFont="1" applyFill="1" applyBorder="1" applyAlignment="1">
      <alignment horizontal="center" vertical="center" wrapText="1"/>
    </xf>
    <xf numFmtId="0" fontId="4" fillId="2" borderId="1" xfId="0" applyFont="1" applyFill="1" applyBorder="1" applyAlignment="1">
      <alignment horizontal="center" vertical="center" wrapText="1"/>
    </xf>
    <xf numFmtId="1" fontId="4" fillId="2" borderId="4" xfId="0" applyNumberFormat="1" applyFont="1" applyFill="1" applyBorder="1" applyAlignment="1">
      <alignment horizontal="center" vertical="center" wrapText="1"/>
    </xf>
    <xf numFmtId="0" fontId="26" fillId="0" borderId="0" xfId="0" applyFont="1" applyFill="1" applyAlignment="1">
      <alignment vertical="top" wrapText="1"/>
    </xf>
    <xf numFmtId="0" fontId="4" fillId="0" borderId="5" xfId="0" applyFont="1" applyBorder="1" applyAlignment="1">
      <alignment horizontal="left" vertical="top" wrapText="1"/>
    </xf>
    <xf numFmtId="0" fontId="4" fillId="0" borderId="46" xfId="0" applyFont="1" applyBorder="1" applyAlignment="1">
      <alignment vertical="top" wrapText="1"/>
    </xf>
    <xf numFmtId="0" fontId="26" fillId="0" borderId="0" xfId="0" applyFont="1" applyAlignment="1">
      <alignment vertical="top"/>
    </xf>
    <xf numFmtId="0" fontId="26" fillId="0" borderId="0" xfId="0" applyFont="1" applyFill="1" applyAlignment="1">
      <alignment vertical="top"/>
    </xf>
    <xf numFmtId="0" fontId="26" fillId="0" borderId="0" xfId="0" applyFont="1" applyBorder="1" applyAlignment="1">
      <alignment vertical="top"/>
    </xf>
    <xf numFmtId="0" fontId="4" fillId="0" borderId="46" xfId="0" applyFont="1" applyFill="1" applyBorder="1" applyAlignment="1">
      <alignment vertical="top" wrapText="1"/>
    </xf>
    <xf numFmtId="0" fontId="30" fillId="0" borderId="12" xfId="0" applyFont="1" applyBorder="1" applyAlignment="1">
      <alignment vertical="top" wrapText="1"/>
    </xf>
    <xf numFmtId="1" fontId="4" fillId="0" borderId="5" xfId="0" applyNumberFormat="1" applyFont="1" applyFill="1" applyBorder="1" applyAlignment="1">
      <alignment horizontal="left" vertical="top" wrapText="1"/>
    </xf>
    <xf numFmtId="1" fontId="30" fillId="0" borderId="0" xfId="0" applyNumberFormat="1" applyFont="1" applyAlignment="1">
      <alignment horizontal="center" vertical="center" wrapText="1"/>
    </xf>
    <xf numFmtId="1" fontId="30" fillId="0" borderId="0" xfId="0" applyNumberFormat="1" applyFont="1" applyBorder="1" applyAlignment="1">
      <alignment horizontal="center" vertical="center" wrapText="1"/>
    </xf>
    <xf numFmtId="2" fontId="30" fillId="0" borderId="0" xfId="0" applyNumberFormat="1" applyFont="1" applyAlignment="1">
      <alignment horizontal="center" vertical="center" wrapText="1"/>
    </xf>
    <xf numFmtId="2" fontId="30" fillId="0" borderId="0" xfId="0" applyNumberFormat="1" applyFont="1" applyBorder="1" applyAlignment="1">
      <alignment horizontal="center" vertical="center" wrapText="1"/>
    </xf>
    <xf numFmtId="2" fontId="4" fillId="0" borderId="0" xfId="0" applyNumberFormat="1" applyFont="1" applyAlignment="1">
      <alignment horizontal="center" vertical="center"/>
    </xf>
    <xf numFmtId="2" fontId="4" fillId="0" borderId="0" xfId="0" applyNumberFormat="1" applyFont="1" applyBorder="1" applyAlignment="1">
      <alignment horizontal="center" vertical="center"/>
    </xf>
    <xf numFmtId="0" fontId="4" fillId="0" borderId="0" xfId="0" applyFont="1" applyAlignment="1">
      <alignment horizontal="center" vertical="center"/>
    </xf>
    <xf numFmtId="1" fontId="4" fillId="0" borderId="0" xfId="0" applyNumberFormat="1" applyFont="1" applyBorder="1" applyAlignment="1">
      <alignment horizontal="center" vertical="center"/>
    </xf>
    <xf numFmtId="1" fontId="4" fillId="0" borderId="0" xfId="0" applyNumberFormat="1" applyFont="1" applyAlignment="1">
      <alignment horizontal="center" vertical="center"/>
    </xf>
    <xf numFmtId="1" fontId="4" fillId="2" borderId="4" xfId="0"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 fontId="4" fillId="2" borderId="47" xfId="0" applyNumberFormat="1" applyFont="1" applyFill="1" applyBorder="1" applyAlignment="1">
      <alignment horizontal="center" vertical="center"/>
    </xf>
    <xf numFmtId="1" fontId="4" fillId="2" borderId="47" xfId="0" applyNumberFormat="1" applyFont="1" applyFill="1" applyBorder="1" applyAlignment="1">
      <alignment horizontal="center" vertical="center" wrapText="1"/>
    </xf>
    <xf numFmtId="0" fontId="4" fillId="0" borderId="0" xfId="0" applyFont="1" applyAlignment="1">
      <alignment horizontal="center" vertical="center" wrapText="1"/>
    </xf>
    <xf numFmtId="0" fontId="30" fillId="0" borderId="17" xfId="0" applyFont="1" applyBorder="1" applyAlignment="1">
      <alignment vertical="top" wrapText="1"/>
    </xf>
    <xf numFmtId="0" fontId="26" fillId="0" borderId="0" xfId="0" applyFont="1" applyBorder="1" applyAlignment="1">
      <alignment vertical="top" wrapText="1"/>
    </xf>
    <xf numFmtId="0" fontId="4" fillId="0" borderId="45" xfId="0" applyFont="1" applyBorder="1" applyAlignment="1">
      <alignment vertical="top" wrapText="1"/>
    </xf>
    <xf numFmtId="1" fontId="4" fillId="0" borderId="0" xfId="0" applyNumberFormat="1" applyFont="1" applyFill="1" applyBorder="1" applyAlignment="1">
      <alignment horizontal="center" vertical="center" wrapText="1"/>
    </xf>
    <xf numFmtId="2" fontId="4" fillId="0" borderId="5" xfId="0" applyNumberFormat="1" applyFont="1" applyFill="1" applyBorder="1" applyAlignment="1">
      <alignment horizontal="left" vertical="top" wrapText="1"/>
    </xf>
    <xf numFmtId="0" fontId="28" fillId="0" borderId="12" xfId="0" applyFont="1" applyBorder="1" applyAlignment="1">
      <alignment vertical="top" wrapText="1"/>
    </xf>
    <xf numFmtId="0" fontId="26" fillId="0" borderId="0" xfId="0" applyFont="1" applyFill="1" applyBorder="1" applyAlignment="1">
      <alignment vertical="top" wrapText="1"/>
    </xf>
    <xf numFmtId="0" fontId="4" fillId="0" borderId="47" xfId="0" applyFont="1" applyBorder="1" applyAlignment="1">
      <alignment horizontal="center" vertical="top" wrapText="1"/>
    </xf>
    <xf numFmtId="0" fontId="4" fillId="0" borderId="50" xfId="0" applyFont="1" applyFill="1" applyBorder="1" applyAlignment="1">
      <alignment vertical="top" wrapText="1"/>
    </xf>
    <xf numFmtId="0" fontId="4" fillId="0" borderId="5" xfId="0" applyNumberFormat="1" applyFont="1" applyFill="1" applyBorder="1" applyAlignment="1">
      <alignment horizontal="left" vertical="top" wrapText="1"/>
    </xf>
    <xf numFmtId="0" fontId="15" fillId="0" borderId="0" xfId="0" applyFont="1" applyFill="1" applyBorder="1" applyAlignment="1">
      <alignment vertical="top" wrapText="1"/>
    </xf>
    <xf numFmtId="2" fontId="26" fillId="0" borderId="0" xfId="0" applyNumberFormat="1" applyFont="1" applyFill="1" applyBorder="1" applyAlignment="1">
      <alignment horizontal="right" vertical="top"/>
    </xf>
    <xf numFmtId="0" fontId="4" fillId="0" borderId="34" xfId="0" applyFont="1" applyFill="1" applyBorder="1" applyAlignment="1">
      <alignment vertical="top" wrapText="1"/>
    </xf>
    <xf numFmtId="0" fontId="4" fillId="0" borderId="0" xfId="0" applyFont="1" applyBorder="1" applyAlignment="1">
      <alignment horizontal="center" vertical="center"/>
    </xf>
    <xf numFmtId="0" fontId="26" fillId="0" borderId="0" xfId="0" applyNumberFormat="1" applyFont="1" applyFill="1" applyBorder="1" applyAlignment="1">
      <alignment vertical="top" wrapText="1"/>
    </xf>
    <xf numFmtId="0" fontId="4" fillId="0" borderId="53" xfId="0" applyNumberFormat="1" applyFont="1" applyBorder="1" applyAlignment="1">
      <alignment vertical="top" wrapText="1"/>
    </xf>
    <xf numFmtId="0" fontId="4" fillId="0" borderId="53" xfId="0" applyFont="1" applyFill="1" applyBorder="1" applyAlignment="1">
      <alignment vertical="top" wrapText="1"/>
    </xf>
    <xf numFmtId="0" fontId="4" fillId="0" borderId="61" xfId="0" applyFont="1" applyFill="1" applyBorder="1" applyAlignment="1">
      <alignment horizontal="left" vertical="top" wrapText="1"/>
    </xf>
    <xf numFmtId="0" fontId="4" fillId="0" borderId="45" xfId="0" applyFont="1" applyFill="1" applyBorder="1" applyAlignment="1">
      <alignment vertical="top" wrapText="1"/>
    </xf>
    <xf numFmtId="2" fontId="28" fillId="0" borderId="5" xfId="0" applyNumberFormat="1" applyFont="1" applyBorder="1" applyAlignment="1">
      <alignment vertical="top" wrapText="1"/>
    </xf>
    <xf numFmtId="0" fontId="28" fillId="0" borderId="5" xfId="0" applyFont="1" applyBorder="1" applyAlignment="1">
      <alignment vertical="top" wrapText="1"/>
    </xf>
    <xf numFmtId="0" fontId="28" fillId="0" borderId="5" xfId="0" applyFont="1" applyFill="1" applyBorder="1" applyAlignment="1">
      <alignment vertical="top" wrapText="1"/>
    </xf>
    <xf numFmtId="2" fontId="28" fillId="0" borderId="5" xfId="0" applyNumberFormat="1" applyFont="1" applyFill="1" applyBorder="1" applyAlignment="1">
      <alignment vertical="top" wrapText="1"/>
    </xf>
    <xf numFmtId="0" fontId="24" fillId="0" borderId="5" xfId="0" applyFont="1" applyFill="1" applyBorder="1" applyAlignment="1">
      <alignment vertical="top" wrapText="1"/>
    </xf>
    <xf numFmtId="0" fontId="24" fillId="0" borderId="5" xfId="0" applyFont="1" applyBorder="1" applyAlignment="1">
      <alignment vertical="top" wrapText="1"/>
    </xf>
    <xf numFmtId="0" fontId="15" fillId="0" borderId="0" xfId="0" applyFont="1" applyBorder="1" applyAlignment="1">
      <alignment vertical="top" wrapText="1"/>
    </xf>
    <xf numFmtId="0" fontId="24" fillId="0" borderId="11" xfId="0" applyFont="1" applyBorder="1" applyAlignment="1">
      <alignment vertical="top" wrapText="1"/>
    </xf>
    <xf numFmtId="1" fontId="28" fillId="2" borderId="51" xfId="0" applyNumberFormat="1" applyFont="1" applyFill="1" applyBorder="1" applyAlignment="1">
      <alignment horizontal="center" vertical="top" wrapText="1"/>
    </xf>
    <xf numFmtId="1" fontId="28" fillId="2" borderId="7" xfId="0" applyNumberFormat="1" applyFont="1" applyFill="1" applyBorder="1" applyAlignment="1">
      <alignment horizontal="center" vertical="top" wrapText="1"/>
    </xf>
    <xf numFmtId="0" fontId="28" fillId="0" borderId="47" xfId="0" applyFont="1" applyFill="1" applyBorder="1" applyAlignment="1">
      <alignment horizontal="center" vertical="top" wrapText="1"/>
    </xf>
    <xf numFmtId="1" fontId="28" fillId="2" borderId="47" xfId="0" applyNumberFormat="1" applyFont="1" applyFill="1" applyBorder="1" applyAlignment="1">
      <alignment horizontal="center" vertical="top" wrapText="1"/>
    </xf>
    <xf numFmtId="0" fontId="28" fillId="2" borderId="3" xfId="0" applyFont="1" applyFill="1" applyBorder="1" applyAlignment="1">
      <alignment horizontal="center" vertical="top" wrapText="1"/>
    </xf>
    <xf numFmtId="1" fontId="28" fillId="2" borderId="35" xfId="0" applyNumberFormat="1" applyFont="1" applyFill="1" applyBorder="1" applyAlignment="1">
      <alignment horizontal="center" vertical="top" wrapText="1"/>
    </xf>
    <xf numFmtId="0" fontId="28" fillId="2" borderId="35" xfId="0" applyFont="1" applyFill="1" applyBorder="1" applyAlignment="1">
      <alignment horizontal="center" vertical="top" wrapText="1"/>
    </xf>
    <xf numFmtId="0" fontId="28" fillId="0" borderId="47" xfId="0" applyFont="1" applyBorder="1" applyAlignment="1">
      <alignment horizontal="center" vertical="top" wrapText="1"/>
    </xf>
    <xf numFmtId="1" fontId="28" fillId="2" borderId="48" xfId="0" applyNumberFormat="1" applyFont="1" applyFill="1" applyBorder="1" applyAlignment="1">
      <alignment horizontal="center" vertical="top" wrapText="1"/>
    </xf>
    <xf numFmtId="0" fontId="28" fillId="2" borderId="47" xfId="0" applyFont="1" applyFill="1" applyBorder="1" applyAlignment="1">
      <alignment horizontal="center" vertical="top" wrapText="1"/>
    </xf>
    <xf numFmtId="1" fontId="28" fillId="2" borderId="16" xfId="0" applyNumberFormat="1" applyFont="1" applyFill="1" applyBorder="1" applyAlignment="1">
      <alignment horizontal="center" vertical="top" wrapText="1"/>
    </xf>
    <xf numFmtId="0" fontId="28" fillId="2" borderId="4" xfId="0" applyFont="1" applyFill="1" applyBorder="1" applyAlignment="1">
      <alignment horizontal="center" vertical="top" wrapText="1"/>
    </xf>
    <xf numFmtId="0" fontId="28" fillId="2" borderId="48" xfId="0" applyFont="1" applyFill="1" applyBorder="1" applyAlignment="1">
      <alignment horizontal="center" vertical="top" wrapText="1"/>
    </xf>
    <xf numFmtId="0" fontId="4" fillId="0" borderId="46" xfId="0" applyNumberFormat="1" applyFont="1" applyBorder="1" applyAlignment="1">
      <alignment vertical="top" wrapText="1"/>
    </xf>
    <xf numFmtId="0" fontId="28" fillId="0" borderId="11" xfId="0" applyFont="1" applyFill="1" applyBorder="1" applyAlignment="1">
      <alignment vertical="top" wrapText="1"/>
    </xf>
    <xf numFmtId="0" fontId="26" fillId="0" borderId="0" xfId="0" applyFont="1" applyFill="1">
      <alignment vertical="top"/>
    </xf>
    <xf numFmtId="0" fontId="26" fillId="0" borderId="0" xfId="0" applyNumberFormat="1" applyFont="1">
      <alignment vertical="top"/>
    </xf>
    <xf numFmtId="0" fontId="28" fillId="0" borderId="34" xfId="0" applyFont="1" applyFill="1" applyBorder="1" applyAlignment="1">
      <alignment vertical="top" wrapText="1"/>
    </xf>
    <xf numFmtId="0" fontId="28" fillId="0" borderId="45" xfId="0" applyFont="1" applyFill="1" applyBorder="1" applyAlignment="1">
      <alignment vertical="top" wrapText="1"/>
    </xf>
    <xf numFmtId="0" fontId="4" fillId="2" borderId="39" xfId="0" applyFont="1" applyFill="1" applyBorder="1" applyAlignment="1">
      <alignment horizontal="center" vertical="top" wrapText="1"/>
    </xf>
    <xf numFmtId="0" fontId="4" fillId="2" borderId="35" xfId="0" applyFont="1" applyFill="1" applyBorder="1" applyAlignment="1">
      <alignment horizontal="center" vertical="top" wrapText="1"/>
    </xf>
    <xf numFmtId="0" fontId="4" fillId="2" borderId="47" xfId="0" applyFont="1" applyFill="1" applyBorder="1" applyAlignment="1">
      <alignment horizontal="center" vertical="top" wrapText="1"/>
    </xf>
    <xf numFmtId="0" fontId="26" fillId="2" borderId="35" xfId="0" applyFont="1" applyFill="1" applyBorder="1" applyAlignment="1">
      <alignment horizontal="center" vertical="top" wrapText="1"/>
    </xf>
    <xf numFmtId="0" fontId="4" fillId="0" borderId="44" xfId="0" applyFont="1" applyBorder="1" applyAlignment="1">
      <alignment horizontal="center" vertical="top" wrapText="1"/>
    </xf>
    <xf numFmtId="0" fontId="4" fillId="2" borderId="44" xfId="0" applyFont="1" applyFill="1" applyBorder="1" applyAlignment="1">
      <alignment horizontal="center" vertical="top" wrapText="1"/>
    </xf>
    <xf numFmtId="0" fontId="4" fillId="2" borderId="51"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13" xfId="0" applyFont="1" applyFill="1" applyBorder="1" applyAlignment="1">
      <alignment horizontal="center" vertical="top" wrapText="1"/>
    </xf>
    <xf numFmtId="1" fontId="4" fillId="0" borderId="5" xfId="0" applyNumberFormat="1" applyFont="1" applyBorder="1" applyAlignment="1">
      <alignment vertical="top" wrapText="1"/>
    </xf>
    <xf numFmtId="0" fontId="4" fillId="0" borderId="23"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1" fontId="4" fillId="0" borderId="44" xfId="0" applyNumberFormat="1" applyFont="1" applyBorder="1" applyAlignment="1">
      <alignment horizontal="center" vertical="top" wrapText="1"/>
    </xf>
    <xf numFmtId="0" fontId="30" fillId="0" borderId="1" xfId="0" applyFont="1" applyBorder="1" applyAlignment="1">
      <alignment horizontal="center" vertical="top" wrapText="1"/>
    </xf>
    <xf numFmtId="0" fontId="30" fillId="0" borderId="47" xfId="0" applyFont="1" applyBorder="1" applyAlignment="1">
      <alignment horizontal="center" vertical="top" wrapText="1"/>
    </xf>
    <xf numFmtId="0" fontId="4" fillId="0" borderId="1" xfId="0" applyFont="1" applyFill="1" applyBorder="1" applyAlignment="1">
      <alignment horizontal="center" vertical="top" wrapText="1"/>
    </xf>
    <xf numFmtId="0" fontId="4" fillId="0" borderId="47" xfId="0" applyFont="1" applyFill="1" applyBorder="1" applyAlignment="1">
      <alignment horizontal="center" vertical="top" wrapText="1"/>
    </xf>
    <xf numFmtId="0" fontId="24" fillId="0" borderId="1" xfId="0" applyFont="1" applyFill="1" applyBorder="1" applyAlignment="1">
      <alignment horizontal="center" vertical="top" wrapText="1"/>
    </xf>
    <xf numFmtId="0" fontId="24" fillId="0" borderId="47" xfId="0" applyFont="1" applyFill="1" applyBorder="1" applyAlignment="1">
      <alignment horizontal="center" vertical="top" wrapText="1"/>
    </xf>
    <xf numFmtId="0" fontId="24" fillId="0" borderId="5" xfId="0" applyFont="1" applyFill="1" applyBorder="1" applyAlignment="1">
      <alignment horizontal="left" vertical="top" wrapText="1"/>
    </xf>
    <xf numFmtId="1" fontId="28" fillId="2" borderId="39" xfId="0" applyNumberFormat="1" applyFont="1" applyFill="1" applyBorder="1" applyAlignment="1">
      <alignment horizontal="center" vertical="top" wrapText="1"/>
    </xf>
    <xf numFmtId="0" fontId="28" fillId="2" borderId="39"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4" xfId="0" applyFont="1" applyBorder="1" applyAlignment="1">
      <alignment horizontal="center" vertical="top" wrapText="1"/>
    </xf>
    <xf numFmtId="0" fontId="4" fillId="0" borderId="4" xfId="0" applyFont="1" applyFill="1" applyBorder="1" applyAlignment="1">
      <alignment horizontal="center" vertical="top" wrapText="1"/>
    </xf>
    <xf numFmtId="0" fontId="4" fillId="0" borderId="13" xfId="0" applyFont="1" applyBorder="1" applyAlignment="1">
      <alignment horizontal="center" vertical="top" wrapText="1"/>
    </xf>
    <xf numFmtId="1" fontId="4" fillId="0" borderId="4"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1" fontId="4" fillId="0" borderId="3" xfId="0" applyNumberFormat="1" applyFont="1" applyFill="1" applyBorder="1" applyAlignment="1">
      <alignment horizontal="center" vertical="top" wrapText="1"/>
    </xf>
    <xf numFmtId="0" fontId="30" fillId="0" borderId="4" xfId="0" applyFont="1" applyBorder="1" applyAlignment="1">
      <alignment horizontal="center" vertical="top" wrapText="1"/>
    </xf>
    <xf numFmtId="0" fontId="30" fillId="0" borderId="7" xfId="0" applyFont="1" applyBorder="1" applyAlignment="1">
      <alignment horizontal="center" vertical="top" wrapText="1"/>
    </xf>
    <xf numFmtId="0" fontId="30" fillId="0" borderId="4" xfId="0" applyFont="1" applyFill="1" applyBorder="1" applyAlignment="1">
      <alignment horizontal="center" vertical="top" wrapText="1"/>
    </xf>
    <xf numFmtId="0" fontId="30" fillId="0" borderId="1" xfId="0" applyFont="1" applyFill="1" applyBorder="1" applyAlignment="1">
      <alignment horizontal="center" vertical="top" wrapText="1"/>
    </xf>
    <xf numFmtId="0" fontId="30" fillId="0" borderId="3" xfId="0" applyFont="1" applyFill="1" applyBorder="1" applyAlignment="1">
      <alignment horizontal="center" vertical="top" wrapText="1"/>
    </xf>
    <xf numFmtId="1" fontId="30" fillId="0" borderId="4" xfId="0" applyNumberFormat="1" applyFont="1" applyBorder="1" applyAlignment="1">
      <alignment horizontal="center" vertical="top" wrapText="1"/>
    </xf>
    <xf numFmtId="1" fontId="30" fillId="0" borderId="1" xfId="0" applyNumberFormat="1" applyFont="1" applyBorder="1" applyAlignment="1">
      <alignment horizontal="center" vertical="top" wrapText="1"/>
    </xf>
    <xf numFmtId="1" fontId="30" fillId="0" borderId="47" xfId="0" applyNumberFormat="1" applyFont="1" applyBorder="1" applyAlignment="1">
      <alignment horizontal="center" vertical="top" wrapText="1"/>
    </xf>
    <xf numFmtId="0" fontId="30" fillId="0" borderId="47" xfId="0" applyFont="1" applyFill="1" applyBorder="1" applyAlignment="1">
      <alignment horizontal="center" vertical="top" wrapText="1"/>
    </xf>
    <xf numFmtId="1" fontId="30" fillId="0" borderId="4" xfId="0" applyNumberFormat="1" applyFont="1" applyFill="1" applyBorder="1" applyAlignment="1">
      <alignment horizontal="center" vertical="top" wrapText="1"/>
    </xf>
    <xf numFmtId="1" fontId="30" fillId="0" borderId="1" xfId="0" applyNumberFormat="1" applyFont="1" applyFill="1" applyBorder="1" applyAlignment="1">
      <alignment horizontal="center" vertical="top" wrapText="1"/>
    </xf>
    <xf numFmtId="1" fontId="30" fillId="0" borderId="47" xfId="0" applyNumberFormat="1" applyFont="1" applyFill="1" applyBorder="1" applyAlignment="1">
      <alignment horizontal="center" vertical="top" wrapText="1"/>
    </xf>
    <xf numFmtId="0" fontId="30" fillId="0" borderId="44" xfId="0" applyFont="1" applyBorder="1" applyAlignment="1">
      <alignment horizontal="center" vertical="top" wrapText="1"/>
    </xf>
    <xf numFmtId="0" fontId="30" fillId="0" borderId="48" xfId="0" applyFont="1" applyFill="1" applyBorder="1" applyAlignment="1">
      <alignment horizontal="center" vertical="top" wrapText="1"/>
    </xf>
    <xf numFmtId="0" fontId="30" fillId="0" borderId="3" xfId="0" applyFont="1" applyBorder="1" applyAlignment="1">
      <alignment horizontal="center" vertical="top" wrapText="1"/>
    </xf>
    <xf numFmtId="1" fontId="30" fillId="0" borderId="51" xfId="0" applyNumberFormat="1" applyFont="1" applyFill="1" applyBorder="1" applyAlignment="1">
      <alignment horizontal="center" vertical="top" wrapText="1"/>
    </xf>
    <xf numFmtId="1" fontId="30" fillId="0" borderId="51" xfId="0" applyNumberFormat="1" applyFont="1" applyBorder="1" applyAlignment="1">
      <alignment horizontal="center" vertical="top" wrapText="1"/>
    </xf>
    <xf numFmtId="1" fontId="30" fillId="0" borderId="3" xfId="0" applyNumberFormat="1" applyFont="1" applyBorder="1" applyAlignment="1">
      <alignment horizontal="center" vertical="top" wrapText="1"/>
    </xf>
    <xf numFmtId="0" fontId="4" fillId="0" borderId="8" xfId="0" applyFont="1" applyFill="1" applyBorder="1" applyAlignment="1">
      <alignment horizontal="center" vertical="top" wrapText="1"/>
    </xf>
    <xf numFmtId="0" fontId="4" fillId="0" borderId="2" xfId="0" applyFont="1" applyFill="1" applyBorder="1" applyAlignment="1">
      <alignment horizontal="center" vertical="top" wrapText="1"/>
    </xf>
    <xf numFmtId="0" fontId="4" fillId="0" borderId="9" xfId="0" applyFont="1" applyFill="1" applyBorder="1" applyAlignment="1">
      <alignment horizontal="center" vertical="top" wrapText="1"/>
    </xf>
    <xf numFmtId="0" fontId="4" fillId="0" borderId="12" xfId="0" applyFont="1" applyFill="1" applyBorder="1" applyAlignment="1">
      <alignment horizontal="center" vertical="top" wrapText="1"/>
    </xf>
    <xf numFmtId="0" fontId="4" fillId="0" borderId="6" xfId="0" applyFont="1" applyFill="1" applyBorder="1" applyAlignment="1">
      <alignment horizontal="center" vertical="top" wrapText="1"/>
    </xf>
    <xf numFmtId="0" fontId="4" fillId="0" borderId="50" xfId="0" applyFont="1" applyFill="1" applyBorder="1" applyAlignment="1">
      <alignment horizontal="center" vertical="top" wrapText="1"/>
    </xf>
    <xf numFmtId="1" fontId="4" fillId="0" borderId="47" xfId="0" applyNumberFormat="1" applyFont="1" applyFill="1" applyBorder="1" applyAlignment="1">
      <alignment horizontal="center" vertical="top" wrapText="1"/>
    </xf>
    <xf numFmtId="0" fontId="4" fillId="0" borderId="51" xfId="0" applyNumberFormat="1" applyFont="1" applyBorder="1" applyAlignment="1">
      <alignment horizontal="center" vertical="top" wrapText="1"/>
    </xf>
    <xf numFmtId="1" fontId="4" fillId="0" borderId="52" xfId="0" applyNumberFormat="1" applyFont="1" applyFill="1" applyBorder="1" applyAlignment="1">
      <alignment horizontal="center" vertical="top" wrapText="1"/>
    </xf>
    <xf numFmtId="1" fontId="4" fillId="0" borderId="7" xfId="0" applyNumberFormat="1" applyFont="1" applyFill="1" applyBorder="1" applyAlignment="1">
      <alignment horizontal="center" vertical="top" wrapText="1"/>
    </xf>
    <xf numFmtId="0" fontId="4" fillId="0" borderId="44" xfId="0" applyFont="1" applyFill="1" applyBorder="1" applyAlignment="1">
      <alignment horizontal="center" vertical="top" wrapText="1"/>
    </xf>
    <xf numFmtId="0" fontId="4" fillId="0" borderId="52" xfId="0" applyFont="1" applyFill="1" applyBorder="1" applyAlignment="1">
      <alignment horizontal="center" vertical="top" wrapText="1"/>
    </xf>
    <xf numFmtId="0" fontId="4" fillId="0" borderId="8" xfId="0" applyNumberFormat="1" applyFont="1" applyFill="1" applyBorder="1" applyAlignment="1">
      <alignment horizontal="center" vertical="top" wrapText="1"/>
    </xf>
    <xf numFmtId="0" fontId="4" fillId="0" borderId="2" xfId="0" applyNumberFormat="1" applyFont="1" applyFill="1" applyBorder="1" applyAlignment="1">
      <alignment horizontal="center" vertical="top" wrapText="1"/>
    </xf>
    <xf numFmtId="0" fontId="4" fillId="0" borderId="48" xfId="0" applyNumberFormat="1" applyFont="1" applyFill="1" applyBorder="1" applyAlignment="1">
      <alignment horizontal="center" vertical="top" wrapText="1"/>
    </xf>
    <xf numFmtId="0" fontId="4" fillId="0" borderId="9" xfId="0" applyNumberFormat="1" applyFont="1" applyFill="1" applyBorder="1" applyAlignment="1">
      <alignment horizontal="center" vertical="top" wrapText="1"/>
    </xf>
    <xf numFmtId="0" fontId="4" fillId="0" borderId="51" xfId="0" applyFont="1" applyFill="1" applyBorder="1" applyAlignment="1">
      <alignment horizontal="center" vertical="top" wrapText="1"/>
    </xf>
    <xf numFmtId="0" fontId="4" fillId="0" borderId="51" xfId="0" applyFont="1" applyBorder="1" applyAlignment="1">
      <alignment horizontal="center" vertical="top" wrapText="1"/>
    </xf>
    <xf numFmtId="1" fontId="4" fillId="0" borderId="8" xfId="0" applyNumberFormat="1" applyFont="1" applyBorder="1" applyAlignment="1">
      <alignment horizontal="center" vertical="top" wrapText="1"/>
    </xf>
    <xf numFmtId="1" fontId="4" fillId="0" borderId="51" xfId="0" applyNumberFormat="1" applyFont="1" applyBorder="1" applyAlignment="1">
      <alignment horizontal="center" vertical="top" wrapText="1"/>
    </xf>
    <xf numFmtId="1" fontId="4" fillId="0" borderId="4"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1" fontId="4" fillId="0" borderId="3" xfId="0" applyNumberFormat="1" applyFont="1" applyBorder="1" applyAlignment="1">
      <alignment horizontal="center" vertical="top" wrapText="1"/>
    </xf>
    <xf numFmtId="0" fontId="4" fillId="0" borderId="8" xfId="0" applyFont="1" applyBorder="1" applyAlignment="1">
      <alignment horizontal="center" vertical="top" wrapText="1"/>
    </xf>
    <xf numFmtId="1" fontId="24" fillId="0" borderId="7" xfId="0" applyNumberFormat="1" applyFont="1" applyBorder="1" applyAlignment="1">
      <alignment horizontal="center" vertical="top" wrapText="1"/>
    </xf>
    <xf numFmtId="1" fontId="24" fillId="0" borderId="3" xfId="0" applyNumberFormat="1" applyFont="1" applyBorder="1" applyAlignment="1">
      <alignment horizontal="center" vertical="top" wrapText="1"/>
    </xf>
    <xf numFmtId="1" fontId="24" fillId="0" borderId="47" xfId="0" applyNumberFormat="1" applyFont="1" applyBorder="1" applyAlignment="1">
      <alignment horizontal="center" vertical="top" wrapText="1"/>
    </xf>
    <xf numFmtId="0" fontId="24" fillId="0" borderId="4" xfId="0" applyFont="1" applyFill="1" applyBorder="1" applyAlignment="1">
      <alignment horizontal="center" vertical="top" wrapText="1"/>
    </xf>
    <xf numFmtId="0" fontId="24" fillId="0" borderId="7" xfId="0" applyFont="1" applyBorder="1" applyAlignment="1">
      <alignment horizontal="center" vertical="top" wrapText="1"/>
    </xf>
    <xf numFmtId="0" fontId="24" fillId="0" borderId="3" xfId="0" applyFont="1" applyBorder="1" applyAlignment="1">
      <alignment horizontal="center" vertical="top" wrapText="1"/>
    </xf>
    <xf numFmtId="0" fontId="24" fillId="0" borderId="7" xfId="0" applyFont="1" applyFill="1" applyBorder="1" applyAlignment="1">
      <alignment horizontal="center" vertical="top" wrapText="1"/>
    </xf>
    <xf numFmtId="0" fontId="24" fillId="0" borderId="3" xfId="0" applyFont="1" applyFill="1" applyBorder="1" applyAlignment="1">
      <alignment horizontal="center" vertical="top" wrapText="1"/>
    </xf>
    <xf numFmtId="0" fontId="24" fillId="0" borderId="47" xfId="0" applyFont="1" applyBorder="1" applyAlignment="1">
      <alignment horizontal="center" vertical="top" wrapText="1"/>
    </xf>
    <xf numFmtId="0" fontId="24" fillId="0" borderId="51" xfId="0" applyFont="1" applyFill="1" applyBorder="1" applyAlignment="1">
      <alignment horizontal="center" vertical="top" wrapText="1"/>
    </xf>
    <xf numFmtId="0" fontId="24" fillId="0" borderId="4" xfId="0" applyFont="1" applyBorder="1" applyAlignment="1">
      <alignment horizontal="center" vertical="top" wrapText="1"/>
    </xf>
    <xf numFmtId="0" fontId="24" fillId="0" borderId="1" xfId="0" applyFont="1" applyBorder="1" applyAlignment="1">
      <alignment horizontal="center" vertical="top" wrapText="1"/>
    </xf>
    <xf numFmtId="0" fontId="24" fillId="0" borderId="44" xfId="0" applyFont="1" applyBorder="1" applyAlignment="1">
      <alignment horizontal="center" vertical="top" wrapText="1"/>
    </xf>
    <xf numFmtId="0" fontId="24" fillId="0" borderId="52" xfId="0" applyFont="1" applyBorder="1" applyAlignment="1">
      <alignment horizontal="center" vertical="top" wrapText="1"/>
    </xf>
    <xf numFmtId="0" fontId="24" fillId="0" borderId="8" xfId="0" applyFont="1" applyBorder="1" applyAlignment="1">
      <alignment horizontal="center" vertical="top" wrapText="1"/>
    </xf>
    <xf numFmtId="0" fontId="24" fillId="0" borderId="9" xfId="0" applyFont="1" applyBorder="1" applyAlignment="1">
      <alignment horizontal="center" vertical="top" wrapText="1"/>
    </xf>
    <xf numFmtId="0" fontId="28" fillId="0" borderId="4" xfId="0" applyFont="1" applyFill="1" applyBorder="1" applyAlignment="1">
      <alignment horizontal="center" vertical="top" wrapText="1"/>
    </xf>
    <xf numFmtId="0" fontId="28" fillId="0" borderId="3" xfId="0" applyFont="1" applyFill="1" applyBorder="1" applyAlignment="1">
      <alignment horizontal="center" vertical="top" wrapText="1"/>
    </xf>
    <xf numFmtId="0" fontId="28" fillId="0" borderId="51" xfId="0" applyFont="1" applyFill="1" applyBorder="1" applyAlignment="1">
      <alignment horizontal="center" vertical="top" wrapText="1"/>
    </xf>
    <xf numFmtId="0" fontId="28" fillId="0" borderId="13" xfId="0" applyFont="1" applyFill="1" applyBorder="1" applyAlignment="1">
      <alignment horizontal="center" vertical="top" wrapText="1"/>
    </xf>
    <xf numFmtId="0" fontId="28" fillId="0" borderId="8" xfId="0" applyFont="1" applyFill="1" applyBorder="1" applyAlignment="1">
      <alignment horizontal="center" vertical="top" wrapText="1"/>
    </xf>
    <xf numFmtId="0" fontId="28" fillId="0" borderId="48" xfId="0" applyFont="1" applyFill="1" applyBorder="1" applyAlignment="1">
      <alignment horizontal="center" vertical="top" wrapText="1"/>
    </xf>
    <xf numFmtId="0" fontId="28" fillId="0" borderId="9" xfId="0" applyFont="1" applyFill="1" applyBorder="1" applyAlignment="1">
      <alignment horizontal="center" vertical="top" wrapText="1"/>
    </xf>
    <xf numFmtId="1" fontId="4" fillId="0" borderId="47" xfId="0" applyNumberFormat="1" applyFont="1" applyBorder="1" applyAlignment="1">
      <alignment horizontal="center" vertical="top" wrapText="1"/>
    </xf>
    <xf numFmtId="0" fontId="23" fillId="0" borderId="4" xfId="0" applyFont="1" applyBorder="1" applyAlignment="1">
      <alignment horizontal="center" vertical="top" wrapText="1"/>
    </xf>
    <xf numFmtId="0" fontId="23" fillId="0" borderId="1" xfId="0" applyFont="1" applyBorder="1" applyAlignment="1">
      <alignment horizontal="center" vertical="top" wrapText="1"/>
    </xf>
    <xf numFmtId="0" fontId="23" fillId="0" borderId="47" xfId="0" applyFont="1" applyBorder="1" applyAlignment="1">
      <alignment horizontal="center" vertical="top" wrapText="1"/>
    </xf>
    <xf numFmtId="0" fontId="23" fillId="0" borderId="3" xfId="0" applyFont="1" applyBorder="1" applyAlignment="1">
      <alignment horizontal="center" vertical="top" wrapText="1"/>
    </xf>
    <xf numFmtId="0" fontId="23" fillId="0" borderId="52" xfId="0" applyFont="1" applyBorder="1" applyAlignment="1">
      <alignment horizontal="center" vertical="top" wrapText="1"/>
    </xf>
    <xf numFmtId="0" fontId="23" fillId="0" borderId="4" xfId="0" applyFont="1" applyFill="1" applyBorder="1" applyAlignment="1">
      <alignment horizontal="center" vertical="top" wrapText="1"/>
    </xf>
    <xf numFmtId="0" fontId="23" fillId="0" borderId="52" xfId="0" applyFont="1" applyFill="1" applyBorder="1" applyAlignment="1">
      <alignment horizontal="center" vertical="top" wrapText="1"/>
    </xf>
    <xf numFmtId="0" fontId="23" fillId="0" borderId="1" xfId="0" applyFont="1" applyFill="1" applyBorder="1" applyAlignment="1">
      <alignment horizontal="center" vertical="top" wrapText="1"/>
    </xf>
    <xf numFmtId="0" fontId="23" fillId="0" borderId="3" xfId="0" applyFont="1" applyFill="1" applyBorder="1" applyAlignment="1">
      <alignment horizontal="center" vertical="top" wrapText="1"/>
    </xf>
    <xf numFmtId="0" fontId="30" fillId="0" borderId="52" xfId="0" applyFont="1" applyBorder="1" applyAlignment="1">
      <alignment horizontal="center" vertical="top" wrapText="1"/>
    </xf>
    <xf numFmtId="49" fontId="30" fillId="0" borderId="1" xfId="0" applyNumberFormat="1" applyFont="1" applyBorder="1" applyAlignment="1">
      <alignment horizontal="center" vertical="top" wrapText="1"/>
    </xf>
    <xf numFmtId="0" fontId="30" fillId="0" borderId="48" xfId="0" applyFont="1" applyBorder="1" applyAlignment="1">
      <alignment horizontal="center" vertical="top" wrapText="1"/>
    </xf>
    <xf numFmtId="1" fontId="4" fillId="0" borderId="34" xfId="0" applyNumberFormat="1" applyFont="1" applyBorder="1" applyAlignment="1">
      <alignment vertical="top" wrapText="1"/>
    </xf>
    <xf numFmtId="1" fontId="28" fillId="0" borderId="4"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8" fillId="0" borderId="47" xfId="0" applyNumberFormat="1" applyFont="1" applyBorder="1" applyAlignment="1">
      <alignment horizontal="center" vertical="top" wrapText="1"/>
    </xf>
    <xf numFmtId="1" fontId="28" fillId="0" borderId="3" xfId="0" applyNumberFormat="1" applyFont="1" applyBorder="1" applyAlignment="1">
      <alignment horizontal="center" vertical="top" wrapText="1"/>
    </xf>
    <xf numFmtId="1" fontId="28" fillId="0" borderId="7" xfId="0" applyNumberFormat="1" applyFont="1" applyFill="1" applyBorder="1" applyAlignment="1">
      <alignment horizontal="center" vertical="top" wrapText="1"/>
    </xf>
    <xf numFmtId="1" fontId="28" fillId="0" borderId="3" xfId="0" applyNumberFormat="1" applyFont="1" applyFill="1" applyBorder="1" applyAlignment="1">
      <alignment horizontal="center" vertical="top" wrapText="1"/>
    </xf>
    <xf numFmtId="1" fontId="28" fillId="0" borderId="47" xfId="0" applyNumberFormat="1" applyFont="1" applyFill="1" applyBorder="1" applyAlignment="1">
      <alignment horizontal="center" vertical="top" wrapText="1"/>
    </xf>
    <xf numFmtId="1" fontId="28" fillId="0" borderId="8" xfId="0" applyNumberFormat="1" applyFont="1" applyBorder="1" applyAlignment="1">
      <alignment horizontal="center" vertical="top" wrapText="1"/>
    </xf>
    <xf numFmtId="1" fontId="28" fillId="0" borderId="4" xfId="0" applyNumberFormat="1" applyFont="1" applyFill="1" applyBorder="1" applyAlignment="1">
      <alignment horizontal="center" vertical="top" wrapText="1"/>
    </xf>
    <xf numFmtId="1" fontId="28" fillId="0" borderId="1" xfId="0" applyNumberFormat="1" applyFont="1" applyFill="1" applyBorder="1" applyAlignment="1">
      <alignment horizontal="center" vertical="top" wrapText="1"/>
    </xf>
    <xf numFmtId="1" fontId="28" fillId="0" borderId="51" xfId="0" applyNumberFormat="1" applyFont="1" applyFill="1" applyBorder="1" applyAlignment="1">
      <alignment horizontal="center" vertical="top" wrapText="1"/>
    </xf>
    <xf numFmtId="0" fontId="4" fillId="18" borderId="0" xfId="0" applyFont="1" applyFill="1" applyAlignment="1">
      <alignment horizontal="left" vertical="top" wrapText="1"/>
    </xf>
    <xf numFmtId="0" fontId="4" fillId="0" borderId="6" xfId="0" applyFont="1" applyBorder="1" applyAlignment="1">
      <alignment vertical="top" wrapText="1"/>
    </xf>
    <xf numFmtId="0" fontId="4" fillId="0" borderId="17" xfId="0" applyFont="1" applyBorder="1" applyAlignment="1">
      <alignment horizontal="left" vertical="top" wrapText="1"/>
    </xf>
    <xf numFmtId="0" fontId="4" fillId="0" borderId="7" xfId="0" applyFont="1" applyFill="1" applyBorder="1" applyAlignment="1">
      <alignment horizontal="center" vertical="top" wrapText="1"/>
    </xf>
    <xf numFmtId="0" fontId="30" fillId="0" borderId="7" xfId="0" applyFont="1" applyFill="1" applyBorder="1" applyAlignment="1">
      <alignment horizontal="center" vertical="top" wrapText="1"/>
    </xf>
    <xf numFmtId="0" fontId="4" fillId="0" borderId="71" xfId="0" applyFont="1" applyBorder="1" applyAlignment="1">
      <alignment horizontal="left" vertical="top" wrapText="1"/>
    </xf>
    <xf numFmtId="0" fontId="4" fillId="0" borderId="11" xfId="0" applyFont="1" applyFill="1" applyBorder="1" applyAlignment="1">
      <alignment horizontal="left" vertical="top" wrapText="1"/>
    </xf>
    <xf numFmtId="0" fontId="4" fillId="0" borderId="17" xfId="0" applyFont="1" applyFill="1" applyBorder="1" applyAlignment="1">
      <alignment horizontal="left" vertical="top" wrapText="1"/>
    </xf>
    <xf numFmtId="1" fontId="4" fillId="0" borderId="0" xfId="0" applyNumberFormat="1" applyFont="1" applyAlignment="1">
      <alignment horizontal="center" vertical="top"/>
    </xf>
    <xf numFmtId="1" fontId="4" fillId="2" borderId="4" xfId="0" applyNumberFormat="1" applyFont="1" applyFill="1" applyBorder="1" applyAlignment="1">
      <alignment horizontal="center" vertical="top" wrapText="1"/>
    </xf>
    <xf numFmtId="1" fontId="4" fillId="2" borderId="1" xfId="0" applyNumberFormat="1" applyFont="1" applyFill="1" applyBorder="1" applyAlignment="1">
      <alignment horizontal="center" vertical="top" wrapText="1"/>
    </xf>
    <xf numFmtId="1" fontId="4" fillId="2" borderId="47" xfId="0" applyNumberFormat="1" applyFont="1" applyFill="1" applyBorder="1" applyAlignment="1">
      <alignment horizontal="center" vertical="top" wrapText="1"/>
    </xf>
    <xf numFmtId="1" fontId="4" fillId="2" borderId="8" xfId="0" applyNumberFormat="1" applyFont="1" applyFill="1" applyBorder="1" applyAlignment="1">
      <alignment horizontal="center" vertical="top" wrapText="1"/>
    </xf>
    <xf numFmtId="1" fontId="4" fillId="2" borderId="3" xfId="0" applyNumberFormat="1" applyFont="1" applyFill="1" applyBorder="1" applyAlignment="1">
      <alignment horizontal="center" vertical="top" wrapText="1"/>
    </xf>
    <xf numFmtId="1" fontId="4" fillId="2" borderId="39" xfId="0" applyNumberFormat="1" applyFont="1" applyFill="1" applyBorder="1" applyAlignment="1">
      <alignment horizontal="center" vertical="top" wrapText="1"/>
    </xf>
    <xf numFmtId="1" fontId="4" fillId="2" borderId="35" xfId="0" applyNumberFormat="1" applyFont="1" applyFill="1" applyBorder="1" applyAlignment="1">
      <alignment horizontal="center" vertical="top" wrapText="1"/>
    </xf>
    <xf numFmtId="0" fontId="30" fillId="2" borderId="4" xfId="0" applyFont="1" applyFill="1" applyBorder="1" applyAlignment="1">
      <alignment horizontal="center" vertical="top" wrapText="1"/>
    </xf>
    <xf numFmtId="1" fontId="30" fillId="2" borderId="8" xfId="0" applyNumberFormat="1" applyFont="1" applyFill="1" applyBorder="1" applyAlignment="1">
      <alignment horizontal="center" vertical="top" wrapText="1"/>
    </xf>
    <xf numFmtId="0" fontId="30" fillId="2" borderId="1" xfId="0" applyFont="1" applyFill="1" applyBorder="1" applyAlignment="1">
      <alignment horizontal="center" vertical="top" wrapText="1"/>
    </xf>
    <xf numFmtId="1" fontId="30" fillId="2" borderId="1" xfId="0" applyNumberFormat="1" applyFont="1" applyFill="1" applyBorder="1" applyAlignment="1">
      <alignment horizontal="center" vertical="top" wrapText="1"/>
    </xf>
    <xf numFmtId="0" fontId="30" fillId="2" borderId="3" xfId="0" applyFont="1" applyFill="1" applyBorder="1" applyAlignment="1">
      <alignment horizontal="center" vertical="top" wrapText="1"/>
    </xf>
    <xf numFmtId="1" fontId="30" fillId="2" borderId="3" xfId="0" applyNumberFormat="1" applyFont="1" applyFill="1" applyBorder="1" applyAlignment="1">
      <alignment horizontal="center" vertical="top" wrapText="1"/>
    </xf>
    <xf numFmtId="1" fontId="4" fillId="2" borderId="51" xfId="0" applyNumberFormat="1" applyFont="1" applyFill="1" applyBorder="1" applyAlignment="1">
      <alignment horizontal="center" vertical="top" wrapText="1"/>
    </xf>
    <xf numFmtId="1" fontId="4" fillId="2" borderId="13" xfId="0" applyNumberFormat="1" applyFont="1" applyFill="1" applyBorder="1" applyAlignment="1">
      <alignment horizontal="center" vertical="top" wrapText="1"/>
    </xf>
    <xf numFmtId="1" fontId="4" fillId="2" borderId="52" xfId="0" applyNumberFormat="1" applyFont="1" applyFill="1" applyBorder="1" applyAlignment="1">
      <alignment horizontal="center" vertical="top" wrapText="1"/>
    </xf>
    <xf numFmtId="1" fontId="4" fillId="2" borderId="66" xfId="0" applyNumberFormat="1" applyFont="1" applyFill="1" applyBorder="1" applyAlignment="1">
      <alignment horizontal="center" vertical="top" wrapText="1"/>
    </xf>
    <xf numFmtId="1" fontId="4" fillId="2" borderId="6" xfId="0" applyNumberFormat="1" applyFont="1" applyFill="1" applyBorder="1" applyAlignment="1">
      <alignment horizontal="center" vertical="top" wrapText="1"/>
    </xf>
    <xf numFmtId="1" fontId="4" fillId="2" borderId="50" xfId="0" applyNumberFormat="1" applyFont="1" applyFill="1" applyBorder="1" applyAlignment="1">
      <alignment horizontal="center" vertical="top" wrapText="1"/>
    </xf>
    <xf numFmtId="1" fontId="4" fillId="2" borderId="12" xfId="0" applyNumberFormat="1" applyFont="1" applyFill="1" applyBorder="1" applyAlignment="1">
      <alignment horizontal="center" vertical="top" wrapText="1"/>
    </xf>
    <xf numFmtId="1" fontId="4" fillId="2" borderId="7" xfId="0" applyNumberFormat="1" applyFont="1" applyFill="1" applyBorder="1" applyAlignment="1">
      <alignment horizontal="center" vertical="top" wrapText="1"/>
    </xf>
    <xf numFmtId="1" fontId="4" fillId="2" borderId="45" xfId="0" applyNumberFormat="1" applyFont="1" applyFill="1" applyBorder="1" applyAlignment="1">
      <alignment horizontal="center" vertical="top" wrapText="1"/>
    </xf>
    <xf numFmtId="1" fontId="4" fillId="2" borderId="8" xfId="0" applyNumberFormat="1" applyFont="1" applyFill="1" applyBorder="1" applyAlignment="1">
      <alignment horizontal="center" vertical="top"/>
    </xf>
    <xf numFmtId="1" fontId="4" fillId="2" borderId="35" xfId="0" applyNumberFormat="1" applyFont="1" applyFill="1" applyBorder="1" applyAlignment="1">
      <alignment horizontal="center" vertical="top"/>
    </xf>
    <xf numFmtId="1" fontId="4" fillId="2" borderId="44" xfId="0" applyNumberFormat="1" applyFont="1" applyFill="1" applyBorder="1" applyAlignment="1">
      <alignment horizontal="center" vertical="top" wrapText="1"/>
    </xf>
    <xf numFmtId="1" fontId="4" fillId="2" borderId="1" xfId="0" applyNumberFormat="1" applyFont="1" applyFill="1" applyBorder="1" applyAlignment="1">
      <alignment horizontal="center" vertical="top"/>
    </xf>
    <xf numFmtId="1" fontId="4" fillId="2" borderId="2" xfId="0" applyNumberFormat="1" applyFont="1" applyFill="1" applyBorder="1" applyAlignment="1">
      <alignment horizontal="center" vertical="top" wrapText="1"/>
    </xf>
    <xf numFmtId="1" fontId="4" fillId="2" borderId="3" xfId="0" applyNumberFormat="1" applyFont="1" applyFill="1" applyBorder="1" applyAlignment="1">
      <alignment horizontal="center" vertical="top"/>
    </xf>
    <xf numFmtId="1" fontId="4" fillId="2" borderId="9" xfId="0" applyNumberFormat="1" applyFont="1" applyFill="1" applyBorder="1" applyAlignment="1">
      <alignment horizontal="center" vertical="top" wrapText="1"/>
    </xf>
    <xf numFmtId="1" fontId="4" fillId="2" borderId="47" xfId="0" applyNumberFormat="1" applyFont="1" applyFill="1" applyBorder="1" applyAlignment="1">
      <alignment horizontal="center" vertical="top"/>
    </xf>
    <xf numFmtId="1" fontId="4" fillId="2" borderId="48" xfId="0" applyNumberFormat="1" applyFont="1" applyFill="1" applyBorder="1" applyAlignment="1">
      <alignment horizontal="center" vertical="top" wrapText="1"/>
    </xf>
    <xf numFmtId="1" fontId="4" fillId="2" borderId="4" xfId="0" applyNumberFormat="1" applyFont="1" applyFill="1" applyBorder="1" applyAlignment="1">
      <alignment horizontal="center" vertical="top"/>
    </xf>
    <xf numFmtId="1" fontId="4" fillId="2" borderId="66" xfId="0" applyNumberFormat="1" applyFont="1" applyFill="1" applyBorder="1" applyAlignment="1">
      <alignment horizontal="center" vertical="top"/>
    </xf>
    <xf numFmtId="1" fontId="4" fillId="2" borderId="11" xfId="0" applyNumberFormat="1" applyFont="1" applyFill="1" applyBorder="1" applyAlignment="1">
      <alignment horizontal="center" vertical="top"/>
    </xf>
    <xf numFmtId="1" fontId="4" fillId="0" borderId="44" xfId="0" applyNumberFormat="1" applyFont="1" applyBorder="1" applyAlignment="1">
      <alignment horizontal="center" vertical="top"/>
    </xf>
    <xf numFmtId="1" fontId="4" fillId="2" borderId="44" xfId="0" applyNumberFormat="1" applyFont="1" applyFill="1" applyBorder="1" applyAlignment="1">
      <alignment horizontal="center" vertical="top"/>
    </xf>
    <xf numFmtId="1" fontId="4" fillId="0" borderId="0" xfId="0" applyNumberFormat="1" applyFont="1" applyBorder="1" applyAlignment="1">
      <alignment horizontal="center" vertical="top"/>
    </xf>
    <xf numFmtId="2" fontId="4" fillId="5" borderId="64" xfId="0" applyNumberFormat="1" applyFont="1" applyFill="1" applyBorder="1" applyAlignment="1">
      <alignment horizontal="center" vertical="top" wrapText="1"/>
    </xf>
    <xf numFmtId="0" fontId="4" fillId="0" borderId="7" xfId="0" applyFont="1" applyBorder="1" applyAlignment="1">
      <alignment horizontal="center" vertical="top" wrapText="1"/>
    </xf>
    <xf numFmtId="0" fontId="4" fillId="0" borderId="3" xfId="0" applyFont="1" applyBorder="1" applyAlignment="1">
      <alignment horizontal="center" vertical="top" wrapText="1"/>
    </xf>
    <xf numFmtId="0" fontId="4" fillId="0" borderId="71" xfId="0" applyFont="1" applyFill="1" applyBorder="1" applyAlignment="1">
      <alignment horizontal="left" vertical="top" wrapText="1"/>
    </xf>
    <xf numFmtId="0" fontId="4" fillId="0" borderId="6" xfId="0" applyFont="1" applyBorder="1" applyAlignment="1">
      <alignment vertical="top" wrapText="1"/>
    </xf>
    <xf numFmtId="0" fontId="4" fillId="0" borderId="3" xfId="0" applyFont="1" applyBorder="1" applyAlignment="1">
      <alignment horizontal="center" vertical="top" wrapText="1"/>
    </xf>
    <xf numFmtId="0" fontId="4" fillId="0" borderId="11" xfId="0" applyFont="1" applyFill="1" applyBorder="1" applyAlignment="1">
      <alignment vertical="top" wrapText="1"/>
    </xf>
    <xf numFmtId="0" fontId="4" fillId="0" borderId="71" xfId="0" applyFont="1" applyFill="1" applyBorder="1" applyAlignment="1">
      <alignment vertical="top" wrapText="1"/>
    </xf>
    <xf numFmtId="0" fontId="4" fillId="0" borderId="53" xfId="0" applyFont="1" applyFill="1" applyBorder="1" applyAlignment="1">
      <alignment horizontal="left" vertical="top" wrapText="1"/>
    </xf>
    <xf numFmtId="0" fontId="4" fillId="0" borderId="15" xfId="0" applyFont="1" applyFill="1" applyBorder="1" applyAlignment="1">
      <alignment horizontal="left" vertical="top" wrapText="1"/>
    </xf>
    <xf numFmtId="0" fontId="4" fillId="0" borderId="15" xfId="0" applyFont="1" applyFill="1" applyBorder="1" applyAlignment="1">
      <alignment vertical="top" wrapText="1"/>
    </xf>
    <xf numFmtId="0" fontId="9" fillId="0" borderId="59" xfId="1" applyFont="1" applyBorder="1" applyAlignment="1">
      <alignment vertical="center"/>
    </xf>
    <xf numFmtId="0" fontId="9" fillId="0" borderId="0" xfId="1" applyFont="1" applyBorder="1" applyAlignment="1">
      <alignment vertical="center"/>
    </xf>
    <xf numFmtId="0" fontId="4" fillId="0" borderId="0" xfId="1" applyFont="1" applyBorder="1" applyAlignment="1">
      <alignment vertical="center"/>
    </xf>
    <xf numFmtId="0" fontId="30" fillId="0" borderId="41" xfId="0" applyFont="1" applyBorder="1" applyAlignment="1">
      <alignment vertical="top" wrapText="1"/>
    </xf>
    <xf numFmtId="0" fontId="30" fillId="0" borderId="56" xfId="0" applyFont="1" applyBorder="1" applyAlignment="1">
      <alignment vertical="top" wrapText="1"/>
    </xf>
    <xf numFmtId="0" fontId="30" fillId="0" borderId="41" xfId="0" applyFont="1" applyFill="1" applyBorder="1" applyAlignment="1">
      <alignment horizontal="left" vertical="top" wrapText="1"/>
    </xf>
    <xf numFmtId="0" fontId="30" fillId="0" borderId="12" xfId="0" applyFont="1" applyFill="1" applyBorder="1" applyAlignment="1">
      <alignment horizontal="left" vertical="top" wrapText="1"/>
    </xf>
    <xf numFmtId="0" fontId="30" fillId="0" borderId="6" xfId="0" applyFont="1" applyFill="1" applyBorder="1" applyAlignment="1">
      <alignment horizontal="left" vertical="top" wrapText="1"/>
    </xf>
    <xf numFmtId="0" fontId="30" fillId="0" borderId="50" xfId="0" applyFont="1" applyFill="1" applyBorder="1" applyAlignment="1">
      <alignment horizontal="left" vertical="top" wrapText="1"/>
    </xf>
    <xf numFmtId="0" fontId="30" fillId="0" borderId="11" xfId="0" applyFont="1" applyBorder="1" applyAlignment="1">
      <alignment vertical="top" wrapText="1"/>
    </xf>
    <xf numFmtId="0" fontId="30" fillId="0" borderId="41" xfId="0" applyFont="1" applyBorder="1" applyAlignment="1">
      <alignment horizontal="left" vertical="top" wrapText="1"/>
    </xf>
    <xf numFmtId="0" fontId="30" fillId="0" borderId="12" xfId="0" applyFont="1" applyBorder="1" applyAlignment="1">
      <alignment horizontal="left" vertical="top" wrapText="1"/>
    </xf>
    <xf numFmtId="0" fontId="30" fillId="0" borderId="56" xfId="0" applyFont="1" applyBorder="1" applyAlignment="1">
      <alignment horizontal="left" vertical="top" wrapText="1"/>
    </xf>
    <xf numFmtId="0" fontId="30" fillId="0" borderId="6" xfId="0" applyFont="1" applyBorder="1" applyAlignment="1">
      <alignment horizontal="left" vertical="top" wrapText="1"/>
    </xf>
    <xf numFmtId="0" fontId="30" fillId="0" borderId="50" xfId="0" applyFont="1" applyBorder="1" applyAlignment="1">
      <alignment horizontal="left" vertical="top" wrapText="1"/>
    </xf>
    <xf numFmtId="0" fontId="30" fillId="0" borderId="11" xfId="0" applyFont="1" applyFill="1" applyBorder="1" applyAlignment="1">
      <alignment vertical="top" wrapText="1"/>
    </xf>
    <xf numFmtId="0" fontId="30" fillId="0" borderId="17" xfId="0" applyFont="1" applyFill="1" applyBorder="1" applyAlignment="1">
      <alignment vertical="top" wrapText="1"/>
    </xf>
    <xf numFmtId="0" fontId="30" fillId="0" borderId="41" xfId="0" applyFont="1" applyFill="1" applyBorder="1" applyAlignment="1">
      <alignment vertical="top" wrapText="1"/>
    </xf>
    <xf numFmtId="0" fontId="30" fillId="0" borderId="12" xfId="0" applyFont="1" applyFill="1" applyBorder="1" applyAlignment="1">
      <alignment vertical="top" wrapText="1"/>
    </xf>
    <xf numFmtId="0" fontId="30" fillId="0" borderId="6" xfId="0" applyFont="1" applyFill="1" applyBorder="1" applyAlignment="1">
      <alignment vertical="top" wrapText="1"/>
    </xf>
    <xf numFmtId="0" fontId="30" fillId="0" borderId="50" xfId="0" applyFont="1" applyFill="1" applyBorder="1" applyAlignment="1">
      <alignment vertical="top" wrapText="1"/>
    </xf>
    <xf numFmtId="0" fontId="30" fillId="0" borderId="45" xfId="0" applyFont="1" applyFill="1" applyBorder="1" applyAlignment="1">
      <alignment vertical="top" wrapText="1"/>
    </xf>
    <xf numFmtId="49" fontId="30" fillId="0" borderId="6" xfId="0" applyNumberFormat="1" applyFont="1" applyBorder="1" applyAlignment="1">
      <alignment vertical="top" wrapText="1"/>
    </xf>
    <xf numFmtId="0" fontId="30" fillId="0" borderId="36" xfId="0" applyFont="1" applyBorder="1" applyAlignment="1">
      <alignment vertical="top" wrapText="1"/>
    </xf>
    <xf numFmtId="1" fontId="30" fillId="0" borderId="41" xfId="0" applyNumberFormat="1" applyFont="1" applyBorder="1" applyAlignment="1">
      <alignment horizontal="left" vertical="top" wrapText="1"/>
    </xf>
    <xf numFmtId="1" fontId="30" fillId="0" borderId="12" xfId="0" applyNumberFormat="1" applyFont="1" applyBorder="1" applyAlignment="1">
      <alignment horizontal="left" vertical="top" wrapText="1"/>
    </xf>
    <xf numFmtId="1" fontId="30" fillId="0" borderId="6" xfId="0" applyNumberFormat="1" applyFont="1" applyBorder="1" applyAlignment="1">
      <alignment horizontal="left" vertical="top" wrapText="1"/>
    </xf>
    <xf numFmtId="0" fontId="30" fillId="0" borderId="45" xfId="0" applyFont="1" applyBorder="1" applyAlignment="1">
      <alignment vertical="top" wrapText="1"/>
    </xf>
    <xf numFmtId="0" fontId="4" fillId="0" borderId="41" xfId="0" applyFont="1" applyFill="1" applyBorder="1" applyAlignment="1">
      <alignment vertical="top" wrapText="1"/>
    </xf>
    <xf numFmtId="0" fontId="4" fillId="0" borderId="17" xfId="0" applyFont="1" applyFill="1" applyBorder="1" applyAlignment="1">
      <alignment vertical="top" wrapText="1"/>
    </xf>
    <xf numFmtId="0" fontId="30" fillId="0" borderId="50" xfId="0" applyFont="1" applyBorder="1" applyAlignment="1">
      <alignment vertical="top" wrapText="1"/>
    </xf>
    <xf numFmtId="0" fontId="4" fillId="0" borderId="41" xfId="0" applyFont="1" applyBorder="1" applyAlignment="1">
      <alignment vertical="top" wrapText="1"/>
    </xf>
    <xf numFmtId="0" fontId="4" fillId="0" borderId="12" xfId="0" applyFont="1" applyBorder="1" applyAlignment="1">
      <alignment vertical="top" wrapText="1"/>
    </xf>
    <xf numFmtId="0" fontId="4" fillId="0" borderId="50" xfId="0" applyFont="1" applyBorder="1" applyAlignment="1">
      <alignment vertical="top" wrapText="1"/>
    </xf>
    <xf numFmtId="0" fontId="30" fillId="0" borderId="16" xfId="0" applyFont="1" applyFill="1" applyBorder="1" applyAlignment="1">
      <alignment horizontal="left" vertical="top" wrapText="1"/>
    </xf>
    <xf numFmtId="0" fontId="4" fillId="0" borderId="41" xfId="0" applyFont="1" applyBorder="1" applyAlignment="1">
      <alignment horizontal="left" vertical="top" wrapText="1"/>
    </xf>
    <xf numFmtId="0" fontId="4" fillId="0" borderId="50" xfId="0" applyFont="1" applyBorder="1" applyAlignment="1">
      <alignment horizontal="left" vertical="top" wrapText="1"/>
    </xf>
    <xf numFmtId="0" fontId="4" fillId="0" borderId="12" xfId="0" applyFont="1" applyBorder="1" applyAlignment="1">
      <alignment horizontal="left" vertical="top" wrapText="1"/>
    </xf>
    <xf numFmtId="0" fontId="4" fillId="0" borderId="6" xfId="0" applyFont="1" applyBorder="1" applyAlignment="1">
      <alignment horizontal="left" vertical="top" wrapText="1"/>
    </xf>
    <xf numFmtId="0" fontId="4" fillId="0" borderId="17" xfId="0" applyFont="1" applyBorder="1" applyAlignment="1">
      <alignment vertical="top" wrapText="1"/>
    </xf>
    <xf numFmtId="0" fontId="4" fillId="0" borderId="71" xfId="0" applyFont="1" applyBorder="1" applyAlignment="1">
      <alignment vertical="top" wrapText="1"/>
    </xf>
    <xf numFmtId="0" fontId="26" fillId="0" borderId="0" xfId="0" applyFont="1" applyAlignment="1">
      <alignment vertical="center"/>
    </xf>
    <xf numFmtId="0" fontId="26" fillId="0" borderId="0" xfId="0" applyFont="1" applyAlignment="1">
      <alignment vertical="center" wrapText="1"/>
    </xf>
    <xf numFmtId="1" fontId="30" fillId="0" borderId="0" xfId="0" applyNumberFormat="1" applyFont="1" applyAlignment="1" applyProtection="1">
      <alignment horizontal="center" vertical="top" wrapText="1"/>
      <protection hidden="1"/>
    </xf>
    <xf numFmtId="0" fontId="30" fillId="0" borderId="0" xfId="0" applyFont="1" applyAlignment="1" applyProtection="1">
      <alignment horizontal="center" vertical="top" wrapText="1"/>
      <protection hidden="1"/>
    </xf>
    <xf numFmtId="2" fontId="30" fillId="0" borderId="0" xfId="0" applyNumberFormat="1" applyFont="1" applyAlignment="1" applyProtection="1">
      <alignment horizontal="center" vertical="top" wrapText="1"/>
    </xf>
    <xf numFmtId="1" fontId="30" fillId="2" borderId="39" xfId="0" applyNumberFormat="1" applyFont="1" applyFill="1" applyBorder="1" applyAlignment="1" applyProtection="1">
      <alignment horizontal="center" vertical="top" wrapText="1"/>
      <protection hidden="1"/>
    </xf>
    <xf numFmtId="0" fontId="30" fillId="2" borderId="49" xfId="0" applyFont="1" applyFill="1" applyBorder="1" applyAlignment="1" applyProtection="1">
      <alignment horizontal="center" vertical="top" wrapText="1"/>
      <protection hidden="1"/>
    </xf>
    <xf numFmtId="2" fontId="30" fillId="5" borderId="34" xfId="0" applyNumberFormat="1" applyFont="1" applyFill="1" applyBorder="1" applyAlignment="1" applyProtection="1">
      <alignment horizontal="center" vertical="top" wrapText="1"/>
    </xf>
    <xf numFmtId="1" fontId="30" fillId="2" borderId="1" xfId="0" applyNumberFormat="1" applyFont="1" applyFill="1" applyBorder="1" applyAlignment="1" applyProtection="1">
      <alignment horizontal="center" vertical="top" wrapText="1"/>
      <protection hidden="1"/>
    </xf>
    <xf numFmtId="0" fontId="30" fillId="2" borderId="1" xfId="0" applyFont="1" applyFill="1" applyBorder="1" applyAlignment="1" applyProtection="1">
      <alignment horizontal="center" vertical="top" wrapText="1"/>
      <protection hidden="1"/>
    </xf>
    <xf numFmtId="2" fontId="30" fillId="2" borderId="13" xfId="0" applyNumberFormat="1" applyFont="1" applyFill="1" applyBorder="1" applyAlignment="1" applyProtection="1">
      <alignment horizontal="center" vertical="top" wrapText="1"/>
    </xf>
    <xf numFmtId="2" fontId="30" fillId="2" borderId="9" xfId="0" applyNumberFormat="1" applyFont="1" applyFill="1" applyBorder="1" applyAlignment="1" applyProtection="1">
      <alignment horizontal="center" vertical="top" wrapText="1"/>
    </xf>
    <xf numFmtId="1" fontId="30" fillId="2" borderId="3" xfId="0" applyNumberFormat="1" applyFont="1" applyFill="1" applyBorder="1" applyAlignment="1" applyProtection="1">
      <alignment horizontal="center" vertical="top" wrapText="1"/>
      <protection hidden="1"/>
    </xf>
    <xf numFmtId="1" fontId="30" fillId="2" borderId="47" xfId="0" applyNumberFormat="1" applyFont="1" applyFill="1" applyBorder="1" applyAlignment="1" applyProtection="1">
      <alignment horizontal="center" vertical="top" wrapText="1"/>
      <protection hidden="1"/>
    </xf>
    <xf numFmtId="0" fontId="30" fillId="2" borderId="47" xfId="0" applyFont="1" applyFill="1" applyBorder="1" applyAlignment="1" applyProtection="1">
      <alignment horizontal="center" vertical="top" wrapText="1"/>
      <protection hidden="1"/>
    </xf>
    <xf numFmtId="2" fontId="30" fillId="2" borderId="48" xfId="0" applyNumberFormat="1" applyFont="1" applyFill="1" applyBorder="1" applyAlignment="1" applyProtection="1">
      <alignment horizontal="center" vertical="top" wrapText="1"/>
    </xf>
    <xf numFmtId="2" fontId="30" fillId="5" borderId="5" xfId="0" applyNumberFormat="1" applyFont="1" applyFill="1" applyBorder="1" applyAlignment="1" applyProtection="1">
      <alignment horizontal="center" vertical="top" wrapText="1"/>
    </xf>
    <xf numFmtId="2" fontId="30" fillId="2" borderId="38" xfId="0" applyNumberFormat="1" applyFont="1" applyFill="1" applyBorder="1" applyAlignment="1" applyProtection="1">
      <alignment horizontal="center" vertical="top" wrapText="1"/>
    </xf>
    <xf numFmtId="2" fontId="30" fillId="2" borderId="27" xfId="0" applyNumberFormat="1" applyFont="1" applyFill="1" applyBorder="1" applyAlignment="1" applyProtection="1">
      <alignment horizontal="center" vertical="top" wrapText="1"/>
    </xf>
    <xf numFmtId="2" fontId="30" fillId="2" borderId="62" xfId="0" applyNumberFormat="1" applyFont="1" applyFill="1" applyBorder="1" applyAlignment="1" applyProtection="1">
      <alignment horizontal="center" vertical="top" wrapText="1"/>
    </xf>
    <xf numFmtId="2" fontId="30" fillId="2" borderId="40" xfId="0" applyNumberFormat="1" applyFont="1" applyFill="1" applyBorder="1" applyAlignment="1" applyProtection="1">
      <alignment horizontal="center" vertical="top" wrapText="1"/>
    </xf>
    <xf numFmtId="1" fontId="30" fillId="2" borderId="4" xfId="0" applyNumberFormat="1" applyFont="1" applyFill="1" applyBorder="1" applyAlignment="1" applyProtection="1">
      <alignment horizontal="center" vertical="top" wrapText="1"/>
      <protection hidden="1"/>
    </xf>
    <xf numFmtId="2" fontId="30" fillId="5" borderId="22" xfId="0" applyNumberFormat="1" applyFont="1" applyFill="1" applyBorder="1" applyAlignment="1" applyProtection="1">
      <alignment horizontal="center" vertical="top" wrapText="1"/>
    </xf>
    <xf numFmtId="0" fontId="30" fillId="2" borderId="3" xfId="0" applyFont="1" applyFill="1" applyBorder="1" applyAlignment="1" applyProtection="1">
      <alignment horizontal="center" vertical="top" wrapText="1"/>
      <protection hidden="1"/>
    </xf>
    <xf numFmtId="0" fontId="30" fillId="2" borderId="35" xfId="0" applyFont="1" applyFill="1" applyBorder="1" applyAlignment="1" applyProtection="1">
      <alignment horizontal="center" vertical="top" wrapText="1"/>
      <protection hidden="1"/>
    </xf>
    <xf numFmtId="2" fontId="30" fillId="2" borderId="2" xfId="0" applyNumberFormat="1" applyFont="1" applyFill="1" applyBorder="1" applyAlignment="1" applyProtection="1">
      <alignment horizontal="center" vertical="top" wrapText="1"/>
    </xf>
    <xf numFmtId="2" fontId="30" fillId="2" borderId="49" xfId="0" applyNumberFormat="1" applyFont="1" applyFill="1" applyBorder="1" applyAlignment="1" applyProtection="1">
      <alignment horizontal="center" vertical="top" wrapText="1"/>
      <protection hidden="1"/>
    </xf>
    <xf numFmtId="0" fontId="30" fillId="2" borderId="8" xfId="0" applyFont="1" applyFill="1" applyBorder="1" applyAlignment="1" applyProtection="1">
      <alignment horizontal="center" vertical="top" wrapText="1"/>
      <protection hidden="1"/>
    </xf>
    <xf numFmtId="2" fontId="30" fillId="2" borderId="8" xfId="0" applyNumberFormat="1" applyFont="1" applyFill="1" applyBorder="1" applyAlignment="1" applyProtection="1">
      <alignment horizontal="center" vertical="top" wrapText="1"/>
    </xf>
    <xf numFmtId="1" fontId="30" fillId="2" borderId="6" xfId="0" applyNumberFormat="1" applyFont="1" applyFill="1" applyBorder="1" applyAlignment="1" applyProtection="1">
      <alignment horizontal="center" vertical="top" wrapText="1"/>
      <protection hidden="1"/>
    </xf>
    <xf numFmtId="2" fontId="30" fillId="2" borderId="28" xfId="0" applyNumberFormat="1" applyFont="1" applyFill="1" applyBorder="1" applyAlignment="1" applyProtection="1">
      <alignment horizontal="center" vertical="top" wrapText="1"/>
    </xf>
    <xf numFmtId="2" fontId="30" fillId="13" borderId="34" xfId="0" applyNumberFormat="1" applyFont="1" applyFill="1" applyBorder="1" applyAlignment="1" applyProtection="1">
      <alignment horizontal="center" vertical="top" wrapText="1"/>
    </xf>
    <xf numFmtId="0" fontId="30" fillId="0" borderId="0" xfId="0" applyFont="1" applyAlignment="1">
      <alignment horizontal="center" vertical="top" wrapText="1"/>
    </xf>
    <xf numFmtId="1" fontId="30" fillId="0" borderId="0" xfId="0" applyNumberFormat="1" applyFont="1" applyBorder="1" applyAlignment="1" applyProtection="1">
      <alignment horizontal="center" vertical="top" wrapText="1"/>
      <protection hidden="1"/>
    </xf>
    <xf numFmtId="0" fontId="26" fillId="0" borderId="0" xfId="0" applyFont="1" applyAlignment="1">
      <alignment horizontal="center" vertical="top" wrapText="1"/>
    </xf>
    <xf numFmtId="2" fontId="4" fillId="6" borderId="39" xfId="0" applyNumberFormat="1" applyFont="1" applyFill="1" applyBorder="1" applyAlignment="1">
      <alignment horizontal="center" vertical="top" wrapText="1"/>
    </xf>
    <xf numFmtId="2" fontId="4" fillId="6" borderId="1" xfId="0" applyNumberFormat="1" applyFont="1" applyFill="1" applyBorder="1" applyAlignment="1">
      <alignment horizontal="center" vertical="top" wrapText="1"/>
    </xf>
    <xf numFmtId="2" fontId="30" fillId="5" borderId="5" xfId="0" applyNumberFormat="1" applyFont="1" applyFill="1" applyBorder="1" applyAlignment="1">
      <alignment horizontal="center" vertical="top" wrapText="1"/>
    </xf>
    <xf numFmtId="2" fontId="30" fillId="7" borderId="5" xfId="0" applyNumberFormat="1" applyFont="1" applyFill="1" applyBorder="1" applyAlignment="1">
      <alignment horizontal="center" vertical="top" wrapText="1"/>
    </xf>
    <xf numFmtId="0" fontId="4" fillId="0" borderId="34" xfId="0" applyFont="1" applyFill="1" applyBorder="1" applyAlignment="1">
      <alignment horizontal="left" vertical="top" wrapText="1"/>
    </xf>
    <xf numFmtId="0" fontId="4" fillId="0" borderId="34" xfId="0" applyFont="1" applyBorder="1" applyAlignment="1">
      <alignment horizontal="left" vertical="top" wrapText="1"/>
    </xf>
    <xf numFmtId="0" fontId="4" fillId="0" borderId="11" xfId="0" applyFont="1" applyBorder="1" applyAlignment="1">
      <alignment vertical="top" wrapText="1"/>
    </xf>
    <xf numFmtId="0" fontId="4" fillId="0" borderId="6" xfId="0" applyFont="1" applyFill="1" applyBorder="1" applyAlignment="1">
      <alignment horizontal="left" vertical="top" wrapText="1"/>
    </xf>
    <xf numFmtId="0" fontId="4" fillId="0" borderId="50" xfId="0" applyFont="1" applyFill="1" applyBorder="1" applyAlignment="1">
      <alignment horizontal="left" vertical="top" wrapText="1"/>
    </xf>
    <xf numFmtId="1" fontId="4" fillId="0" borderId="71" xfId="0" applyNumberFormat="1" applyFont="1" applyFill="1" applyBorder="1" applyAlignment="1">
      <alignment vertical="top" wrapText="1"/>
    </xf>
    <xf numFmtId="1" fontId="4" fillId="0" borderId="12" xfId="0" applyNumberFormat="1" applyFont="1" applyFill="1" applyBorder="1" applyAlignment="1">
      <alignment vertical="top" wrapText="1"/>
    </xf>
    <xf numFmtId="1" fontId="4" fillId="0" borderId="6" xfId="0" applyNumberFormat="1" applyFont="1" applyFill="1" applyBorder="1" applyAlignment="1">
      <alignment vertical="top" wrapText="1"/>
    </xf>
    <xf numFmtId="1" fontId="4" fillId="0" borderId="17" xfId="0" applyNumberFormat="1" applyFont="1" applyFill="1" applyBorder="1" applyAlignment="1">
      <alignment vertical="top" wrapText="1"/>
    </xf>
    <xf numFmtId="2" fontId="4" fillId="5" borderId="5" xfId="0" applyNumberFormat="1" applyFont="1" applyFill="1" applyBorder="1" applyAlignment="1">
      <alignment horizontal="center" vertical="top"/>
    </xf>
    <xf numFmtId="2" fontId="4" fillId="7" borderId="5" xfId="0" applyNumberFormat="1" applyFont="1" applyFill="1" applyBorder="1" applyAlignment="1">
      <alignment horizontal="center" vertical="top"/>
    </xf>
    <xf numFmtId="1" fontId="4" fillId="2" borderId="39" xfId="0" applyNumberFormat="1" applyFont="1" applyFill="1" applyBorder="1" applyAlignment="1">
      <alignment horizontal="center" vertical="top"/>
    </xf>
    <xf numFmtId="2" fontId="4" fillId="5" borderId="34" xfId="0" applyNumberFormat="1" applyFont="1" applyFill="1" applyBorder="1" applyAlignment="1">
      <alignment horizontal="center" vertical="top"/>
    </xf>
    <xf numFmtId="2" fontId="4" fillId="2" borderId="8" xfId="0" applyNumberFormat="1" applyFont="1" applyFill="1" applyBorder="1" applyAlignment="1">
      <alignment horizontal="center" vertical="top"/>
    </xf>
    <xf numFmtId="2" fontId="4" fillId="2" borderId="2" xfId="0" applyNumberFormat="1" applyFont="1" applyFill="1" applyBorder="1" applyAlignment="1">
      <alignment horizontal="center" vertical="top"/>
    </xf>
    <xf numFmtId="2" fontId="4" fillId="2" borderId="48" xfId="0" applyNumberFormat="1" applyFont="1" applyFill="1" applyBorder="1" applyAlignment="1">
      <alignment horizontal="center" vertical="top"/>
    </xf>
    <xf numFmtId="0" fontId="4" fillId="14" borderId="12" xfId="0" applyFont="1" applyFill="1" applyBorder="1" applyAlignment="1">
      <alignment horizontal="center" vertical="top" wrapText="1"/>
    </xf>
    <xf numFmtId="0" fontId="4" fillId="14" borderId="4" xfId="0" applyFont="1" applyFill="1" applyBorder="1" applyAlignment="1">
      <alignment horizontal="center" vertical="top" wrapText="1"/>
    </xf>
    <xf numFmtId="2" fontId="4" fillId="5" borderId="22" xfId="0" applyNumberFormat="1" applyFont="1" applyFill="1" applyBorder="1" applyAlignment="1">
      <alignment horizontal="center" vertical="top"/>
    </xf>
    <xf numFmtId="0" fontId="4" fillId="14" borderId="6" xfId="0" applyFont="1" applyFill="1" applyBorder="1" applyAlignment="1">
      <alignment horizontal="center" vertical="top" wrapText="1"/>
    </xf>
    <xf numFmtId="1" fontId="4" fillId="14" borderId="1" xfId="0" applyNumberFormat="1" applyFont="1" applyFill="1" applyBorder="1" applyAlignment="1">
      <alignment horizontal="center" vertical="top"/>
    </xf>
    <xf numFmtId="2" fontId="4" fillId="14" borderId="2" xfId="0" applyNumberFormat="1" applyFont="1" applyFill="1" applyBorder="1" applyAlignment="1">
      <alignment horizontal="center" vertical="top" wrapText="1"/>
    </xf>
    <xf numFmtId="2" fontId="4" fillId="14" borderId="9" xfId="0" applyNumberFormat="1" applyFont="1" applyFill="1" applyBorder="1" applyAlignment="1">
      <alignment horizontal="center" vertical="top" wrapText="1"/>
    </xf>
    <xf numFmtId="2" fontId="4" fillId="2" borderId="9" xfId="0" applyNumberFormat="1" applyFont="1" applyFill="1" applyBorder="1" applyAlignment="1">
      <alignment horizontal="center" vertical="top"/>
    </xf>
    <xf numFmtId="0" fontId="4" fillId="14" borderId="8" xfId="0" applyFont="1" applyFill="1" applyBorder="1" applyAlignment="1">
      <alignment horizontal="center" vertical="top" wrapText="1"/>
    </xf>
    <xf numFmtId="2" fontId="4" fillId="7" borderId="22" xfId="0" applyNumberFormat="1" applyFont="1" applyFill="1" applyBorder="1" applyAlignment="1">
      <alignment horizontal="center" vertical="top"/>
    </xf>
    <xf numFmtId="0" fontId="4" fillId="14" borderId="1" xfId="0" applyFont="1" applyFill="1" applyBorder="1" applyAlignment="1">
      <alignment horizontal="center" vertical="top" wrapText="1"/>
    </xf>
    <xf numFmtId="2" fontId="4" fillId="14" borderId="8" xfId="0" applyNumberFormat="1" applyFont="1" applyFill="1" applyBorder="1" applyAlignment="1">
      <alignment horizontal="center" vertical="top" wrapText="1"/>
    </xf>
    <xf numFmtId="0" fontId="4" fillId="14" borderId="3" xfId="0" applyFont="1" applyFill="1" applyBorder="1" applyAlignment="1">
      <alignment horizontal="center" vertical="top" wrapText="1"/>
    </xf>
    <xf numFmtId="0" fontId="4" fillId="14" borderId="39" xfId="0" applyFont="1" applyFill="1" applyBorder="1" applyAlignment="1">
      <alignment horizontal="center" vertical="top" wrapText="1"/>
    </xf>
    <xf numFmtId="0" fontId="4" fillId="14" borderId="35" xfId="0" applyFont="1" applyFill="1" applyBorder="1" applyAlignment="1">
      <alignment horizontal="center" vertical="top" wrapText="1"/>
    </xf>
    <xf numFmtId="2" fontId="4" fillId="7" borderId="34" xfId="0" applyNumberFormat="1" applyFont="1" applyFill="1" applyBorder="1" applyAlignment="1">
      <alignment horizontal="center" vertical="top"/>
    </xf>
    <xf numFmtId="0" fontId="4" fillId="14" borderId="47" xfId="0" applyFont="1" applyFill="1" applyBorder="1" applyAlignment="1">
      <alignment horizontal="center" vertical="top" wrapText="1"/>
    </xf>
    <xf numFmtId="2" fontId="4" fillId="14" borderId="48" xfId="0" applyNumberFormat="1" applyFont="1" applyFill="1" applyBorder="1" applyAlignment="1">
      <alignment horizontal="center" vertical="top" wrapText="1"/>
    </xf>
    <xf numFmtId="1" fontId="4" fillId="14" borderId="35" xfId="0" applyNumberFormat="1" applyFont="1" applyFill="1" applyBorder="1" applyAlignment="1">
      <alignment horizontal="center" vertical="top"/>
    </xf>
    <xf numFmtId="2" fontId="4" fillId="14" borderId="8" xfId="0" applyNumberFormat="1" applyFont="1" applyFill="1" applyBorder="1" applyAlignment="1">
      <alignment horizontal="center" vertical="top"/>
    </xf>
    <xf numFmtId="2" fontId="4" fillId="14" borderId="2" xfId="0" applyNumberFormat="1" applyFont="1" applyFill="1" applyBorder="1" applyAlignment="1">
      <alignment horizontal="center" vertical="top"/>
    </xf>
    <xf numFmtId="1" fontId="4" fillId="14" borderId="47" xfId="0" applyNumberFormat="1" applyFont="1" applyFill="1" applyBorder="1" applyAlignment="1">
      <alignment horizontal="center" vertical="top"/>
    </xf>
    <xf numFmtId="0" fontId="4" fillId="14" borderId="51" xfId="0" applyFont="1" applyFill="1" applyBorder="1" applyAlignment="1">
      <alignment horizontal="center" vertical="top" wrapText="1"/>
    </xf>
    <xf numFmtId="2" fontId="4" fillId="7" borderId="34" xfId="0" applyNumberFormat="1" applyFont="1" applyFill="1" applyBorder="1" applyAlignment="1">
      <alignment horizontal="center" vertical="top" wrapText="1"/>
    </xf>
    <xf numFmtId="0" fontId="4" fillId="14" borderId="13" xfId="0" applyFont="1" applyFill="1" applyBorder="1" applyAlignment="1">
      <alignment horizontal="center" vertical="top" wrapText="1"/>
    </xf>
    <xf numFmtId="2" fontId="4" fillId="14" borderId="13" xfId="0" applyNumberFormat="1" applyFont="1" applyFill="1" applyBorder="1" applyAlignment="1">
      <alignment horizontal="center" vertical="top" wrapText="1"/>
    </xf>
    <xf numFmtId="1" fontId="4" fillId="2" borderId="17" xfId="0" applyNumberFormat="1" applyFont="1" applyFill="1" applyBorder="1" applyAlignment="1">
      <alignment horizontal="center" vertical="top" wrapText="1"/>
    </xf>
    <xf numFmtId="0" fontId="4" fillId="14" borderId="44" xfId="0" applyFont="1" applyFill="1" applyBorder="1" applyAlignment="1">
      <alignment horizontal="center" vertical="top" wrapText="1"/>
    </xf>
    <xf numFmtId="1" fontId="4" fillId="0" borderId="41" xfId="0" applyNumberFormat="1" applyFont="1" applyFill="1" applyBorder="1" applyAlignment="1">
      <alignment horizontal="left" vertical="top" wrapText="1"/>
    </xf>
    <xf numFmtId="1" fontId="4" fillId="0" borderId="12" xfId="0" applyNumberFormat="1" applyFont="1" applyFill="1" applyBorder="1" applyAlignment="1">
      <alignment horizontal="left" vertical="top" wrapText="1"/>
    </xf>
    <xf numFmtId="1" fontId="4" fillId="0" borderId="6" xfId="0" applyNumberFormat="1" applyFont="1" applyFill="1" applyBorder="1" applyAlignment="1">
      <alignment horizontal="left" vertical="top" wrapText="1"/>
    </xf>
    <xf numFmtId="1" fontId="4" fillId="0" borderId="17" xfId="0" applyNumberFormat="1" applyFont="1" applyFill="1" applyBorder="1" applyAlignment="1">
      <alignment horizontal="left" vertical="top" wrapText="1"/>
    </xf>
    <xf numFmtId="0" fontId="4" fillId="0" borderId="53" xfId="0" applyFont="1" applyBorder="1" applyAlignment="1">
      <alignment vertical="top" wrapText="1"/>
    </xf>
    <xf numFmtId="2" fontId="4" fillId="5" borderId="34" xfId="0" applyNumberFormat="1" applyFont="1" applyFill="1" applyBorder="1" applyAlignment="1">
      <alignment horizontal="center" vertical="top" wrapText="1"/>
    </xf>
    <xf numFmtId="2" fontId="4" fillId="5" borderId="22" xfId="0" applyNumberFormat="1" applyFont="1" applyFill="1" applyBorder="1" applyAlignment="1">
      <alignment horizontal="center" vertical="top" wrapText="1"/>
    </xf>
    <xf numFmtId="0" fontId="4" fillId="14" borderId="66" xfId="0" applyFont="1" applyFill="1" applyBorder="1" applyAlignment="1">
      <alignment horizontal="center" vertical="top" wrapText="1"/>
    </xf>
    <xf numFmtId="0" fontId="4" fillId="14" borderId="50" xfId="0" applyFont="1" applyFill="1" applyBorder="1" applyAlignment="1">
      <alignment horizontal="center" vertical="top" wrapText="1"/>
    </xf>
    <xf numFmtId="2" fontId="4" fillId="15" borderId="22" xfId="0" applyNumberFormat="1" applyFont="1" applyFill="1" applyBorder="1" applyAlignment="1">
      <alignment horizontal="center" vertical="top" wrapText="1"/>
    </xf>
    <xf numFmtId="2" fontId="4" fillId="7" borderId="22" xfId="0" applyNumberFormat="1" applyFont="1" applyFill="1" applyBorder="1" applyAlignment="1">
      <alignment horizontal="center" vertical="top" wrapText="1"/>
    </xf>
    <xf numFmtId="1" fontId="42" fillId="0" borderId="5" xfId="0" applyNumberFormat="1" applyFont="1" applyBorder="1" applyAlignment="1">
      <alignment horizontal="center" vertical="top"/>
    </xf>
    <xf numFmtId="0" fontId="4" fillId="0" borderId="46" xfId="0" applyFont="1" applyFill="1" applyBorder="1" applyAlignment="1">
      <alignment horizontal="left" vertical="top" wrapText="1"/>
    </xf>
    <xf numFmtId="0" fontId="4" fillId="0" borderId="6" xfId="0" applyFont="1" applyBorder="1" applyAlignment="1">
      <alignment vertical="top" wrapText="1"/>
    </xf>
    <xf numFmtId="0" fontId="4" fillId="0" borderId="13" xfId="0" applyFont="1" applyFill="1" applyBorder="1" applyAlignment="1">
      <alignment horizontal="left" vertical="top" wrapText="1"/>
    </xf>
    <xf numFmtId="1" fontId="4" fillId="0" borderId="13" xfId="0" applyNumberFormat="1" applyFont="1" applyFill="1" applyBorder="1" applyAlignment="1">
      <alignment horizontal="left" vertical="top" wrapText="1"/>
    </xf>
    <xf numFmtId="0" fontId="4" fillId="0" borderId="18" xfId="0" applyFont="1" applyFill="1" applyBorder="1" applyAlignment="1">
      <alignment vertical="top" wrapText="1"/>
    </xf>
    <xf numFmtId="0" fontId="4" fillId="0" borderId="3" xfId="0" applyFont="1" applyBorder="1" applyAlignment="1">
      <alignment horizontal="center" vertical="top" wrapText="1"/>
    </xf>
    <xf numFmtId="0" fontId="4" fillId="0" borderId="7" xfId="0" applyFont="1" applyBorder="1" applyAlignment="1">
      <alignment horizontal="center" vertical="top" wrapText="1"/>
    </xf>
    <xf numFmtId="0" fontId="4" fillId="0" borderId="71" xfId="0" applyFont="1" applyBorder="1" applyAlignment="1">
      <alignment horizontal="left" vertical="top" wrapText="1"/>
    </xf>
    <xf numFmtId="0" fontId="4" fillId="0" borderId="11" xfId="0" applyFont="1" applyFill="1" applyBorder="1" applyAlignment="1">
      <alignment vertical="top" wrapText="1"/>
    </xf>
    <xf numFmtId="0" fontId="4" fillId="0" borderId="0" xfId="0" applyFont="1" applyFill="1" applyBorder="1" applyAlignment="1">
      <alignment vertical="top" wrapText="1"/>
    </xf>
    <xf numFmtId="0" fontId="4" fillId="0" borderId="11" xfId="0" applyFont="1" applyFill="1" applyBorder="1" applyAlignment="1">
      <alignment horizontal="left" vertical="top" wrapText="1"/>
    </xf>
    <xf numFmtId="0" fontId="4" fillId="0" borderId="12" xfId="0" applyFont="1" applyFill="1" applyBorder="1" applyAlignment="1">
      <alignment horizontal="left" vertical="top" wrapText="1"/>
    </xf>
    <xf numFmtId="0" fontId="4" fillId="0" borderId="71" xfId="0" applyFont="1" applyFill="1" applyBorder="1" applyAlignment="1">
      <alignment vertical="top" wrapText="1"/>
    </xf>
    <xf numFmtId="0" fontId="4" fillId="0" borderId="17" xfId="0" applyFont="1" applyFill="1" applyBorder="1" applyAlignment="1">
      <alignment horizontal="left" vertical="top" wrapText="1"/>
    </xf>
    <xf numFmtId="0" fontId="30" fillId="0" borderId="34" xfId="0" applyFont="1" applyBorder="1" applyAlignment="1">
      <alignment horizontal="left" vertical="top" wrapText="1"/>
    </xf>
    <xf numFmtId="1" fontId="30" fillId="0" borderId="34" xfId="0" applyNumberFormat="1" applyFont="1" applyFill="1" applyBorder="1" applyAlignment="1">
      <alignment horizontal="left" vertical="top" wrapText="1"/>
    </xf>
    <xf numFmtId="0" fontId="30" fillId="0" borderId="34" xfId="0" applyFont="1" applyFill="1" applyBorder="1" applyAlignment="1">
      <alignment vertical="top" wrapText="1"/>
    </xf>
    <xf numFmtId="0" fontId="30" fillId="0" borderId="71" xfId="0" applyFont="1" applyBorder="1" applyAlignment="1">
      <alignment vertical="top" wrapText="1"/>
    </xf>
    <xf numFmtId="0" fontId="30" fillId="0" borderId="71" xfId="0" applyFont="1" applyFill="1" applyBorder="1" applyAlignment="1">
      <alignment vertical="top" wrapText="1"/>
    </xf>
    <xf numFmtId="1" fontId="30" fillId="0" borderId="41" xfId="0" applyNumberFormat="1" applyFont="1" applyBorder="1" applyAlignment="1">
      <alignment vertical="top" wrapText="1"/>
    </xf>
    <xf numFmtId="1" fontId="30" fillId="0" borderId="12" xfId="0" applyNumberFormat="1" applyFont="1" applyBorder="1" applyAlignment="1">
      <alignment vertical="top" wrapText="1"/>
    </xf>
    <xf numFmtId="1" fontId="30" fillId="0" borderId="6" xfId="0" applyNumberFormat="1" applyFont="1" applyBorder="1" applyAlignment="1">
      <alignment vertical="top" wrapText="1"/>
    </xf>
    <xf numFmtId="1" fontId="30" fillId="0" borderId="50" xfId="0" applyNumberFormat="1" applyFont="1" applyBorder="1" applyAlignment="1">
      <alignment vertical="top" wrapText="1"/>
    </xf>
    <xf numFmtId="1" fontId="30" fillId="0" borderId="71" xfId="0" applyNumberFormat="1" applyFont="1" applyFill="1" applyBorder="1" applyAlignment="1">
      <alignment vertical="top" wrapText="1"/>
    </xf>
    <xf numFmtId="1" fontId="30" fillId="0" borderId="12" xfId="0" applyNumberFormat="1" applyFont="1" applyFill="1" applyBorder="1" applyAlignment="1">
      <alignment vertical="top" wrapText="1"/>
    </xf>
    <xf numFmtId="1" fontId="30" fillId="0" borderId="6" xfId="0" applyNumberFormat="1" applyFont="1" applyFill="1" applyBorder="1" applyAlignment="1">
      <alignment vertical="top" wrapText="1"/>
    </xf>
    <xf numFmtId="1" fontId="30" fillId="0" borderId="50" xfId="0" applyNumberFormat="1" applyFont="1" applyFill="1" applyBorder="1" applyAlignment="1">
      <alignment vertical="top" wrapText="1"/>
    </xf>
    <xf numFmtId="0" fontId="30" fillId="0" borderId="36" xfId="0" applyFont="1" applyFill="1" applyBorder="1" applyAlignment="1">
      <alignment vertical="top" wrapText="1"/>
    </xf>
    <xf numFmtId="1" fontId="30" fillId="0" borderId="53" xfId="0" applyNumberFormat="1" applyFont="1" applyFill="1" applyBorder="1" applyAlignment="1">
      <alignment horizontal="left" vertical="top" wrapText="1"/>
    </xf>
    <xf numFmtId="1" fontId="30" fillId="0" borderId="5" xfId="0" applyNumberFormat="1" applyFont="1" applyFill="1" applyBorder="1" applyAlignment="1">
      <alignment horizontal="left" vertical="top" wrapText="1"/>
    </xf>
    <xf numFmtId="2" fontId="30" fillId="5" borderId="34" xfId="0" applyNumberFormat="1" applyFont="1" applyFill="1" applyBorder="1" applyAlignment="1">
      <alignment horizontal="center" vertical="top"/>
    </xf>
    <xf numFmtId="2" fontId="30" fillId="7" borderId="34" xfId="0" applyNumberFormat="1" applyFont="1" applyFill="1" applyBorder="1" applyAlignment="1">
      <alignment horizontal="center" vertical="top" wrapText="1"/>
    </xf>
    <xf numFmtId="0" fontId="30" fillId="2" borderId="39" xfId="0" applyFont="1" applyFill="1" applyBorder="1" applyAlignment="1">
      <alignment horizontal="center" vertical="top" wrapText="1"/>
    </xf>
    <xf numFmtId="2" fontId="30" fillId="5" borderId="34" xfId="0" applyNumberFormat="1" applyFont="1" applyFill="1" applyBorder="1" applyAlignment="1">
      <alignment horizontal="center" vertical="top" wrapText="1"/>
    </xf>
    <xf numFmtId="2" fontId="30" fillId="2" borderId="8" xfId="0" applyNumberFormat="1" applyFont="1" applyFill="1" applyBorder="1" applyAlignment="1">
      <alignment horizontal="center" vertical="top" wrapText="1"/>
    </xf>
    <xf numFmtId="2" fontId="30" fillId="2" borderId="2" xfId="0" applyNumberFormat="1" applyFont="1" applyFill="1" applyBorder="1" applyAlignment="1">
      <alignment horizontal="center" vertical="top" wrapText="1"/>
    </xf>
    <xf numFmtId="0" fontId="30" fillId="2" borderId="47" xfId="0" applyFont="1" applyFill="1" applyBorder="1" applyAlignment="1">
      <alignment horizontal="center" vertical="top" wrapText="1"/>
    </xf>
    <xf numFmtId="1" fontId="30" fillId="2" borderId="47" xfId="0" applyNumberFormat="1" applyFont="1" applyFill="1" applyBorder="1" applyAlignment="1">
      <alignment horizontal="center" vertical="top" wrapText="1"/>
    </xf>
    <xf numFmtId="2" fontId="30" fillId="2" borderId="48" xfId="0" applyNumberFormat="1" applyFont="1" applyFill="1" applyBorder="1" applyAlignment="1">
      <alignment horizontal="center" vertical="top" wrapText="1"/>
    </xf>
    <xf numFmtId="1" fontId="30" fillId="2" borderId="35" xfId="0" applyNumberFormat="1" applyFont="1" applyFill="1" applyBorder="1" applyAlignment="1">
      <alignment horizontal="center" vertical="top" wrapText="1"/>
    </xf>
    <xf numFmtId="2" fontId="30" fillId="5" borderId="22" xfId="0" applyNumberFormat="1" applyFont="1" applyFill="1" applyBorder="1" applyAlignment="1">
      <alignment horizontal="center" vertical="top" wrapText="1"/>
    </xf>
    <xf numFmtId="2" fontId="30" fillId="2" borderId="9" xfId="0" applyNumberFormat="1" applyFont="1" applyFill="1" applyBorder="1" applyAlignment="1">
      <alignment horizontal="center" vertical="top" wrapText="1"/>
    </xf>
    <xf numFmtId="0" fontId="47" fillId="2" borderId="39" xfId="0" applyFont="1" applyFill="1" applyBorder="1" applyAlignment="1">
      <alignment horizontal="center" vertical="top" wrapText="1"/>
    </xf>
    <xf numFmtId="1" fontId="30" fillId="2" borderId="39" xfId="0" applyNumberFormat="1" applyFont="1" applyFill="1" applyBorder="1" applyAlignment="1">
      <alignment horizontal="center" vertical="top" wrapText="1"/>
    </xf>
    <xf numFmtId="1" fontId="30" fillId="2" borderId="4" xfId="0" applyNumberFormat="1" applyFont="1" applyFill="1" applyBorder="1" applyAlignment="1">
      <alignment horizontal="center" vertical="top" wrapText="1"/>
    </xf>
    <xf numFmtId="2" fontId="30" fillId="5" borderId="22" xfId="0" applyNumberFormat="1" applyFont="1" applyFill="1" applyBorder="1" applyAlignment="1">
      <alignment horizontal="center" vertical="top"/>
    </xf>
    <xf numFmtId="1" fontId="30" fillId="2" borderId="44" xfId="0" applyNumberFormat="1" applyFont="1" applyFill="1" applyBorder="1" applyAlignment="1">
      <alignment horizontal="center" vertical="top" wrapText="1"/>
    </xf>
    <xf numFmtId="1" fontId="30" fillId="2" borderId="6" xfId="0" applyNumberFormat="1" applyFont="1" applyFill="1" applyBorder="1" applyAlignment="1">
      <alignment horizontal="center" vertical="top" wrapText="1"/>
    </xf>
    <xf numFmtId="1" fontId="30" fillId="2" borderId="50" xfId="0" applyNumberFormat="1" applyFont="1" applyFill="1" applyBorder="1" applyAlignment="1">
      <alignment horizontal="center" vertical="top" wrapText="1"/>
    </xf>
    <xf numFmtId="2" fontId="30" fillId="2" borderId="13" xfId="0" applyNumberFormat="1" applyFont="1" applyFill="1" applyBorder="1" applyAlignment="1">
      <alignment horizontal="center" vertical="top" wrapText="1"/>
    </xf>
    <xf numFmtId="2" fontId="30" fillId="7" borderId="22" xfId="0" applyNumberFormat="1" applyFont="1" applyFill="1" applyBorder="1" applyAlignment="1">
      <alignment horizontal="center" vertical="top" wrapText="1"/>
    </xf>
    <xf numFmtId="1" fontId="30" fillId="2" borderId="2" xfId="0" applyNumberFormat="1" applyFont="1" applyFill="1" applyBorder="1" applyAlignment="1">
      <alignment horizontal="center" vertical="top" wrapText="1"/>
    </xf>
    <xf numFmtId="1" fontId="30" fillId="2" borderId="48" xfId="0" applyNumberFormat="1" applyFont="1" applyFill="1" applyBorder="1" applyAlignment="1">
      <alignment horizontal="center" vertical="top" wrapText="1"/>
    </xf>
    <xf numFmtId="1" fontId="30" fillId="2" borderId="51" xfId="0" applyNumberFormat="1" applyFont="1" applyFill="1" applyBorder="1" applyAlignment="1">
      <alignment horizontal="center" vertical="top" wrapText="1"/>
    </xf>
    <xf numFmtId="2" fontId="30" fillId="0" borderId="44" xfId="0" applyNumberFormat="1" applyFont="1" applyFill="1" applyBorder="1" applyAlignment="1">
      <alignment horizontal="center" vertical="top" wrapText="1"/>
    </xf>
    <xf numFmtId="1" fontId="30" fillId="2" borderId="11" xfId="0" applyNumberFormat="1" applyFont="1" applyFill="1" applyBorder="1" applyAlignment="1">
      <alignment horizontal="center" vertical="top" wrapText="1"/>
    </xf>
    <xf numFmtId="1" fontId="30" fillId="2" borderId="7" xfId="0" applyNumberFormat="1" applyFont="1" applyFill="1" applyBorder="1" applyAlignment="1">
      <alignment horizontal="center" vertical="top" wrapText="1"/>
    </xf>
    <xf numFmtId="0" fontId="30" fillId="2" borderId="1" xfId="0" applyNumberFormat="1" applyFont="1" applyFill="1" applyBorder="1" applyAlignment="1">
      <alignment horizontal="center" vertical="top" wrapText="1"/>
    </xf>
    <xf numFmtId="1" fontId="30" fillId="2" borderId="13" xfId="0" applyNumberFormat="1" applyFont="1" applyFill="1" applyBorder="1" applyAlignment="1">
      <alignment horizontal="center" vertical="top" wrapText="1"/>
    </xf>
    <xf numFmtId="2" fontId="30" fillId="14" borderId="2" xfId="0" applyNumberFormat="1" applyFont="1" applyFill="1" applyBorder="1" applyAlignment="1">
      <alignment horizontal="center" vertical="top" wrapText="1"/>
    </xf>
    <xf numFmtId="2" fontId="30" fillId="14" borderId="48" xfId="0" applyNumberFormat="1" applyFont="1" applyFill="1" applyBorder="1" applyAlignment="1">
      <alignment horizontal="center" vertical="top" wrapText="1"/>
    </xf>
    <xf numFmtId="1" fontId="30" fillId="14" borderId="1" xfId="0" applyNumberFormat="1" applyFont="1" applyFill="1" applyBorder="1" applyAlignment="1">
      <alignment horizontal="center" vertical="top" wrapText="1"/>
    </xf>
    <xf numFmtId="1" fontId="30" fillId="14" borderId="47" xfId="0" applyNumberFormat="1" applyFont="1" applyFill="1" applyBorder="1" applyAlignment="1">
      <alignment horizontal="center" vertical="top" wrapText="1"/>
    </xf>
    <xf numFmtId="2" fontId="30" fillId="0" borderId="51" xfId="0" applyNumberFormat="1" applyFont="1" applyBorder="1" applyAlignment="1">
      <alignment horizontal="center" vertical="top" wrapText="1"/>
    </xf>
    <xf numFmtId="1" fontId="30" fillId="0" borderId="0" xfId="0" applyNumberFormat="1" applyFont="1" applyAlignment="1">
      <alignment horizontal="center" vertical="top" wrapText="1"/>
    </xf>
    <xf numFmtId="2" fontId="30" fillId="0" borderId="0" xfId="0" applyNumberFormat="1" applyFont="1" applyAlignment="1">
      <alignment horizontal="center" vertical="top" wrapText="1"/>
    </xf>
    <xf numFmtId="2" fontId="30" fillId="7" borderId="64" xfId="0" applyNumberFormat="1" applyFont="1" applyFill="1" applyBorder="1" applyAlignment="1">
      <alignment horizontal="center" vertical="top" wrapText="1"/>
    </xf>
    <xf numFmtId="1" fontId="30" fillId="14" borderId="4" xfId="0" applyNumberFormat="1" applyFont="1" applyFill="1" applyBorder="1" applyAlignment="1">
      <alignment horizontal="center" vertical="top" wrapText="1"/>
    </xf>
    <xf numFmtId="1" fontId="30" fillId="0" borderId="34" xfId="0" applyNumberFormat="1" applyFont="1" applyBorder="1" applyAlignment="1">
      <alignment vertical="top" wrapText="1"/>
    </xf>
    <xf numFmtId="0" fontId="30" fillId="0" borderId="34" xfId="0" applyFont="1" applyBorder="1" applyAlignment="1">
      <alignment vertical="top" wrapText="1"/>
    </xf>
    <xf numFmtId="0" fontId="30" fillId="0" borderId="71" xfId="0" applyFont="1" applyBorder="1" applyAlignment="1">
      <alignment horizontal="left" vertical="top" wrapText="1"/>
    </xf>
    <xf numFmtId="0" fontId="30" fillId="0" borderId="11" xfId="0" applyFont="1" applyBorder="1" applyAlignment="1">
      <alignment horizontal="left" vertical="top" wrapText="1"/>
    </xf>
    <xf numFmtId="0" fontId="30" fillId="0" borderId="17" xfId="0" applyFont="1" applyBorder="1" applyAlignment="1">
      <alignment horizontal="left" vertical="top" wrapText="1"/>
    </xf>
    <xf numFmtId="1" fontId="30" fillId="0" borderId="71" xfId="0" applyNumberFormat="1" applyFont="1" applyBorder="1" applyAlignment="1">
      <alignment vertical="top" wrapText="1"/>
    </xf>
    <xf numFmtId="1" fontId="30" fillId="0" borderId="53" xfId="0" applyNumberFormat="1" applyFont="1" applyBorder="1" applyAlignment="1">
      <alignment vertical="top" wrapText="1"/>
    </xf>
    <xf numFmtId="1" fontId="30" fillId="0" borderId="17" xfId="0" applyNumberFormat="1" applyFont="1" applyBorder="1" applyAlignment="1">
      <alignment vertical="top" wrapText="1"/>
    </xf>
    <xf numFmtId="2" fontId="30" fillId="2" borderId="39" xfId="0" applyNumberFormat="1" applyFont="1" applyFill="1" applyBorder="1" applyAlignment="1">
      <alignment horizontal="center" vertical="top" wrapText="1"/>
    </xf>
    <xf numFmtId="2" fontId="30" fillId="2" borderId="35" xfId="0" applyNumberFormat="1" applyFont="1" applyFill="1" applyBorder="1" applyAlignment="1">
      <alignment horizontal="center" vertical="top" wrapText="1"/>
    </xf>
    <xf numFmtId="0" fontId="30" fillId="2" borderId="57" xfId="0" applyFont="1" applyFill="1" applyBorder="1" applyAlignment="1">
      <alignment horizontal="center" vertical="top" wrapText="1"/>
    </xf>
    <xf numFmtId="0" fontId="30" fillId="2" borderId="12" xfId="0" applyFont="1" applyFill="1" applyBorder="1" applyAlignment="1">
      <alignment horizontal="center" vertical="top" wrapText="1"/>
    </xf>
    <xf numFmtId="1" fontId="4" fillId="0" borderId="34" xfId="0" applyNumberFormat="1" applyFont="1" applyBorder="1" applyAlignment="1">
      <alignment horizontal="left" vertical="top" wrapText="1"/>
    </xf>
    <xf numFmtId="0" fontId="4" fillId="0" borderId="14" xfId="0" applyFont="1" applyFill="1" applyBorder="1" applyAlignment="1">
      <alignment vertical="top" wrapText="1"/>
    </xf>
    <xf numFmtId="0" fontId="4" fillId="0" borderId="16" xfId="0" applyFont="1" applyFill="1" applyBorder="1" applyAlignment="1">
      <alignment vertical="top" wrapText="1"/>
    </xf>
    <xf numFmtId="0" fontId="4" fillId="0" borderId="56" xfId="0" applyFont="1" applyBorder="1" applyAlignment="1">
      <alignment vertical="top" wrapText="1"/>
    </xf>
    <xf numFmtId="1" fontId="4" fillId="0" borderId="45" xfId="0" applyNumberFormat="1" applyFont="1" applyBorder="1" applyAlignment="1">
      <alignment vertical="top" wrapText="1"/>
    </xf>
    <xf numFmtId="2" fontId="4" fillId="2" borderId="8" xfId="0" applyNumberFormat="1" applyFont="1" applyFill="1" applyBorder="1" applyAlignment="1">
      <alignment horizontal="center" vertical="top" wrapText="1"/>
    </xf>
    <xf numFmtId="2" fontId="4" fillId="2" borderId="2" xfId="0" applyNumberFormat="1" applyFont="1" applyFill="1" applyBorder="1" applyAlignment="1">
      <alignment horizontal="center" vertical="top" wrapText="1"/>
    </xf>
    <xf numFmtId="2" fontId="4" fillId="2" borderId="48" xfId="0" applyNumberFormat="1" applyFont="1" applyFill="1" applyBorder="1" applyAlignment="1">
      <alignment horizontal="center" vertical="top" wrapText="1"/>
    </xf>
    <xf numFmtId="1" fontId="48" fillId="2" borderId="39" xfId="0" applyNumberFormat="1" applyFont="1" applyFill="1" applyBorder="1" applyAlignment="1">
      <alignment horizontal="center" vertical="top" wrapText="1"/>
    </xf>
    <xf numFmtId="1" fontId="4" fillId="14" borderId="4" xfId="0" applyNumberFormat="1" applyFont="1" applyFill="1" applyBorder="1" applyAlignment="1">
      <alignment horizontal="center" vertical="top" wrapText="1"/>
    </xf>
    <xf numFmtId="1" fontId="4" fillId="14" borderId="8" xfId="0" applyNumberFormat="1" applyFont="1" applyFill="1" applyBorder="1" applyAlignment="1">
      <alignment horizontal="center" vertical="top" wrapText="1"/>
    </xf>
    <xf numFmtId="1" fontId="4" fillId="14" borderId="1" xfId="0" applyNumberFormat="1" applyFont="1" applyFill="1" applyBorder="1" applyAlignment="1">
      <alignment horizontal="center" vertical="top" wrapText="1"/>
    </xf>
    <xf numFmtId="1" fontId="4" fillId="2" borderId="57" xfId="0" applyNumberFormat="1" applyFont="1" applyFill="1" applyBorder="1" applyAlignment="1">
      <alignment horizontal="center" vertical="top" wrapText="1"/>
    </xf>
    <xf numFmtId="0" fontId="4" fillId="2" borderId="1" xfId="0" applyNumberFormat="1" applyFont="1" applyFill="1" applyBorder="1" applyAlignment="1">
      <alignment horizontal="center" vertical="top" wrapText="1"/>
    </xf>
    <xf numFmtId="0" fontId="4" fillId="2" borderId="3" xfId="0" applyNumberFormat="1" applyFont="1" applyFill="1" applyBorder="1" applyAlignment="1">
      <alignment horizontal="center" vertical="top" wrapText="1"/>
    </xf>
    <xf numFmtId="2" fontId="4" fillId="2" borderId="9" xfId="0" applyNumberFormat="1" applyFont="1" applyFill="1" applyBorder="1" applyAlignment="1">
      <alignment horizontal="center" vertical="top" wrapText="1"/>
    </xf>
    <xf numFmtId="0" fontId="4" fillId="2" borderId="47" xfId="0" applyNumberFormat="1" applyFont="1" applyFill="1" applyBorder="1" applyAlignment="1">
      <alignment horizontal="center" vertical="top" wrapText="1"/>
    </xf>
    <xf numFmtId="2" fontId="4" fillId="5" borderId="8" xfId="0" applyNumberFormat="1" applyFont="1" applyFill="1" applyBorder="1" applyAlignment="1">
      <alignment horizontal="center" vertical="top" wrapText="1"/>
    </xf>
    <xf numFmtId="0" fontId="4" fillId="2" borderId="4" xfId="0" applyNumberFormat="1" applyFont="1" applyFill="1" applyBorder="1" applyAlignment="1">
      <alignment horizontal="center" vertical="top" wrapText="1"/>
    </xf>
    <xf numFmtId="2" fontId="4" fillId="2" borderId="13" xfId="0" applyNumberFormat="1" applyFont="1" applyFill="1" applyBorder="1" applyAlignment="1">
      <alignment horizontal="center" vertical="top" wrapText="1"/>
    </xf>
    <xf numFmtId="1" fontId="4" fillId="2" borderId="49" xfId="0" applyNumberFormat="1" applyFont="1" applyFill="1" applyBorder="1" applyAlignment="1">
      <alignment horizontal="center" vertical="top" wrapText="1"/>
    </xf>
    <xf numFmtId="2" fontId="4" fillId="2" borderId="35" xfId="0" applyNumberFormat="1" applyFont="1" applyFill="1" applyBorder="1" applyAlignment="1">
      <alignment horizontal="center" vertical="top" wrapText="1"/>
    </xf>
    <xf numFmtId="2" fontId="30" fillId="0" borderId="44" xfId="0" applyNumberFormat="1" applyFont="1" applyBorder="1" applyAlignment="1">
      <alignment horizontal="center" vertical="top" wrapText="1"/>
    </xf>
    <xf numFmtId="1" fontId="4" fillId="0" borderId="0" xfId="0" applyNumberFormat="1" applyFont="1" applyAlignment="1">
      <alignment horizontal="center" vertical="top" wrapText="1"/>
    </xf>
    <xf numFmtId="2" fontId="4" fillId="0" borderId="0" xfId="0" applyNumberFormat="1" applyFont="1" applyAlignment="1">
      <alignment horizontal="center" vertical="top" wrapText="1"/>
    </xf>
    <xf numFmtId="0" fontId="4" fillId="0" borderId="12" xfId="0" applyFont="1" applyBorder="1" applyAlignment="1">
      <alignment horizontal="center" vertical="top" wrapText="1"/>
    </xf>
    <xf numFmtId="0" fontId="4" fillId="0" borderId="6" xfId="0" applyFont="1" applyBorder="1" applyAlignment="1">
      <alignment horizontal="center" vertical="top" wrapText="1"/>
    </xf>
    <xf numFmtId="0" fontId="4" fillId="0" borderId="6" xfId="0" applyFont="1" applyBorder="1" applyAlignment="1">
      <alignment vertical="top" wrapText="1"/>
    </xf>
    <xf numFmtId="0" fontId="4" fillId="0" borderId="46" xfId="0" applyFont="1" applyBorder="1" applyAlignment="1">
      <alignment vertical="top" wrapText="1"/>
    </xf>
    <xf numFmtId="0" fontId="4" fillId="0" borderId="64" xfId="0" applyFont="1" applyBorder="1" applyAlignment="1">
      <alignment vertical="top" wrapText="1"/>
    </xf>
    <xf numFmtId="0" fontId="4" fillId="0" borderId="7" xfId="0" applyFont="1" applyBorder="1" applyAlignment="1">
      <alignment horizontal="center" vertical="top" wrapText="1"/>
    </xf>
    <xf numFmtId="0" fontId="4" fillId="0" borderId="52" xfId="0" applyFont="1" applyBorder="1" applyAlignment="1">
      <alignment horizontal="center" vertical="top" wrapText="1"/>
    </xf>
    <xf numFmtId="0" fontId="4" fillId="0" borderId="11" xfId="0" applyFont="1" applyFill="1" applyBorder="1" applyAlignment="1">
      <alignment vertical="top" wrapText="1"/>
    </xf>
    <xf numFmtId="0" fontId="4" fillId="0" borderId="11" xfId="0" applyFont="1" applyBorder="1" applyAlignment="1">
      <alignment horizontal="left" vertical="top" wrapText="1"/>
    </xf>
    <xf numFmtId="0" fontId="4" fillId="0" borderId="71" xfId="0" applyFont="1" applyFill="1" applyBorder="1" applyAlignment="1">
      <alignment vertical="top" wrapText="1"/>
    </xf>
    <xf numFmtId="0" fontId="4" fillId="0" borderId="17" xfId="0" applyFont="1" applyFill="1" applyBorder="1" applyAlignment="1">
      <alignment horizontal="left" vertical="top" wrapText="1"/>
    </xf>
    <xf numFmtId="0" fontId="4" fillId="0" borderId="11" xfId="0" applyFont="1" applyFill="1" applyBorder="1" applyAlignment="1">
      <alignment horizontal="left" vertical="top" wrapText="1"/>
    </xf>
    <xf numFmtId="0" fontId="4" fillId="0" borderId="12" xfId="0" applyFont="1" applyFill="1" applyBorder="1" applyAlignment="1">
      <alignment horizontal="left" vertical="top" wrapText="1"/>
    </xf>
    <xf numFmtId="0" fontId="24" fillId="0" borderId="11" xfId="0" applyFont="1" applyFill="1" applyBorder="1" applyAlignment="1">
      <alignment vertical="top" wrapText="1"/>
    </xf>
    <xf numFmtId="0" fontId="4" fillId="0" borderId="26" xfId="0" applyFont="1" applyFill="1" applyBorder="1" applyAlignment="1">
      <alignment vertical="top" wrapText="1"/>
    </xf>
    <xf numFmtId="0" fontId="4" fillId="0" borderId="20" xfId="0" applyFont="1" applyFill="1" applyBorder="1" applyAlignment="1">
      <alignment vertical="top" wrapText="1"/>
    </xf>
    <xf numFmtId="2" fontId="4" fillId="5" borderId="5" xfId="0" applyNumberFormat="1" applyFont="1" applyFill="1" applyBorder="1" applyAlignment="1">
      <alignment horizontal="center" vertical="top" wrapText="1"/>
    </xf>
    <xf numFmtId="0" fontId="4" fillId="0" borderId="71" xfId="0" applyNumberFormat="1" applyFont="1" applyFill="1" applyBorder="1" applyAlignment="1">
      <alignment vertical="top" wrapText="1"/>
    </xf>
    <xf numFmtId="0" fontId="4" fillId="0" borderId="34" xfId="0" applyNumberFormat="1" applyFont="1" applyBorder="1" applyAlignment="1">
      <alignment horizontal="left" vertical="top" wrapText="1"/>
    </xf>
    <xf numFmtId="1" fontId="4" fillId="0" borderId="50" xfId="0" applyNumberFormat="1" applyFont="1" applyFill="1" applyBorder="1" applyAlignment="1">
      <alignment horizontal="left" vertical="top" wrapText="1"/>
    </xf>
    <xf numFmtId="0" fontId="4" fillId="0" borderId="53" xfId="0" applyNumberFormat="1" applyFont="1" applyBorder="1" applyAlignment="1">
      <alignment horizontal="left" vertical="top" wrapText="1"/>
    </xf>
    <xf numFmtId="1" fontId="4" fillId="0" borderId="41" xfId="0" applyNumberFormat="1" applyFont="1" applyFill="1" applyBorder="1" applyAlignment="1">
      <alignment vertical="top" wrapText="1"/>
    </xf>
    <xf numFmtId="1" fontId="4" fillId="0" borderId="56" xfId="0" applyNumberFormat="1" applyFont="1" applyFill="1" applyBorder="1" applyAlignment="1">
      <alignment horizontal="left" vertical="top" wrapText="1"/>
    </xf>
    <xf numFmtId="1" fontId="4" fillId="0" borderId="11" xfId="0" applyNumberFormat="1" applyFont="1" applyFill="1" applyBorder="1" applyAlignment="1">
      <alignment horizontal="left" vertical="top" wrapText="1"/>
    </xf>
    <xf numFmtId="1" fontId="4" fillId="0" borderId="56" xfId="0" applyNumberFormat="1" applyFont="1" applyFill="1" applyBorder="1" applyAlignment="1">
      <alignment vertical="top" wrapText="1"/>
    </xf>
    <xf numFmtId="0" fontId="4" fillId="0" borderId="5" xfId="0" applyNumberFormat="1" applyFont="1" applyBorder="1" applyAlignment="1">
      <alignment horizontal="left" vertical="top" wrapText="1"/>
    </xf>
    <xf numFmtId="1" fontId="4" fillId="0" borderId="0" xfId="0" applyNumberFormat="1" applyFont="1" applyFill="1" applyBorder="1" applyAlignment="1">
      <alignment horizontal="center" vertical="top" wrapText="1"/>
    </xf>
    <xf numFmtId="2" fontId="4" fillId="2" borderId="1" xfId="0" applyNumberFormat="1" applyFont="1" applyFill="1" applyBorder="1" applyAlignment="1">
      <alignment horizontal="center" vertical="top" wrapText="1"/>
    </xf>
    <xf numFmtId="2" fontId="4" fillId="2" borderId="47" xfId="0" applyNumberFormat="1" applyFont="1" applyFill="1" applyBorder="1" applyAlignment="1">
      <alignment horizontal="center" vertical="top" wrapText="1"/>
    </xf>
    <xf numFmtId="0" fontId="4" fillId="2" borderId="45" xfId="0" applyNumberFormat="1" applyFont="1" applyFill="1" applyBorder="1" applyAlignment="1">
      <alignment horizontal="center" vertical="top" wrapText="1"/>
    </xf>
    <xf numFmtId="0" fontId="4" fillId="2" borderId="51" xfId="0" applyNumberFormat="1" applyFont="1" applyFill="1" applyBorder="1" applyAlignment="1">
      <alignment horizontal="center" vertical="top" wrapText="1"/>
    </xf>
    <xf numFmtId="0" fontId="4" fillId="5" borderId="34" xfId="0" applyNumberFormat="1" applyFont="1" applyFill="1" applyBorder="1" applyAlignment="1">
      <alignment horizontal="center" vertical="top" wrapText="1"/>
    </xf>
    <xf numFmtId="1" fontId="4" fillId="2" borderId="0" xfId="0" applyNumberFormat="1" applyFont="1" applyFill="1" applyBorder="1" applyAlignment="1">
      <alignment horizontal="center" vertical="top" wrapText="1"/>
    </xf>
    <xf numFmtId="2" fontId="4" fillId="16" borderId="22" xfId="0" applyNumberFormat="1" applyFont="1" applyFill="1" applyBorder="1" applyAlignment="1">
      <alignment horizontal="center" vertical="top" wrapText="1"/>
    </xf>
    <xf numFmtId="2" fontId="4" fillId="0" borderId="7" xfId="0" applyNumberFormat="1" applyFont="1" applyFill="1" applyBorder="1" applyAlignment="1">
      <alignment horizontal="center" vertical="top" wrapText="1"/>
    </xf>
    <xf numFmtId="2" fontId="4" fillId="0" borderId="44" xfId="0" applyNumberFormat="1" applyFont="1" applyFill="1" applyBorder="1" applyAlignment="1">
      <alignment horizontal="center" vertical="top" wrapText="1"/>
    </xf>
    <xf numFmtId="0" fontId="4" fillId="0" borderId="56" xfId="0" applyFont="1" applyFill="1" applyBorder="1" applyAlignment="1">
      <alignment horizontal="left" vertical="top" wrapText="1"/>
    </xf>
    <xf numFmtId="1" fontId="4" fillId="0" borderId="71" xfId="0" applyNumberFormat="1" applyFont="1" applyFill="1" applyBorder="1" applyAlignment="1">
      <alignment horizontal="left" vertical="top" wrapText="1"/>
    </xf>
    <xf numFmtId="1" fontId="4" fillId="0" borderId="11" xfId="0" applyNumberFormat="1" applyFont="1" applyFill="1" applyBorder="1" applyAlignment="1">
      <alignment vertical="top" wrapText="1"/>
    </xf>
    <xf numFmtId="0" fontId="4" fillId="0" borderId="41" xfId="0" applyNumberFormat="1" applyFont="1" applyFill="1" applyBorder="1" applyAlignment="1">
      <alignment horizontal="left" vertical="top" wrapText="1"/>
    </xf>
    <xf numFmtId="0" fontId="4" fillId="0" borderId="14" xfId="0" applyNumberFormat="1" applyFont="1" applyFill="1" applyBorder="1" applyAlignment="1">
      <alignment horizontal="left" vertical="top" wrapText="1"/>
    </xf>
    <xf numFmtId="0" fontId="4" fillId="0" borderId="15" xfId="0" applyNumberFormat="1" applyFont="1" applyFill="1" applyBorder="1" applyAlignment="1">
      <alignment horizontal="left" vertical="top" wrapText="1"/>
    </xf>
    <xf numFmtId="0" fontId="4" fillId="0" borderId="36" xfId="0" applyNumberFormat="1" applyFont="1" applyFill="1" applyBorder="1" applyAlignment="1">
      <alignment horizontal="left" vertical="top" wrapText="1"/>
    </xf>
    <xf numFmtId="0" fontId="4" fillId="0" borderId="16" xfId="0" applyNumberFormat="1" applyFont="1" applyFill="1" applyBorder="1" applyAlignment="1">
      <alignment horizontal="left" vertical="top" wrapText="1"/>
    </xf>
    <xf numFmtId="1" fontId="4" fillId="0" borderId="46" xfId="0" applyNumberFormat="1" applyFont="1" applyFill="1" applyBorder="1" applyAlignment="1">
      <alignment vertical="top" wrapText="1"/>
    </xf>
    <xf numFmtId="2" fontId="4" fillId="5" borderId="64" xfId="0" applyNumberFormat="1" applyFont="1" applyFill="1" applyBorder="1" applyAlignment="1">
      <alignment horizontal="center" vertical="top"/>
    </xf>
    <xf numFmtId="1" fontId="4" fillId="2" borderId="14" xfId="0" applyNumberFormat="1" applyFont="1" applyFill="1" applyBorder="1" applyAlignment="1">
      <alignment horizontal="center" vertical="top" wrapText="1"/>
    </xf>
    <xf numFmtId="1" fontId="4" fillId="2" borderId="15" xfId="0" applyNumberFormat="1" applyFont="1" applyFill="1" applyBorder="1" applyAlignment="1">
      <alignment horizontal="center" vertical="top" wrapText="1"/>
    </xf>
    <xf numFmtId="2" fontId="4" fillId="2" borderId="13" xfId="0" applyNumberFormat="1" applyFont="1" applyFill="1" applyBorder="1" applyAlignment="1">
      <alignment horizontal="center" vertical="top"/>
    </xf>
    <xf numFmtId="1" fontId="4" fillId="2" borderId="7" xfId="0" applyNumberFormat="1" applyFont="1" applyFill="1" applyBorder="1" applyAlignment="1">
      <alignment horizontal="center" vertical="top"/>
    </xf>
    <xf numFmtId="2" fontId="4" fillId="2" borderId="39" xfId="0" applyNumberFormat="1" applyFont="1" applyFill="1" applyBorder="1" applyAlignment="1">
      <alignment horizontal="center" vertical="top"/>
    </xf>
    <xf numFmtId="2" fontId="4" fillId="2" borderId="4" xfId="0" applyNumberFormat="1" applyFont="1" applyFill="1" applyBorder="1" applyAlignment="1">
      <alignment horizontal="center" vertical="top"/>
    </xf>
    <xf numFmtId="1" fontId="4" fillId="2" borderId="45" xfId="0" applyNumberFormat="1" applyFont="1" applyFill="1" applyBorder="1" applyAlignment="1">
      <alignment horizontal="center" vertical="top"/>
    </xf>
    <xf numFmtId="1" fontId="4" fillId="2" borderId="13" xfId="0" applyNumberFormat="1" applyFont="1" applyFill="1" applyBorder="1" applyAlignment="1">
      <alignment horizontal="center" vertical="top"/>
    </xf>
    <xf numFmtId="0" fontId="4" fillId="0" borderId="34" xfId="0" applyFont="1" applyBorder="1" applyAlignment="1">
      <alignment vertical="top" wrapText="1"/>
    </xf>
    <xf numFmtId="0" fontId="4" fillId="0" borderId="34" xfId="0" applyNumberFormat="1" applyFont="1" applyBorder="1" applyAlignment="1">
      <alignment vertical="top" wrapText="1"/>
    </xf>
    <xf numFmtId="0" fontId="4" fillId="0" borderId="53" xfId="0" applyFont="1" applyBorder="1" applyAlignment="1">
      <alignment horizontal="left" vertical="top" wrapText="1"/>
    </xf>
    <xf numFmtId="1" fontId="4" fillId="0" borderId="14" xfId="0" applyNumberFormat="1" applyFont="1" applyBorder="1" applyAlignment="1">
      <alignment horizontal="left" vertical="top" wrapText="1"/>
    </xf>
    <xf numFmtId="0" fontId="4" fillId="0" borderId="45" xfId="0" applyFont="1" applyBorder="1" applyAlignment="1">
      <alignment vertical="top"/>
    </xf>
    <xf numFmtId="1" fontId="4" fillId="0" borderId="41" xfId="0" applyNumberFormat="1" applyFont="1" applyBorder="1" applyAlignment="1">
      <alignment horizontal="left" vertical="top" wrapText="1"/>
    </xf>
    <xf numFmtId="1" fontId="4" fillId="2" borderId="12" xfId="0" applyNumberFormat="1" applyFont="1" applyFill="1" applyBorder="1" applyAlignment="1">
      <alignment horizontal="center" vertical="top"/>
    </xf>
    <xf numFmtId="2" fontId="4" fillId="2" borderId="14" xfId="0" applyNumberFormat="1" applyFont="1" applyFill="1" applyBorder="1" applyAlignment="1">
      <alignment horizontal="center" vertical="top" wrapText="1"/>
    </xf>
    <xf numFmtId="2" fontId="4" fillId="2" borderId="15" xfId="0" applyNumberFormat="1" applyFont="1" applyFill="1" applyBorder="1" applyAlignment="1">
      <alignment horizontal="center" vertical="top" wrapText="1"/>
    </xf>
    <xf numFmtId="2" fontId="4" fillId="2" borderId="58" xfId="0" applyNumberFormat="1" applyFont="1" applyFill="1" applyBorder="1" applyAlignment="1">
      <alignment horizontal="center" vertical="top" wrapText="1"/>
    </xf>
    <xf numFmtId="2" fontId="4" fillId="2" borderId="51" xfId="0" applyNumberFormat="1" applyFont="1" applyFill="1" applyBorder="1" applyAlignment="1">
      <alignment horizontal="center" vertical="top"/>
    </xf>
    <xf numFmtId="0" fontId="4" fillId="0" borderId="6" xfId="0" applyFont="1" applyBorder="1" applyAlignment="1">
      <alignment vertical="top" wrapText="1"/>
    </xf>
    <xf numFmtId="0" fontId="4" fillId="0" borderId="13" xfId="0" applyFont="1" applyBorder="1" applyAlignment="1">
      <alignment horizontal="left" vertical="top" wrapText="1"/>
    </xf>
    <xf numFmtId="0" fontId="4" fillId="0" borderId="46" xfId="0" applyFont="1" applyBorder="1" applyAlignment="1">
      <alignment horizontal="left" vertical="top" wrapText="1"/>
    </xf>
    <xf numFmtId="0" fontId="4" fillId="0" borderId="0" xfId="0" applyFont="1" applyAlignment="1">
      <alignment horizontal="center" vertical="top" wrapText="1"/>
    </xf>
    <xf numFmtId="0" fontId="4" fillId="0" borderId="23" xfId="0" applyFont="1" applyBorder="1" applyAlignment="1">
      <alignment vertical="top" wrapText="1"/>
    </xf>
    <xf numFmtId="0" fontId="4" fillId="0" borderId="68" xfId="0" applyFont="1" applyBorder="1" applyAlignment="1">
      <alignment horizontal="left" vertical="top" wrapText="1"/>
    </xf>
    <xf numFmtId="1" fontId="4" fillId="0" borderId="46" xfId="0" applyNumberFormat="1" applyFont="1" applyBorder="1" applyAlignment="1">
      <alignment horizontal="left" vertical="top" wrapText="1"/>
    </xf>
    <xf numFmtId="0" fontId="4" fillId="0" borderId="71" xfId="0" applyFont="1" applyBorder="1" applyAlignment="1">
      <alignment horizontal="left" vertical="top" wrapText="1"/>
    </xf>
    <xf numFmtId="1" fontId="4" fillId="0" borderId="0" xfId="0" applyNumberFormat="1" applyFont="1" applyFill="1" applyBorder="1" applyAlignment="1">
      <alignment horizontal="center" vertical="top" wrapText="1"/>
    </xf>
    <xf numFmtId="0" fontId="4" fillId="0" borderId="12" xfId="0" applyFont="1" applyFill="1" applyBorder="1" applyAlignment="1">
      <alignment horizontal="left" vertical="top" wrapText="1"/>
    </xf>
    <xf numFmtId="1" fontId="4" fillId="0" borderId="53" xfId="0" applyNumberFormat="1" applyFont="1" applyBorder="1" applyAlignment="1">
      <alignment horizontal="left" vertical="top" wrapText="1"/>
    </xf>
    <xf numFmtId="1" fontId="4" fillId="0" borderId="71" xfId="0" applyNumberFormat="1" applyFont="1" applyBorder="1" applyAlignment="1">
      <alignment horizontal="left" vertical="top" wrapText="1"/>
    </xf>
    <xf numFmtId="1" fontId="4" fillId="0" borderId="12" xfId="0" applyNumberFormat="1" applyFont="1" applyBorder="1" applyAlignment="1">
      <alignment horizontal="left" vertical="top" wrapText="1"/>
    </xf>
    <xf numFmtId="1" fontId="4" fillId="0" borderId="6" xfId="0" applyNumberFormat="1" applyFont="1" applyBorder="1" applyAlignment="1">
      <alignment horizontal="left" vertical="top" wrapText="1"/>
    </xf>
    <xf numFmtId="1" fontId="4" fillId="0" borderId="17" xfId="0" applyNumberFormat="1" applyFont="1" applyBorder="1" applyAlignment="1">
      <alignment horizontal="left" vertical="top" wrapText="1"/>
    </xf>
    <xf numFmtId="1" fontId="4" fillId="0" borderId="53" xfId="0" applyNumberFormat="1" applyFont="1" applyBorder="1" applyAlignment="1">
      <alignment vertical="top" wrapText="1"/>
    </xf>
    <xf numFmtId="49" fontId="4" fillId="0" borderId="12" xfId="0" applyNumberFormat="1" applyFont="1" applyBorder="1" applyAlignment="1">
      <alignment vertical="top" wrapText="1"/>
    </xf>
    <xf numFmtId="49" fontId="4" fillId="0" borderId="6" xfId="0" applyNumberFormat="1" applyFont="1" applyBorder="1" applyAlignment="1">
      <alignment vertical="top" wrapText="1"/>
    </xf>
    <xf numFmtId="49" fontId="4" fillId="0" borderId="6" xfId="0" applyNumberFormat="1" applyFont="1" applyBorder="1">
      <alignment vertical="top"/>
    </xf>
    <xf numFmtId="49" fontId="4" fillId="0" borderId="50" xfId="0" applyNumberFormat="1" applyFont="1" applyFill="1" applyBorder="1" applyAlignment="1">
      <alignment vertical="top" wrapText="1"/>
    </xf>
    <xf numFmtId="49" fontId="4" fillId="0" borderId="18" xfId="0" applyNumberFormat="1" applyFont="1" applyBorder="1" applyAlignment="1">
      <alignment vertical="top" wrapText="1"/>
    </xf>
    <xf numFmtId="49" fontId="4" fillId="0" borderId="21" xfId="0" applyNumberFormat="1" applyFont="1" applyBorder="1" applyAlignment="1">
      <alignment vertical="top" wrapText="1"/>
    </xf>
    <xf numFmtId="49" fontId="4" fillId="0" borderId="42" xfId="0" applyNumberFormat="1" applyFont="1" applyBorder="1" applyAlignment="1">
      <alignment vertical="top" wrapText="1"/>
    </xf>
    <xf numFmtId="2" fontId="4" fillId="2" borderId="49" xfId="0" applyNumberFormat="1" applyFont="1" applyFill="1" applyBorder="1" applyAlignment="1">
      <alignment horizontal="center" vertical="top" wrapText="1"/>
    </xf>
    <xf numFmtId="1" fontId="4" fillId="2" borderId="56" xfId="0" applyNumberFormat="1" applyFont="1" applyFill="1" applyBorder="1" applyAlignment="1">
      <alignment horizontal="center" vertical="top" wrapText="1"/>
    </xf>
    <xf numFmtId="0" fontId="4" fillId="2" borderId="44" xfId="0" applyNumberFormat="1" applyFont="1" applyFill="1" applyBorder="1" applyAlignment="1">
      <alignment horizontal="center" vertical="top" wrapText="1"/>
    </xf>
    <xf numFmtId="0" fontId="4" fillId="0" borderId="14" xfId="0" applyFont="1" applyBorder="1" applyAlignment="1">
      <alignment vertical="top" wrapText="1"/>
    </xf>
    <xf numFmtId="0" fontId="4" fillId="2" borderId="2" xfId="0" applyFont="1" applyFill="1" applyBorder="1" applyAlignment="1">
      <alignment horizontal="center" vertical="top" wrapText="1"/>
    </xf>
    <xf numFmtId="0" fontId="4" fillId="2" borderId="48" xfId="0" applyFont="1" applyFill="1" applyBorder="1" applyAlignment="1">
      <alignment horizontal="center" vertical="top" wrapText="1"/>
    </xf>
    <xf numFmtId="0" fontId="4" fillId="5" borderId="34" xfId="0" applyFont="1" applyFill="1" applyBorder="1" applyAlignment="1">
      <alignment horizontal="center" vertical="top" wrapText="1"/>
    </xf>
    <xf numFmtId="1" fontId="4" fillId="2" borderId="27" xfId="0" applyNumberFormat="1" applyFont="1" applyFill="1" applyBorder="1" applyAlignment="1">
      <alignment horizontal="center" vertical="top" wrapText="1"/>
    </xf>
    <xf numFmtId="1" fontId="4" fillId="2" borderId="40" xfId="0" applyNumberFormat="1" applyFont="1" applyFill="1" applyBorder="1" applyAlignment="1">
      <alignment horizontal="center" vertical="top" wrapText="1"/>
    </xf>
    <xf numFmtId="2" fontId="23" fillId="7" borderId="34" xfId="0" applyNumberFormat="1" applyFont="1" applyFill="1" applyBorder="1" applyAlignment="1">
      <alignment horizontal="center" vertical="top"/>
    </xf>
    <xf numFmtId="2" fontId="4" fillId="7" borderId="42" xfId="0" applyNumberFormat="1" applyFont="1" applyFill="1" applyBorder="1" applyAlignment="1">
      <alignment horizontal="center" vertical="top" wrapText="1"/>
    </xf>
    <xf numFmtId="2" fontId="4" fillId="7" borderId="5" xfId="0" applyNumberFormat="1" applyFont="1" applyFill="1" applyBorder="1" applyAlignment="1">
      <alignment horizontal="center" vertical="top" wrapText="1"/>
    </xf>
    <xf numFmtId="2" fontId="4" fillId="0" borderId="0" xfId="0" applyNumberFormat="1" applyFont="1" applyFill="1" applyBorder="1" applyAlignment="1">
      <alignment horizontal="center" vertical="top" wrapText="1"/>
    </xf>
    <xf numFmtId="2" fontId="4" fillId="0" borderId="0" xfId="0" applyNumberFormat="1" applyFont="1" applyBorder="1" applyAlignment="1">
      <alignment horizontal="center" vertical="top" wrapText="1"/>
    </xf>
    <xf numFmtId="0" fontId="4" fillId="2" borderId="39" xfId="0" applyNumberFormat="1" applyFont="1" applyFill="1" applyBorder="1" applyAlignment="1">
      <alignment horizontal="center" vertical="top" wrapText="1"/>
    </xf>
    <xf numFmtId="0" fontId="4" fillId="2" borderId="52" xfId="0" applyNumberFormat="1" applyFont="1" applyFill="1" applyBorder="1" applyAlignment="1">
      <alignment horizontal="center" vertical="top" wrapText="1"/>
    </xf>
    <xf numFmtId="0" fontId="26" fillId="2" borderId="51" xfId="0" applyFont="1" applyFill="1" applyBorder="1" applyAlignment="1">
      <alignment horizontal="center" vertical="top" wrapText="1"/>
    </xf>
    <xf numFmtId="1" fontId="4" fillId="2" borderId="52" xfId="0" applyNumberFormat="1" applyFont="1" applyFill="1" applyBorder="1" applyAlignment="1">
      <alignment horizontal="center" vertical="top"/>
    </xf>
    <xf numFmtId="2" fontId="4" fillId="2" borderId="35" xfId="0" applyNumberFormat="1" applyFont="1" applyFill="1" applyBorder="1" applyAlignment="1">
      <alignment horizontal="center" vertical="top"/>
    </xf>
    <xf numFmtId="2" fontId="4" fillId="2" borderId="58" xfId="0" applyNumberFormat="1" applyFont="1" applyFill="1" applyBorder="1" applyAlignment="1">
      <alignment horizontal="center" vertical="top"/>
    </xf>
    <xf numFmtId="1" fontId="4" fillId="0" borderId="0" xfId="0" applyNumberFormat="1" applyFont="1" applyBorder="1" applyAlignment="1">
      <alignment horizontal="center" vertical="top" wrapText="1"/>
    </xf>
    <xf numFmtId="1" fontId="4" fillId="0" borderId="0" xfId="0" applyNumberFormat="1" applyFont="1" applyFill="1" applyBorder="1" applyAlignment="1">
      <alignment horizontal="center" vertical="top"/>
    </xf>
    <xf numFmtId="2" fontId="4" fillId="0" borderId="0" xfId="0" applyNumberFormat="1" applyFont="1" applyFill="1" applyBorder="1" applyAlignment="1">
      <alignment horizontal="center" vertical="top"/>
    </xf>
    <xf numFmtId="1" fontId="4" fillId="2" borderId="0" xfId="0" applyNumberFormat="1" applyFont="1" applyFill="1" applyBorder="1" applyAlignment="1">
      <alignment horizontal="center" vertical="top"/>
    </xf>
    <xf numFmtId="2" fontId="4" fillId="2" borderId="0" xfId="0" applyNumberFormat="1" applyFont="1" applyFill="1" applyBorder="1" applyAlignment="1">
      <alignment horizontal="center" vertical="top"/>
    </xf>
    <xf numFmtId="0" fontId="4" fillId="0" borderId="45" xfId="0" applyFont="1" applyFill="1" applyBorder="1" applyAlignment="1">
      <alignment horizontal="center" vertical="top" wrapText="1"/>
    </xf>
    <xf numFmtId="2" fontId="4" fillId="2" borderId="28" xfId="0" applyNumberFormat="1" applyFont="1" applyFill="1" applyBorder="1" applyAlignment="1">
      <alignment horizontal="center" vertical="top" wrapText="1"/>
    </xf>
    <xf numFmtId="2" fontId="4" fillId="2" borderId="27" xfId="0" applyNumberFormat="1" applyFont="1" applyFill="1" applyBorder="1" applyAlignment="1">
      <alignment horizontal="center" vertical="top" wrapText="1"/>
    </xf>
    <xf numFmtId="2" fontId="4" fillId="2" borderId="40" xfId="0" applyNumberFormat="1" applyFont="1" applyFill="1" applyBorder="1" applyAlignment="1">
      <alignment horizontal="center" vertical="top" wrapText="1"/>
    </xf>
    <xf numFmtId="0" fontId="4" fillId="2" borderId="6" xfId="0" applyFont="1" applyFill="1" applyBorder="1" applyAlignment="1">
      <alignment horizontal="center" vertical="top" wrapText="1"/>
    </xf>
    <xf numFmtId="0" fontId="28" fillId="2" borderId="1" xfId="0" applyNumberFormat="1" applyFont="1" applyFill="1" applyBorder="1" applyAlignment="1">
      <alignment horizontal="center" vertical="top" wrapText="1"/>
    </xf>
    <xf numFmtId="0" fontId="28" fillId="2" borderId="47" xfId="0" applyNumberFormat="1" applyFont="1" applyFill="1" applyBorder="1" applyAlignment="1">
      <alignment horizontal="center" vertical="top" wrapText="1"/>
    </xf>
    <xf numFmtId="1" fontId="4" fillId="2" borderId="2" xfId="0" applyNumberFormat="1" applyFont="1" applyFill="1" applyBorder="1" applyAlignment="1">
      <alignment horizontal="center" vertical="top"/>
    </xf>
    <xf numFmtId="1" fontId="4" fillId="2" borderId="48" xfId="0" applyNumberFormat="1" applyFont="1" applyFill="1" applyBorder="1" applyAlignment="1">
      <alignment horizontal="center" vertical="top"/>
    </xf>
    <xf numFmtId="2" fontId="4" fillId="13" borderId="34" xfId="0" applyNumberFormat="1" applyFont="1" applyFill="1" applyBorder="1" applyAlignment="1">
      <alignment horizontal="center" vertical="top"/>
    </xf>
    <xf numFmtId="1" fontId="4" fillId="2" borderId="56" xfId="0" applyNumberFormat="1" applyFont="1" applyFill="1" applyBorder="1" applyAlignment="1">
      <alignment horizontal="center" vertical="top"/>
    </xf>
    <xf numFmtId="1" fontId="4" fillId="2" borderId="14" xfId="0" applyNumberFormat="1" applyFont="1" applyFill="1" applyBorder="1" applyAlignment="1">
      <alignment horizontal="center" vertical="top"/>
    </xf>
    <xf numFmtId="2" fontId="4" fillId="17" borderId="22" xfId="0" applyNumberFormat="1" applyFont="1" applyFill="1" applyBorder="1" applyAlignment="1">
      <alignment horizontal="center" vertical="top"/>
    </xf>
    <xf numFmtId="2" fontId="28" fillId="0" borderId="34" xfId="0" applyNumberFormat="1" applyFont="1" applyFill="1" applyBorder="1" applyAlignment="1">
      <alignment vertical="top" wrapText="1"/>
    </xf>
    <xf numFmtId="2" fontId="28" fillId="0" borderId="41" xfId="0" applyNumberFormat="1" applyFont="1" applyBorder="1" applyAlignment="1">
      <alignment vertical="top" wrapText="1"/>
    </xf>
    <xf numFmtId="2" fontId="28" fillId="0" borderId="12" xfId="0" applyNumberFormat="1" applyFont="1" applyBorder="1" applyAlignment="1">
      <alignment vertical="top" wrapText="1"/>
    </xf>
    <xf numFmtId="2" fontId="28" fillId="0" borderId="6" xfId="0" applyNumberFormat="1" applyFont="1" applyBorder="1" applyAlignment="1">
      <alignment vertical="top" wrapText="1"/>
    </xf>
    <xf numFmtId="2" fontId="28" fillId="0" borderId="50" xfId="0" applyNumberFormat="1" applyFont="1" applyBorder="1" applyAlignment="1">
      <alignment vertical="top" wrapText="1"/>
    </xf>
    <xf numFmtId="2" fontId="28" fillId="0" borderId="71" xfId="0" applyNumberFormat="1" applyFont="1" applyBorder="1" applyAlignment="1">
      <alignment vertical="top" wrapText="1"/>
    </xf>
    <xf numFmtId="2" fontId="28" fillId="0" borderId="17" xfId="0" applyNumberFormat="1" applyFont="1" applyBorder="1" applyAlignment="1">
      <alignment vertical="top" wrapText="1"/>
    </xf>
    <xf numFmtId="0" fontId="28" fillId="0" borderId="41" xfId="0" applyFont="1" applyBorder="1" applyAlignment="1">
      <alignment vertical="top" wrapText="1"/>
    </xf>
    <xf numFmtId="0" fontId="28" fillId="0" borderId="6" xfId="0" applyFont="1" applyBorder="1" applyAlignment="1">
      <alignment vertical="top" wrapText="1"/>
    </xf>
    <xf numFmtId="0" fontId="28" fillId="0" borderId="50" xfId="0" applyFont="1" applyBorder="1" applyAlignment="1">
      <alignment vertical="top" wrapText="1"/>
    </xf>
    <xf numFmtId="1" fontId="28" fillId="0" borderId="41" xfId="0" applyNumberFormat="1" applyFont="1" applyBorder="1" applyAlignment="1">
      <alignment vertical="top" wrapText="1"/>
    </xf>
    <xf numFmtId="1" fontId="28" fillId="0" borderId="12" xfId="0" applyNumberFormat="1" applyFont="1" applyBorder="1" applyAlignment="1">
      <alignment vertical="top" wrapText="1"/>
    </xf>
    <xf numFmtId="1" fontId="28" fillId="0" borderId="6" xfId="0" applyNumberFormat="1" applyFont="1" applyBorder="1" applyAlignment="1">
      <alignment vertical="top" wrapText="1"/>
    </xf>
    <xf numFmtId="1" fontId="28" fillId="0" borderId="41" xfId="0" applyNumberFormat="1" applyFont="1" applyBorder="1" applyAlignment="1">
      <alignment horizontal="left" vertical="top" wrapText="1"/>
    </xf>
    <xf numFmtId="1" fontId="28" fillId="0" borderId="12" xfId="0" applyNumberFormat="1" applyFont="1" applyBorder="1" applyAlignment="1">
      <alignment horizontal="left" vertical="top" wrapText="1"/>
    </xf>
    <xf numFmtId="1" fontId="28" fillId="0" borderId="6" xfId="0" applyNumberFormat="1" applyFont="1" applyBorder="1" applyAlignment="1">
      <alignment horizontal="left" vertical="top" wrapText="1"/>
    </xf>
    <xf numFmtId="1" fontId="28" fillId="0" borderId="50" xfId="0" applyNumberFormat="1" applyFont="1" applyBorder="1" applyAlignment="1">
      <alignment horizontal="left" vertical="top" wrapText="1"/>
    </xf>
    <xf numFmtId="0" fontId="28" fillId="0" borderId="71" xfId="0" applyFont="1" applyFill="1" applyBorder="1" applyAlignment="1">
      <alignment vertical="top" wrapText="1"/>
    </xf>
    <xf numFmtId="0" fontId="28" fillId="0" borderId="17" xfId="0" applyFont="1" applyFill="1" applyBorder="1" applyAlignment="1">
      <alignment vertical="top" wrapText="1"/>
    </xf>
    <xf numFmtId="2" fontId="28" fillId="0" borderId="41" xfId="0" applyNumberFormat="1" applyFont="1" applyFill="1" applyBorder="1" applyAlignment="1">
      <alignment vertical="top" wrapText="1"/>
    </xf>
    <xf numFmtId="2" fontId="28" fillId="0" borderId="11" xfId="0" applyNumberFormat="1" applyFont="1" applyFill="1" applyBorder="1" applyAlignment="1">
      <alignment vertical="top" wrapText="1"/>
    </xf>
    <xf numFmtId="2" fontId="28" fillId="0" borderId="17" xfId="0" applyNumberFormat="1" applyFont="1" applyFill="1" applyBorder="1" applyAlignment="1">
      <alignment vertical="top" wrapText="1"/>
    </xf>
    <xf numFmtId="2" fontId="28" fillId="0" borderId="50" xfId="0" applyNumberFormat="1" applyFont="1" applyFill="1" applyBorder="1" applyAlignment="1">
      <alignment vertical="top" wrapText="1"/>
    </xf>
    <xf numFmtId="1" fontId="28" fillId="0" borderId="14" xfId="0" applyNumberFormat="1" applyFont="1" applyBorder="1" applyAlignment="1">
      <alignment horizontal="left" vertical="top" wrapText="1"/>
    </xf>
    <xf numFmtId="1" fontId="28" fillId="0" borderId="17" xfId="0" applyNumberFormat="1" applyFont="1" applyFill="1" applyBorder="1" applyAlignment="1">
      <alignment vertical="top" wrapText="1"/>
    </xf>
    <xf numFmtId="1" fontId="28" fillId="0" borderId="50" xfId="0" applyNumberFormat="1" applyFont="1" applyFill="1" applyBorder="1" applyAlignment="1">
      <alignment vertical="top" wrapText="1"/>
    </xf>
    <xf numFmtId="1" fontId="28" fillId="0" borderId="50" xfId="0" applyNumberFormat="1" applyFont="1" applyBorder="1" applyAlignment="1">
      <alignment vertical="top" wrapText="1"/>
    </xf>
    <xf numFmtId="2" fontId="28" fillId="0" borderId="71" xfId="0" applyNumberFormat="1" applyFont="1" applyFill="1" applyBorder="1" applyAlignment="1">
      <alignment vertical="top" wrapText="1"/>
    </xf>
    <xf numFmtId="2" fontId="28" fillId="0" borderId="12" xfId="0" applyNumberFormat="1" applyFont="1" applyFill="1" applyBorder="1" applyAlignment="1">
      <alignment vertical="top" wrapText="1"/>
    </xf>
    <xf numFmtId="2" fontId="28" fillId="0" borderId="6" xfId="0" applyNumberFormat="1" applyFont="1" applyFill="1" applyBorder="1" applyAlignment="1">
      <alignment vertical="top" wrapText="1"/>
    </xf>
    <xf numFmtId="2" fontId="28" fillId="0" borderId="53" xfId="0" applyNumberFormat="1" applyFont="1" applyFill="1" applyBorder="1" applyAlignment="1">
      <alignment vertical="top" wrapText="1"/>
    </xf>
    <xf numFmtId="0" fontId="28" fillId="0" borderId="45" xfId="0" applyFont="1" applyBorder="1" applyAlignment="1">
      <alignment vertical="top" wrapText="1"/>
    </xf>
    <xf numFmtId="2" fontId="28" fillId="0" borderId="56" xfId="0" applyNumberFormat="1" applyFont="1" applyBorder="1" applyAlignment="1">
      <alignment vertical="top" wrapText="1"/>
    </xf>
    <xf numFmtId="1" fontId="28" fillId="0" borderId="52" xfId="0" applyNumberFormat="1" applyFont="1" applyBorder="1" applyAlignment="1">
      <alignment horizontal="center" vertical="top" wrapText="1"/>
    </xf>
    <xf numFmtId="2" fontId="28" fillId="5" borderId="34" xfId="0" applyNumberFormat="1" applyFont="1" applyFill="1" applyBorder="1" applyAlignment="1">
      <alignment horizontal="center" vertical="top"/>
    </xf>
    <xf numFmtId="2" fontId="28" fillId="2" borderId="8" xfId="0" applyNumberFormat="1" applyFont="1" applyFill="1" applyBorder="1" applyAlignment="1">
      <alignment horizontal="center" vertical="top"/>
    </xf>
    <xf numFmtId="2" fontId="28" fillId="2" borderId="2" xfId="0" applyNumberFormat="1" applyFont="1" applyFill="1" applyBorder="1" applyAlignment="1">
      <alignment horizontal="center" vertical="top"/>
    </xf>
    <xf numFmtId="2" fontId="28" fillId="2" borderId="48" xfId="0" applyNumberFormat="1" applyFont="1" applyFill="1" applyBorder="1" applyAlignment="1">
      <alignment horizontal="center" vertical="top"/>
    </xf>
    <xf numFmtId="1" fontId="28" fillId="2" borderId="4" xfId="0" applyNumberFormat="1" applyFont="1" applyFill="1" applyBorder="1" applyAlignment="1">
      <alignment horizontal="center" vertical="top" wrapText="1"/>
    </xf>
    <xf numFmtId="2" fontId="28" fillId="5" borderId="22" xfId="0" applyNumberFormat="1" applyFont="1" applyFill="1" applyBorder="1" applyAlignment="1">
      <alignment horizontal="center" vertical="top" wrapText="1"/>
    </xf>
    <xf numFmtId="1" fontId="28" fillId="2" borderId="3" xfId="0" applyNumberFormat="1" applyFont="1" applyFill="1" applyBorder="1" applyAlignment="1">
      <alignment horizontal="center" vertical="top" wrapText="1"/>
    </xf>
    <xf numFmtId="2" fontId="28" fillId="2" borderId="9" xfId="0" applyNumberFormat="1" applyFont="1" applyFill="1" applyBorder="1" applyAlignment="1">
      <alignment horizontal="center" vertical="top"/>
    </xf>
    <xf numFmtId="1" fontId="28" fillId="2" borderId="35" xfId="0" applyNumberFormat="1" applyFont="1" applyFill="1" applyBorder="1" applyAlignment="1">
      <alignment horizontal="center" vertical="top"/>
    </xf>
    <xf numFmtId="1" fontId="28" fillId="2" borderId="8" xfId="0" applyNumberFormat="1" applyFont="1" applyFill="1" applyBorder="1" applyAlignment="1">
      <alignment horizontal="center" vertical="top"/>
    </xf>
    <xf numFmtId="2" fontId="28" fillId="5" borderId="22" xfId="0" applyNumberFormat="1" applyFont="1" applyFill="1" applyBorder="1" applyAlignment="1">
      <alignment horizontal="center" vertical="top"/>
    </xf>
    <xf numFmtId="2" fontId="28" fillId="16" borderId="34" xfId="0" applyNumberFormat="1" applyFont="1" applyFill="1" applyBorder="1" applyAlignment="1">
      <alignment horizontal="center" vertical="top"/>
    </xf>
    <xf numFmtId="2" fontId="28" fillId="2" borderId="27" xfId="0" applyNumberFormat="1" applyFont="1" applyFill="1" applyBorder="1" applyAlignment="1">
      <alignment horizontal="center" vertical="top"/>
    </xf>
    <xf numFmtId="2" fontId="28" fillId="2" borderId="40" xfId="0" applyNumberFormat="1" applyFont="1" applyFill="1" applyBorder="1" applyAlignment="1">
      <alignment horizontal="center" vertical="top"/>
    </xf>
    <xf numFmtId="1" fontId="28" fillId="2" borderId="50" xfId="0" applyNumberFormat="1" applyFont="1" applyFill="1" applyBorder="1" applyAlignment="1">
      <alignment horizontal="center" vertical="top" wrapText="1"/>
    </xf>
    <xf numFmtId="2" fontId="28" fillId="2" borderId="47" xfId="0" applyNumberFormat="1" applyFont="1" applyFill="1" applyBorder="1" applyAlignment="1">
      <alignment horizontal="center" vertical="top" wrapText="1"/>
    </xf>
    <xf numFmtId="2" fontId="28" fillId="2" borderId="48" xfId="0" applyNumberFormat="1" applyFont="1" applyFill="1" applyBorder="1" applyAlignment="1">
      <alignment horizontal="center" vertical="top" wrapText="1"/>
    </xf>
    <xf numFmtId="1" fontId="28" fillId="2" borderId="12" xfId="0" applyNumberFormat="1" applyFont="1" applyFill="1" applyBorder="1" applyAlignment="1">
      <alignment horizontal="center" vertical="top" wrapText="1"/>
    </xf>
    <xf numFmtId="2" fontId="28" fillId="2" borderId="9" xfId="0" applyNumberFormat="1" applyFont="1" applyFill="1" applyBorder="1" applyAlignment="1">
      <alignment horizontal="center" vertical="top" wrapText="1"/>
    </xf>
    <xf numFmtId="2" fontId="28" fillId="5" borderId="34" xfId="0" applyNumberFormat="1" applyFont="1" applyFill="1" applyBorder="1" applyAlignment="1">
      <alignment horizontal="center" vertical="top" wrapText="1"/>
    </xf>
    <xf numFmtId="1" fontId="28" fillId="2" borderId="66" xfId="0" applyNumberFormat="1" applyFont="1" applyFill="1" applyBorder="1" applyAlignment="1">
      <alignment horizontal="center" vertical="top" wrapText="1"/>
    </xf>
    <xf numFmtId="1" fontId="28" fillId="2" borderId="13" xfId="0" applyNumberFormat="1" applyFont="1" applyFill="1" applyBorder="1" applyAlignment="1">
      <alignment horizontal="center" vertical="top"/>
    </xf>
    <xf numFmtId="1" fontId="28" fillId="2" borderId="44" xfId="0" applyNumberFormat="1" applyFont="1" applyFill="1" applyBorder="1" applyAlignment="1">
      <alignment horizontal="center" vertical="top" wrapText="1"/>
    </xf>
    <xf numFmtId="2" fontId="28" fillId="7" borderId="34" xfId="0" applyNumberFormat="1" applyFont="1" applyFill="1" applyBorder="1" applyAlignment="1">
      <alignment horizontal="center" vertical="top"/>
    </xf>
    <xf numFmtId="2" fontId="28" fillId="2" borderId="35" xfId="0" applyNumberFormat="1" applyFont="1" applyFill="1" applyBorder="1" applyAlignment="1">
      <alignment horizontal="center" vertical="top"/>
    </xf>
    <xf numFmtId="1" fontId="28" fillId="0" borderId="0" xfId="0" applyNumberFormat="1" applyFont="1" applyBorder="1" applyAlignment="1">
      <alignment horizontal="center" vertical="top"/>
    </xf>
    <xf numFmtId="1" fontId="28" fillId="0" borderId="0" xfId="0" applyNumberFormat="1" applyFont="1" applyAlignment="1">
      <alignment horizontal="center" vertical="top"/>
    </xf>
    <xf numFmtId="2" fontId="28" fillId="0" borderId="0" xfId="0" applyNumberFormat="1" applyFont="1" applyAlignment="1">
      <alignment horizontal="center" vertical="top"/>
    </xf>
    <xf numFmtId="1" fontId="28" fillId="0" borderId="0" xfId="0" applyNumberFormat="1" applyFont="1" applyBorder="1" applyAlignment="1">
      <alignment horizontal="center" vertical="top" wrapText="1"/>
    </xf>
    <xf numFmtId="2" fontId="28" fillId="0" borderId="0" xfId="0" applyNumberFormat="1" applyFont="1" applyBorder="1" applyAlignment="1">
      <alignment horizontal="center" vertical="top"/>
    </xf>
    <xf numFmtId="1" fontId="24" fillId="0" borderId="13" xfId="0" applyNumberFormat="1" applyFont="1" applyBorder="1" applyAlignment="1">
      <alignment vertical="top" wrapText="1"/>
    </xf>
    <xf numFmtId="0" fontId="24" fillId="0" borderId="34" xfId="0" applyFont="1" applyBorder="1" applyAlignment="1">
      <alignment vertical="top" wrapText="1"/>
    </xf>
    <xf numFmtId="1" fontId="24" fillId="0" borderId="41" xfId="0" applyNumberFormat="1" applyFont="1" applyBorder="1" applyAlignment="1">
      <alignment vertical="top" wrapText="1"/>
    </xf>
    <xf numFmtId="1" fontId="24" fillId="0" borderId="11" xfId="0" applyNumberFormat="1" applyFont="1" applyBorder="1" applyAlignment="1">
      <alignment vertical="top" wrapText="1"/>
    </xf>
    <xf numFmtId="1" fontId="24" fillId="0" borderId="17" xfId="0" applyNumberFormat="1" applyFont="1" applyBorder="1" applyAlignment="1">
      <alignment vertical="top" wrapText="1"/>
    </xf>
    <xf numFmtId="1" fontId="24" fillId="0" borderId="50" xfId="0" applyNumberFormat="1" applyFont="1" applyBorder="1" applyAlignment="1">
      <alignment vertical="top" wrapText="1"/>
    </xf>
    <xf numFmtId="0" fontId="24" fillId="0" borderId="41" xfId="0" applyFont="1" applyFill="1" applyBorder="1" applyAlignment="1">
      <alignment vertical="top" wrapText="1"/>
    </xf>
    <xf numFmtId="0" fontId="24" fillId="0" borderId="12" xfId="0" applyFont="1" applyFill="1" applyBorder="1" applyAlignment="1">
      <alignment vertical="top" wrapText="1"/>
    </xf>
    <xf numFmtId="0" fontId="24" fillId="0" borderId="6" xfId="0" applyFont="1" applyFill="1" applyBorder="1" applyAlignment="1">
      <alignment vertical="top" wrapText="1"/>
    </xf>
    <xf numFmtId="0" fontId="24" fillId="0" borderId="50" xfId="0" applyFont="1" applyFill="1" applyBorder="1" applyAlignment="1">
      <alignment vertical="top" wrapText="1"/>
    </xf>
    <xf numFmtId="0" fontId="24" fillId="0" borderId="71" xfId="0" applyFont="1" applyBorder="1" applyAlignment="1">
      <alignment vertical="top" wrapText="1"/>
    </xf>
    <xf numFmtId="0" fontId="24" fillId="0" borderId="17" xfId="0" applyFont="1" applyBorder="1" applyAlignment="1">
      <alignment vertical="top" wrapText="1"/>
    </xf>
    <xf numFmtId="0" fontId="24" fillId="0" borderId="17" xfId="0" applyFont="1" applyFill="1" applyBorder="1" applyAlignment="1">
      <alignment vertical="top" wrapText="1"/>
    </xf>
    <xf numFmtId="0" fontId="24" fillId="0" borderId="41" xfId="0" applyFont="1" applyBorder="1" applyAlignment="1">
      <alignment vertical="top" wrapText="1"/>
    </xf>
    <xf numFmtId="0" fontId="24" fillId="0" borderId="50" xfId="0" applyFont="1" applyBorder="1" applyAlignment="1">
      <alignment vertical="top" wrapText="1"/>
    </xf>
    <xf numFmtId="0" fontId="24" fillId="0" borderId="53" xfId="0" applyFont="1" applyFill="1" applyBorder="1" applyAlignment="1">
      <alignment vertical="top" wrapText="1"/>
    </xf>
    <xf numFmtId="0" fontId="24" fillId="0" borderId="12" xfId="0" applyFont="1" applyBorder="1" applyAlignment="1">
      <alignment vertical="top" wrapText="1"/>
    </xf>
    <xf numFmtId="0" fontId="24" fillId="0" borderId="6" xfId="0" applyFont="1" applyBorder="1" applyAlignment="1">
      <alignment vertical="top" wrapText="1"/>
    </xf>
    <xf numFmtId="0" fontId="24" fillId="0" borderId="45" xfId="0" applyFont="1" applyBorder="1" applyAlignment="1">
      <alignment vertical="top" wrapText="1"/>
    </xf>
    <xf numFmtId="0" fontId="24" fillId="0" borderId="56" xfId="0" applyFont="1" applyBorder="1" applyAlignment="1">
      <alignment vertical="top" wrapText="1"/>
    </xf>
    <xf numFmtId="0" fontId="24" fillId="0" borderId="14" xfId="0" applyFont="1" applyBorder="1" applyAlignment="1">
      <alignment vertical="top" wrapText="1"/>
    </xf>
    <xf numFmtId="0" fontId="24" fillId="0" borderId="16" xfId="0" applyFont="1" applyBorder="1" applyAlignment="1">
      <alignment vertical="top" wrapText="1"/>
    </xf>
    <xf numFmtId="1" fontId="24" fillId="0" borderId="46" xfId="0" applyNumberFormat="1" applyFont="1" applyBorder="1" applyAlignment="1">
      <alignment vertical="top" wrapText="1"/>
    </xf>
    <xf numFmtId="0" fontId="4" fillId="0" borderId="71" xfId="0" applyFont="1" applyFill="1" applyBorder="1" applyAlignment="1">
      <alignment horizontal="left" vertical="top" wrapText="1"/>
    </xf>
    <xf numFmtId="1" fontId="24" fillId="2" borderId="39" xfId="0" applyNumberFormat="1" applyFont="1" applyFill="1" applyBorder="1" applyAlignment="1">
      <alignment horizontal="center" vertical="top" wrapText="1"/>
    </xf>
    <xf numFmtId="1" fontId="24" fillId="2" borderId="49" xfId="0" applyNumberFormat="1" applyFont="1" applyFill="1" applyBorder="1" applyAlignment="1">
      <alignment horizontal="center" vertical="top" wrapText="1"/>
    </xf>
    <xf numFmtId="1" fontId="24" fillId="2" borderId="1" xfId="0" applyNumberFormat="1" applyFont="1" applyFill="1" applyBorder="1" applyAlignment="1">
      <alignment horizontal="center" vertical="top" wrapText="1"/>
    </xf>
    <xf numFmtId="1" fontId="24" fillId="2" borderId="2" xfId="0" applyNumberFormat="1" applyFont="1" applyFill="1" applyBorder="1" applyAlignment="1">
      <alignment horizontal="center" vertical="top" wrapText="1"/>
    </xf>
    <xf numFmtId="1" fontId="24" fillId="2" borderId="47" xfId="0" applyNumberFormat="1" applyFont="1" applyFill="1" applyBorder="1" applyAlignment="1">
      <alignment horizontal="center" vertical="top" wrapText="1"/>
    </xf>
    <xf numFmtId="1" fontId="24" fillId="2" borderId="48" xfId="0" applyNumberFormat="1" applyFont="1" applyFill="1" applyBorder="1" applyAlignment="1">
      <alignment horizontal="center" vertical="top" wrapText="1"/>
    </xf>
    <xf numFmtId="1" fontId="24" fillId="2" borderId="7" xfId="0" applyNumberFormat="1" applyFont="1" applyFill="1" applyBorder="1" applyAlignment="1">
      <alignment horizontal="center" vertical="top" wrapText="1"/>
    </xf>
    <xf numFmtId="1" fontId="24" fillId="2" borderId="13" xfId="0" applyNumberFormat="1" applyFont="1" applyFill="1" applyBorder="1" applyAlignment="1">
      <alignment horizontal="center" vertical="top" wrapText="1"/>
    </xf>
    <xf numFmtId="1" fontId="24" fillId="2" borderId="4" xfId="0" applyNumberFormat="1" applyFont="1" applyFill="1" applyBorder="1" applyAlignment="1">
      <alignment horizontal="center" vertical="top" wrapText="1"/>
    </xf>
    <xf numFmtId="1" fontId="24" fillId="2" borderId="8" xfId="0" applyNumberFormat="1" applyFont="1" applyFill="1" applyBorder="1" applyAlignment="1">
      <alignment horizontal="center" vertical="top" wrapText="1"/>
    </xf>
    <xf numFmtId="1" fontId="24" fillId="2" borderId="3" xfId="0" applyNumberFormat="1" applyFont="1" applyFill="1" applyBorder="1" applyAlignment="1">
      <alignment horizontal="center" vertical="top" wrapText="1"/>
    </xf>
    <xf numFmtId="1" fontId="24" fillId="2" borderId="35" xfId="0" applyNumberFormat="1" applyFont="1" applyFill="1" applyBorder="1" applyAlignment="1">
      <alignment horizontal="center" vertical="top" wrapText="1"/>
    </xf>
    <xf numFmtId="1" fontId="24" fillId="2" borderId="66" xfId="0" applyNumberFormat="1" applyFont="1" applyFill="1" applyBorder="1" applyAlignment="1">
      <alignment horizontal="center" vertical="top" wrapText="1"/>
    </xf>
    <xf numFmtId="1" fontId="24" fillId="2" borderId="12" xfId="0" applyNumberFormat="1" applyFont="1" applyFill="1" applyBorder="1" applyAlignment="1">
      <alignment horizontal="center" vertical="top" wrapText="1"/>
    </xf>
    <xf numFmtId="1" fontId="24" fillId="2" borderId="44" xfId="0" applyNumberFormat="1" applyFont="1" applyFill="1" applyBorder="1" applyAlignment="1">
      <alignment horizontal="center" vertical="top"/>
    </xf>
    <xf numFmtId="2" fontId="24" fillId="2" borderId="8"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wrapText="1"/>
    </xf>
    <xf numFmtId="1" fontId="24" fillId="2" borderId="44" xfId="0" applyNumberFormat="1" applyFont="1" applyFill="1" applyBorder="1" applyAlignment="1">
      <alignment horizontal="center" vertical="top" wrapText="1"/>
    </xf>
    <xf numFmtId="1" fontId="24" fillId="2" borderId="50"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wrapText="1"/>
    </xf>
    <xf numFmtId="1" fontId="24" fillId="2" borderId="6" xfId="0" applyNumberFormat="1" applyFont="1" applyFill="1" applyBorder="1" applyAlignment="1">
      <alignment horizontal="center" vertical="top" wrapText="1"/>
    </xf>
    <xf numFmtId="2" fontId="24" fillId="2" borderId="0" xfId="0" applyNumberFormat="1" applyFont="1" applyFill="1" applyAlignment="1">
      <alignment horizontal="center" vertical="top" wrapText="1"/>
    </xf>
    <xf numFmtId="1" fontId="24" fillId="2" borderId="17" xfId="0" applyNumberFormat="1" applyFont="1" applyFill="1" applyBorder="1" applyAlignment="1">
      <alignment horizontal="center" vertical="top" wrapText="1"/>
    </xf>
    <xf numFmtId="2" fontId="24" fillId="2" borderId="9" xfId="0" applyNumberFormat="1" applyFont="1" applyFill="1" applyBorder="1" applyAlignment="1">
      <alignment horizontal="center" vertical="top" wrapText="1"/>
    </xf>
    <xf numFmtId="2" fontId="24" fillId="5" borderId="34" xfId="0" applyNumberFormat="1" applyFont="1" applyFill="1" applyBorder="1" applyAlignment="1">
      <alignment horizontal="center" vertical="top" wrapText="1"/>
    </xf>
    <xf numFmtId="2" fontId="24" fillId="2" borderId="39" xfId="0" applyNumberFormat="1" applyFont="1" applyFill="1" applyBorder="1" applyAlignment="1">
      <alignment horizontal="center" vertical="top" wrapText="1"/>
    </xf>
    <xf numFmtId="2" fontId="24" fillId="2" borderId="35" xfId="0" applyNumberFormat="1" applyFont="1" applyFill="1" applyBorder="1" applyAlignment="1">
      <alignment horizontal="center" vertical="top" wrapText="1"/>
    </xf>
    <xf numFmtId="1" fontId="24" fillId="2" borderId="51" xfId="0" applyNumberFormat="1" applyFont="1" applyFill="1" applyBorder="1" applyAlignment="1">
      <alignment horizontal="center" vertical="top" wrapText="1"/>
    </xf>
    <xf numFmtId="1" fontId="23" fillId="2" borderId="1" xfId="0" applyNumberFormat="1" applyFont="1" applyFill="1" applyBorder="1" applyAlignment="1">
      <alignment horizontal="center" vertical="top" wrapText="1"/>
    </xf>
    <xf numFmtId="1" fontId="23" fillId="2" borderId="1" xfId="0" applyNumberFormat="1" applyFont="1" applyFill="1" applyBorder="1" applyAlignment="1">
      <alignment horizontal="center" vertical="top"/>
    </xf>
    <xf numFmtId="1" fontId="24" fillId="0" borderId="0" xfId="0" applyNumberFormat="1" applyFont="1" applyBorder="1" applyAlignment="1">
      <alignment horizontal="center" vertical="top" wrapText="1"/>
    </xf>
    <xf numFmtId="2" fontId="24" fillId="0" borderId="0" xfId="0" applyNumberFormat="1" applyFont="1" applyBorder="1" applyAlignment="1">
      <alignment horizontal="center" vertical="top" wrapText="1"/>
    </xf>
    <xf numFmtId="1" fontId="24" fillId="0" borderId="0" xfId="0" applyNumberFormat="1" applyFont="1" applyAlignment="1">
      <alignment horizontal="center" vertical="top" wrapText="1"/>
    </xf>
    <xf numFmtId="2" fontId="24" fillId="0" borderId="0" xfId="0" applyNumberFormat="1" applyFont="1" applyAlignment="1">
      <alignment horizontal="center" vertical="top" wrapText="1"/>
    </xf>
    <xf numFmtId="0" fontId="28" fillId="0" borderId="6" xfId="0" applyFont="1" applyFill="1" applyBorder="1" applyAlignment="1">
      <alignment vertical="top" wrapText="1"/>
    </xf>
    <xf numFmtId="0" fontId="28" fillId="0" borderId="50" xfId="0" applyFont="1" applyFill="1" applyBorder="1" applyAlignment="1">
      <alignment vertical="top" wrapText="1"/>
    </xf>
    <xf numFmtId="0" fontId="28" fillId="0" borderId="71" xfId="0" applyFont="1" applyBorder="1" applyAlignment="1">
      <alignment vertical="top" wrapText="1"/>
    </xf>
    <xf numFmtId="0" fontId="28" fillId="0" borderId="17" xfId="0" applyFont="1" applyBorder="1" applyAlignment="1">
      <alignment vertical="top" wrapText="1"/>
    </xf>
    <xf numFmtId="0" fontId="28" fillId="0" borderId="41" xfId="0" applyFont="1" applyFill="1" applyBorder="1" applyAlignment="1">
      <alignment vertical="top" wrapText="1"/>
    </xf>
    <xf numFmtId="0" fontId="28" fillId="0" borderId="12" xfId="0" applyFont="1" applyFill="1" applyBorder="1" applyAlignment="1">
      <alignment vertical="top" wrapText="1"/>
    </xf>
    <xf numFmtId="2" fontId="28" fillId="5" borderId="5" xfId="0" applyNumberFormat="1" applyFont="1" applyFill="1" applyBorder="1" applyAlignment="1">
      <alignment horizontal="center" vertical="top" wrapText="1"/>
    </xf>
    <xf numFmtId="2" fontId="28" fillId="7" borderId="5" xfId="0" applyNumberFormat="1" applyFont="1" applyFill="1" applyBorder="1" applyAlignment="1">
      <alignment horizontal="center" vertical="top" wrapText="1"/>
    </xf>
    <xf numFmtId="2" fontId="28" fillId="2" borderId="1" xfId="0" applyNumberFormat="1" applyFont="1" applyFill="1" applyBorder="1" applyAlignment="1">
      <alignment horizontal="center" vertical="top" wrapText="1"/>
    </xf>
    <xf numFmtId="2" fontId="28" fillId="2" borderId="15" xfId="0" applyNumberFormat="1" applyFont="1" applyFill="1" applyBorder="1" applyAlignment="1">
      <alignment horizontal="center" vertical="top" wrapText="1"/>
    </xf>
    <xf numFmtId="2" fontId="28" fillId="2" borderId="36" xfId="0" applyNumberFormat="1" applyFont="1" applyFill="1" applyBorder="1" applyAlignment="1">
      <alignment horizontal="center" vertical="top" wrapText="1"/>
    </xf>
    <xf numFmtId="2" fontId="28" fillId="2" borderId="8" xfId="0" applyNumberFormat="1" applyFont="1" applyFill="1" applyBorder="1" applyAlignment="1">
      <alignment horizontal="center" vertical="top" wrapText="1"/>
    </xf>
    <xf numFmtId="2" fontId="28" fillId="2" borderId="2" xfId="0" applyNumberFormat="1" applyFont="1" applyFill="1" applyBorder="1" applyAlignment="1">
      <alignment horizontal="center" vertical="top" wrapText="1"/>
    </xf>
    <xf numFmtId="2" fontId="28" fillId="2" borderId="14" xfId="0" applyNumberFormat="1" applyFont="1" applyFill="1" applyBorder="1" applyAlignment="1">
      <alignment horizontal="center" vertical="top" wrapText="1"/>
    </xf>
    <xf numFmtId="2" fontId="28" fillId="2" borderId="16" xfId="0" applyNumberFormat="1" applyFont="1" applyFill="1" applyBorder="1" applyAlignment="1">
      <alignment horizontal="center" vertical="top" wrapText="1"/>
    </xf>
    <xf numFmtId="2" fontId="28" fillId="2" borderId="0" xfId="0" applyNumberFormat="1" applyFont="1" applyFill="1" applyBorder="1" applyAlignment="1">
      <alignment horizontal="center" vertical="top" wrapText="1"/>
    </xf>
    <xf numFmtId="2" fontId="28" fillId="2" borderId="28" xfId="0" applyNumberFormat="1" applyFont="1" applyFill="1" applyBorder="1" applyAlignment="1">
      <alignment horizontal="center" vertical="top" wrapText="1"/>
    </xf>
    <xf numFmtId="2" fontId="28" fillId="2" borderId="27" xfId="0" applyNumberFormat="1" applyFont="1" applyFill="1" applyBorder="1" applyAlignment="1">
      <alignment horizontal="center" vertical="top" wrapText="1"/>
    </xf>
    <xf numFmtId="2" fontId="28" fillId="7" borderId="34" xfId="0" applyNumberFormat="1" applyFont="1" applyFill="1" applyBorder="1" applyAlignment="1">
      <alignment horizontal="center" vertical="top" wrapText="1"/>
    </xf>
    <xf numFmtId="2" fontId="28" fillId="0" borderId="0" xfId="0" applyNumberFormat="1" applyFont="1" applyAlignment="1">
      <alignment horizontal="center" vertical="top" wrapText="1"/>
    </xf>
    <xf numFmtId="0" fontId="41" fillId="0" borderId="5" xfId="0" applyFont="1" applyBorder="1" applyAlignment="1">
      <alignment horizontal="center" vertical="top"/>
    </xf>
    <xf numFmtId="49" fontId="28" fillId="0" borderId="22" xfId="0" applyNumberFormat="1" applyFont="1" applyFill="1" applyBorder="1" applyAlignment="1">
      <alignment vertical="top" wrapText="1"/>
    </xf>
    <xf numFmtId="0" fontId="28" fillId="0" borderId="53" xfId="0" applyFont="1" applyFill="1" applyBorder="1" applyAlignment="1">
      <alignment vertical="top" wrapText="1"/>
    </xf>
    <xf numFmtId="0" fontId="28" fillId="0" borderId="14" xfId="0" applyFont="1" applyFill="1" applyBorder="1" applyAlignment="1">
      <alignment vertical="top" wrapText="1"/>
    </xf>
    <xf numFmtId="0" fontId="28" fillId="0" borderId="36" xfId="0" applyFont="1" applyFill="1" applyBorder="1" applyAlignment="1">
      <alignment vertical="top" wrapText="1"/>
    </xf>
    <xf numFmtId="0" fontId="28" fillId="0" borderId="16" xfId="0" applyFont="1" applyFill="1" applyBorder="1" applyAlignment="1">
      <alignment vertical="top" wrapText="1"/>
    </xf>
    <xf numFmtId="0" fontId="28" fillId="0" borderId="56" xfId="0" applyNumberFormat="1" applyFont="1" applyBorder="1">
      <alignment vertical="top"/>
    </xf>
    <xf numFmtId="49" fontId="4" fillId="0" borderId="42" xfId="0" applyNumberFormat="1" applyFont="1" applyFill="1" applyBorder="1" applyAlignment="1">
      <alignment vertical="top" wrapText="1"/>
    </xf>
    <xf numFmtId="0" fontId="26" fillId="0" borderId="0" xfId="0" applyFont="1" applyAlignment="1">
      <alignment horizontal="center" vertical="top"/>
    </xf>
    <xf numFmtId="0" fontId="28" fillId="0" borderId="0" xfId="0" applyFont="1" applyAlignment="1">
      <alignment horizontal="center" vertical="top"/>
    </xf>
    <xf numFmtId="1" fontId="28" fillId="2" borderId="52" xfId="0" applyNumberFormat="1" applyFont="1" applyFill="1" applyBorder="1" applyAlignment="1">
      <alignment horizontal="center" vertical="top" wrapText="1"/>
    </xf>
    <xf numFmtId="2" fontId="28" fillId="2" borderId="51" xfId="0" applyNumberFormat="1" applyFont="1" applyFill="1" applyBorder="1" applyAlignment="1">
      <alignment horizontal="center" vertical="top" wrapText="1"/>
    </xf>
    <xf numFmtId="2" fontId="28" fillId="2" borderId="57" xfId="0" applyNumberFormat="1" applyFont="1" applyFill="1" applyBorder="1" applyAlignment="1">
      <alignment horizontal="center" vertical="top" wrapText="1"/>
    </xf>
    <xf numFmtId="2" fontId="28" fillId="2" borderId="35" xfId="0" applyNumberFormat="1" applyFont="1" applyFill="1" applyBorder="1" applyAlignment="1">
      <alignment horizontal="center" vertical="top" wrapText="1"/>
    </xf>
    <xf numFmtId="1" fontId="28" fillId="2" borderId="6" xfId="0" applyNumberFormat="1" applyFont="1" applyFill="1" applyBorder="1" applyAlignment="1">
      <alignment horizontal="center" vertical="top" wrapText="1"/>
    </xf>
    <xf numFmtId="1" fontId="28" fillId="2" borderId="17" xfId="0" applyNumberFormat="1" applyFont="1" applyFill="1" applyBorder="1" applyAlignment="1">
      <alignment horizontal="center" vertical="top" wrapText="1"/>
    </xf>
    <xf numFmtId="0" fontId="28" fillId="2" borderId="44" xfId="0" applyFont="1" applyFill="1" applyBorder="1" applyAlignment="1">
      <alignment horizontal="center" vertical="top" wrapText="1"/>
    </xf>
    <xf numFmtId="2" fontId="28" fillId="2" borderId="13" xfId="0" applyNumberFormat="1" applyFont="1" applyFill="1" applyBorder="1" applyAlignment="1">
      <alignment horizontal="center" vertical="top" wrapText="1"/>
    </xf>
    <xf numFmtId="0" fontId="28" fillId="2" borderId="3" xfId="0" applyNumberFormat="1" applyFont="1" applyFill="1" applyBorder="1" applyAlignment="1">
      <alignment horizontal="center" vertical="top" wrapText="1"/>
    </xf>
    <xf numFmtId="0" fontId="28" fillId="2" borderId="39" xfId="0" applyNumberFormat="1" applyFont="1" applyFill="1" applyBorder="1" applyAlignment="1">
      <alignment horizontal="center" vertical="top" wrapText="1"/>
    </xf>
    <xf numFmtId="0" fontId="28" fillId="2" borderId="13" xfId="0" applyFont="1" applyFill="1" applyBorder="1" applyAlignment="1">
      <alignment horizontal="center" vertical="top" wrapText="1"/>
    </xf>
    <xf numFmtId="0" fontId="28" fillId="2" borderId="9" xfId="0" applyFont="1" applyFill="1" applyBorder="1" applyAlignment="1">
      <alignment horizontal="center" vertical="top" wrapText="1"/>
    </xf>
    <xf numFmtId="2" fontId="28" fillId="5" borderId="64" xfId="0" applyNumberFormat="1" applyFont="1" applyFill="1" applyBorder="1" applyAlignment="1">
      <alignment horizontal="center" vertical="top" wrapText="1"/>
    </xf>
    <xf numFmtId="0" fontId="28" fillId="2" borderId="52" xfId="0" applyNumberFormat="1" applyFont="1" applyFill="1" applyBorder="1" applyAlignment="1">
      <alignment horizontal="center" vertical="top" wrapText="1"/>
    </xf>
    <xf numFmtId="0" fontId="28" fillId="2" borderId="58" xfId="0" applyNumberFormat="1" applyFont="1" applyFill="1" applyBorder="1" applyAlignment="1">
      <alignment horizontal="center" vertical="top" wrapText="1"/>
    </xf>
    <xf numFmtId="2" fontId="4" fillId="7" borderId="64" xfId="0" applyNumberFormat="1" applyFont="1" applyFill="1" applyBorder="1" applyAlignment="1">
      <alignment horizontal="center" vertical="top" wrapText="1"/>
    </xf>
    <xf numFmtId="0" fontId="42" fillId="0" borderId="5" xfId="0" applyFont="1" applyBorder="1" applyAlignment="1">
      <alignment horizontal="center" vertical="top" wrapText="1"/>
    </xf>
    <xf numFmtId="0" fontId="4" fillId="0" borderId="57" xfId="0" applyFont="1" applyBorder="1" applyAlignment="1">
      <alignment horizontal="center" vertical="top" wrapText="1"/>
    </xf>
    <xf numFmtId="0" fontId="4" fillId="0" borderId="65" xfId="0" applyFont="1" applyBorder="1" applyAlignment="1">
      <alignment vertical="top" wrapText="1"/>
    </xf>
    <xf numFmtId="0" fontId="4" fillId="2" borderId="57" xfId="0" applyFont="1" applyFill="1" applyBorder="1" applyAlignment="1">
      <alignment horizontal="center" vertical="top" wrapText="1"/>
    </xf>
    <xf numFmtId="0" fontId="4" fillId="2" borderId="49" xfId="0" applyFont="1" applyFill="1" applyBorder="1" applyAlignment="1">
      <alignment horizontal="center" vertical="top" wrapText="1"/>
    </xf>
    <xf numFmtId="2" fontId="4" fillId="7" borderId="68" xfId="0" applyNumberFormat="1" applyFont="1" applyFill="1" applyBorder="1" applyAlignment="1">
      <alignment horizontal="center" vertical="top" wrapText="1"/>
    </xf>
    <xf numFmtId="0" fontId="23" fillId="0" borderId="41" xfId="0" applyFont="1" applyBorder="1" applyAlignment="1">
      <alignment vertical="top" wrapText="1"/>
    </xf>
    <xf numFmtId="0" fontId="23" fillId="0" borderId="12" xfId="0" applyFont="1" applyBorder="1" applyAlignment="1">
      <alignment vertical="top" wrapText="1"/>
    </xf>
    <xf numFmtId="0" fontId="23" fillId="0" borderId="6" xfId="0" applyFont="1" applyBorder="1" applyAlignment="1">
      <alignment vertical="top" wrapText="1"/>
    </xf>
    <xf numFmtId="0" fontId="23" fillId="0" borderId="50" xfId="0" applyFont="1" applyBorder="1" applyAlignment="1">
      <alignment vertical="top" wrapText="1"/>
    </xf>
    <xf numFmtId="0" fontId="23" fillId="0" borderId="71" xfId="0" applyFont="1" applyBorder="1" applyAlignment="1">
      <alignment vertical="top" wrapText="1"/>
    </xf>
    <xf numFmtId="0" fontId="23" fillId="0" borderId="17" xfId="0" applyFont="1" applyBorder="1" applyAlignment="1">
      <alignment vertical="top" wrapText="1"/>
    </xf>
    <xf numFmtId="0" fontId="23" fillId="0" borderId="41" xfId="0" applyFont="1" applyBorder="1" applyAlignment="1">
      <alignment horizontal="left" vertical="top" wrapText="1"/>
    </xf>
    <xf numFmtId="0" fontId="23" fillId="0" borderId="12" xfId="0" applyFont="1" applyBorder="1" applyAlignment="1">
      <alignment horizontal="left" vertical="top" wrapText="1"/>
    </xf>
    <xf numFmtId="0" fontId="23" fillId="0" borderId="56" xfId="0" applyFont="1" applyBorder="1" applyAlignment="1">
      <alignment horizontal="left" vertical="top" wrapText="1"/>
    </xf>
    <xf numFmtId="0" fontId="23" fillId="0" borderId="56" xfId="0" applyFont="1" applyBorder="1" applyAlignment="1">
      <alignment vertical="top" wrapText="1"/>
    </xf>
    <xf numFmtId="0" fontId="23" fillId="0" borderId="41" xfId="0" applyFont="1" applyFill="1" applyBorder="1" applyAlignment="1">
      <alignment vertical="top" wrapText="1"/>
    </xf>
    <xf numFmtId="0" fontId="23" fillId="0" borderId="12" xfId="0" applyFont="1" applyFill="1" applyBorder="1" applyAlignment="1">
      <alignment vertical="top" wrapText="1"/>
    </xf>
    <xf numFmtId="0" fontId="23" fillId="0" borderId="56" xfId="0" applyFont="1" applyFill="1" applyBorder="1" applyAlignment="1">
      <alignment vertical="top" wrapText="1"/>
    </xf>
    <xf numFmtId="0" fontId="23" fillId="0" borderId="71" xfId="0" applyFont="1" applyFill="1" applyBorder="1" applyAlignment="1">
      <alignment vertical="top" wrapText="1"/>
    </xf>
    <xf numFmtId="0" fontId="23" fillId="0" borderId="6" xfId="0" applyFont="1" applyFill="1" applyBorder="1" applyAlignment="1">
      <alignment vertical="top" wrapText="1"/>
    </xf>
    <xf numFmtId="0" fontId="23" fillId="0" borderId="17" xfId="0" applyFont="1" applyFill="1" applyBorder="1" applyAlignment="1">
      <alignment vertical="top" wrapText="1"/>
    </xf>
    <xf numFmtId="1" fontId="23" fillId="2" borderId="39" xfId="0" applyNumberFormat="1" applyFont="1" applyFill="1" applyBorder="1" applyAlignment="1">
      <alignment horizontal="center" vertical="top" wrapText="1"/>
    </xf>
    <xf numFmtId="1" fontId="23" fillId="2" borderId="35" xfId="0" applyNumberFormat="1" applyFont="1" applyFill="1" applyBorder="1" applyAlignment="1">
      <alignment horizontal="center" vertical="top"/>
    </xf>
    <xf numFmtId="0" fontId="23" fillId="2" borderId="1" xfId="0" applyNumberFormat="1" applyFont="1" applyFill="1" applyBorder="1" applyAlignment="1">
      <alignment horizontal="center" vertical="top" wrapText="1"/>
    </xf>
    <xf numFmtId="2" fontId="23" fillId="2" borderId="8" xfId="0" applyNumberFormat="1" applyFont="1" applyFill="1" applyBorder="1" applyAlignment="1">
      <alignment horizontal="center" vertical="top"/>
    </xf>
    <xf numFmtId="2" fontId="23" fillId="2" borderId="2" xfId="0" applyNumberFormat="1" applyFont="1" applyFill="1" applyBorder="1" applyAlignment="1">
      <alignment horizontal="center" vertical="top"/>
    </xf>
    <xf numFmtId="1" fontId="23" fillId="2" borderId="47" xfId="0" applyNumberFormat="1" applyFont="1" applyFill="1" applyBorder="1" applyAlignment="1">
      <alignment horizontal="center" vertical="top" wrapText="1"/>
    </xf>
    <xf numFmtId="1" fontId="23" fillId="2" borderId="47" xfId="0" applyNumberFormat="1" applyFont="1" applyFill="1" applyBorder="1" applyAlignment="1">
      <alignment horizontal="center" vertical="top"/>
    </xf>
    <xf numFmtId="2" fontId="23" fillId="2" borderId="48" xfId="0" applyNumberFormat="1" applyFont="1" applyFill="1" applyBorder="1" applyAlignment="1">
      <alignment horizontal="center" vertical="top"/>
    </xf>
    <xf numFmtId="1" fontId="23" fillId="2" borderId="4" xfId="0" applyNumberFormat="1" applyFont="1" applyFill="1" applyBorder="1" applyAlignment="1">
      <alignment horizontal="center" vertical="top" wrapText="1"/>
    </xf>
    <xf numFmtId="1" fontId="23" fillId="2" borderId="8" xfId="0" applyNumberFormat="1" applyFont="1" applyFill="1" applyBorder="1" applyAlignment="1">
      <alignment horizontal="center" vertical="top"/>
    </xf>
    <xf numFmtId="2" fontId="23" fillId="7" borderId="22" xfId="0" applyNumberFormat="1" applyFont="1" applyFill="1" applyBorder="1" applyAlignment="1">
      <alignment horizontal="center" vertical="top"/>
    </xf>
    <xf numFmtId="0" fontId="23" fillId="2" borderId="3" xfId="0" applyNumberFormat="1" applyFont="1" applyFill="1" applyBorder="1" applyAlignment="1">
      <alignment horizontal="center" vertical="top" wrapText="1"/>
    </xf>
    <xf numFmtId="1" fontId="23" fillId="2" borderId="3" xfId="0" applyNumberFormat="1" applyFont="1" applyFill="1" applyBorder="1" applyAlignment="1">
      <alignment horizontal="center" vertical="top"/>
    </xf>
    <xf numFmtId="2" fontId="23" fillId="2" borderId="9" xfId="0" applyNumberFormat="1" applyFont="1" applyFill="1" applyBorder="1" applyAlignment="1">
      <alignment horizontal="center" vertical="top"/>
    </xf>
    <xf numFmtId="2" fontId="23" fillId="7" borderId="34" xfId="0" applyNumberFormat="1" applyFont="1" applyFill="1" applyBorder="1" applyAlignment="1">
      <alignment horizontal="center" vertical="top" wrapText="1"/>
    </xf>
    <xf numFmtId="2" fontId="23" fillId="2" borderId="8" xfId="0" applyNumberFormat="1" applyFont="1" applyFill="1" applyBorder="1" applyAlignment="1">
      <alignment horizontal="center" vertical="top" wrapText="1"/>
    </xf>
    <xf numFmtId="2" fontId="23" fillId="2" borderId="2" xfId="0" applyNumberFormat="1" applyFont="1" applyFill="1" applyBorder="1" applyAlignment="1">
      <alignment horizontal="center" vertical="top" wrapText="1"/>
    </xf>
    <xf numFmtId="2" fontId="23" fillId="2" borderId="48" xfId="0" applyNumberFormat="1" applyFont="1" applyFill="1" applyBorder="1" applyAlignment="1">
      <alignment horizontal="center" vertical="top" wrapText="1"/>
    </xf>
    <xf numFmtId="1" fontId="23" fillId="2" borderId="3" xfId="0" applyNumberFormat="1" applyFont="1" applyFill="1" applyBorder="1" applyAlignment="1">
      <alignment horizontal="center" vertical="top" wrapText="1"/>
    </xf>
    <xf numFmtId="0" fontId="23" fillId="2" borderId="47" xfId="0" applyNumberFormat="1" applyFont="1" applyFill="1" applyBorder="1" applyAlignment="1">
      <alignment horizontal="center" vertical="top" wrapText="1"/>
    </xf>
    <xf numFmtId="0" fontId="23" fillId="2" borderId="4" xfId="0" applyNumberFormat="1" applyFont="1" applyFill="1" applyBorder="1" applyAlignment="1">
      <alignment horizontal="center" vertical="top" wrapText="1"/>
    </xf>
    <xf numFmtId="1" fontId="23" fillId="2" borderId="4" xfId="0" applyNumberFormat="1" applyFont="1" applyFill="1" applyBorder="1" applyAlignment="1">
      <alignment horizontal="center" vertical="top"/>
    </xf>
    <xf numFmtId="0" fontId="23" fillId="2" borderId="39" xfId="0" applyNumberFormat="1" applyFont="1" applyFill="1" applyBorder="1" applyAlignment="1">
      <alignment horizontal="center" vertical="top" wrapText="1"/>
    </xf>
    <xf numFmtId="0" fontId="23" fillId="2" borderId="52" xfId="0" applyNumberFormat="1" applyFont="1" applyFill="1" applyBorder="1" applyAlignment="1">
      <alignment horizontal="center" vertical="top" wrapText="1"/>
    </xf>
    <xf numFmtId="1" fontId="30" fillId="2" borderId="3" xfId="0" applyNumberFormat="1" applyFont="1" applyFill="1" applyBorder="1" applyAlignment="1">
      <alignment horizontal="center" vertical="top"/>
    </xf>
    <xf numFmtId="2" fontId="30" fillId="2" borderId="9" xfId="0" applyNumberFormat="1" applyFont="1" applyFill="1" applyBorder="1" applyAlignment="1">
      <alignment horizontal="center" vertical="top"/>
    </xf>
    <xf numFmtId="1" fontId="30" fillId="2" borderId="8" xfId="0" applyNumberFormat="1" applyFont="1" applyFill="1" applyBorder="1" applyAlignment="1">
      <alignment horizontal="center" vertical="top"/>
    </xf>
    <xf numFmtId="2" fontId="30" fillId="7" borderId="22" xfId="0" applyNumberFormat="1" applyFont="1" applyFill="1" applyBorder="1" applyAlignment="1">
      <alignment horizontal="center" vertical="top"/>
    </xf>
    <xf numFmtId="1" fontId="30" fillId="2" borderId="1" xfId="0" applyNumberFormat="1" applyFont="1" applyFill="1" applyBorder="1" applyAlignment="1">
      <alignment horizontal="center" vertical="top"/>
    </xf>
    <xf numFmtId="2" fontId="30" fillId="2" borderId="8" xfId="0" applyNumberFormat="1" applyFont="1" applyFill="1" applyBorder="1" applyAlignment="1">
      <alignment horizontal="center" vertical="top"/>
    </xf>
    <xf numFmtId="2" fontId="30" fillId="2" borderId="2" xfId="0" applyNumberFormat="1" applyFont="1" applyFill="1" applyBorder="1" applyAlignment="1">
      <alignment horizontal="center" vertical="top"/>
    </xf>
    <xf numFmtId="0" fontId="30" fillId="2" borderId="3" xfId="0" applyNumberFormat="1" applyFont="1" applyFill="1" applyBorder="1" applyAlignment="1">
      <alignment horizontal="center" vertical="top" wrapText="1"/>
    </xf>
    <xf numFmtId="0" fontId="23" fillId="2" borderId="6" xfId="0" applyFont="1" applyFill="1" applyBorder="1" applyAlignment="1">
      <alignment horizontal="center" vertical="top" wrapText="1"/>
    </xf>
    <xf numFmtId="0" fontId="23" fillId="2" borderId="66" xfId="0" applyFont="1" applyFill="1" applyBorder="1" applyAlignment="1">
      <alignment horizontal="center" vertical="top" wrapText="1"/>
    </xf>
    <xf numFmtId="0" fontId="23" fillId="2" borderId="35" xfId="0" applyFont="1" applyFill="1" applyBorder="1" applyAlignment="1">
      <alignment horizontal="center" vertical="top" wrapText="1"/>
    </xf>
    <xf numFmtId="0" fontId="23" fillId="2" borderId="50" xfId="0" applyFont="1" applyFill="1" applyBorder="1" applyAlignment="1">
      <alignment horizontal="center" vertical="top" wrapText="1"/>
    </xf>
    <xf numFmtId="1" fontId="23" fillId="2" borderId="39" xfId="0" applyNumberFormat="1" applyFont="1" applyFill="1" applyBorder="1" applyAlignment="1">
      <alignment horizontal="center" vertical="top"/>
    </xf>
    <xf numFmtId="1" fontId="23" fillId="2" borderId="12" xfId="0" applyNumberFormat="1" applyFont="1" applyFill="1" applyBorder="1" applyAlignment="1">
      <alignment horizontal="center" vertical="top"/>
    </xf>
    <xf numFmtId="1" fontId="23" fillId="2" borderId="7" xfId="0" applyNumberFormat="1" applyFont="1" applyFill="1" applyBorder="1" applyAlignment="1">
      <alignment horizontal="center" vertical="top"/>
    </xf>
    <xf numFmtId="0" fontId="23" fillId="2" borderId="6" xfId="0" applyNumberFormat="1" applyFont="1" applyFill="1" applyBorder="1" applyAlignment="1">
      <alignment horizontal="center" vertical="top" wrapText="1"/>
    </xf>
    <xf numFmtId="0" fontId="23" fillId="2" borderId="17" xfId="0" applyNumberFormat="1" applyFont="1" applyFill="1" applyBorder="1" applyAlignment="1">
      <alignment horizontal="center" vertical="top" wrapText="1"/>
    </xf>
    <xf numFmtId="1" fontId="23" fillId="2" borderId="2" xfId="0" applyNumberFormat="1" applyFont="1" applyFill="1" applyBorder="1" applyAlignment="1">
      <alignment horizontal="center" vertical="top"/>
    </xf>
    <xf numFmtId="0" fontId="23" fillId="2" borderId="1" xfId="0" applyFont="1" applyFill="1" applyBorder="1" applyAlignment="1">
      <alignment horizontal="center" vertical="top" wrapText="1"/>
    </xf>
    <xf numFmtId="0" fontId="23" fillId="2" borderId="47" xfId="0" applyFont="1" applyFill="1" applyBorder="1" applyAlignment="1">
      <alignment horizontal="center" vertical="top" wrapText="1"/>
    </xf>
    <xf numFmtId="1" fontId="23" fillId="2" borderId="66" xfId="0" applyNumberFormat="1" applyFont="1" applyFill="1" applyBorder="1" applyAlignment="1">
      <alignment horizontal="center" vertical="top" wrapText="1"/>
    </xf>
    <xf numFmtId="1" fontId="23" fillId="2" borderId="12" xfId="0" applyNumberFormat="1" applyFont="1" applyFill="1" applyBorder="1" applyAlignment="1">
      <alignment horizontal="center" vertical="top" wrapText="1"/>
    </xf>
    <xf numFmtId="1" fontId="23" fillId="2" borderId="6" xfId="0" applyNumberFormat="1" applyFont="1" applyFill="1" applyBorder="1" applyAlignment="1">
      <alignment horizontal="center" vertical="top" wrapText="1"/>
    </xf>
    <xf numFmtId="1" fontId="23" fillId="2" borderId="50" xfId="0" applyNumberFormat="1" applyFont="1" applyFill="1" applyBorder="1" applyAlignment="1">
      <alignment horizontal="center" vertical="top" wrapText="1"/>
    </xf>
    <xf numFmtId="0" fontId="23" fillId="2" borderId="4" xfId="0" applyFont="1" applyFill="1" applyBorder="1" applyAlignment="1">
      <alignment horizontal="center" vertical="top" wrapText="1"/>
    </xf>
    <xf numFmtId="0" fontId="23" fillId="2" borderId="3" xfId="0" applyFont="1" applyFill="1" applyBorder="1" applyAlignment="1">
      <alignment horizontal="center" vertical="top" wrapText="1"/>
    </xf>
    <xf numFmtId="1" fontId="4" fillId="0" borderId="0" xfId="0" applyNumberFormat="1" applyFont="1" applyFill="1" applyAlignment="1">
      <alignment horizontal="center" vertical="top"/>
    </xf>
    <xf numFmtId="2" fontId="4" fillId="0" borderId="0" xfId="0" applyNumberFormat="1" applyFont="1" applyAlignment="1">
      <alignment horizontal="center" vertical="top"/>
    </xf>
    <xf numFmtId="1" fontId="41" fillId="0" borderId="23" xfId="0" applyNumberFormat="1" applyFont="1" applyBorder="1" applyAlignment="1">
      <alignment horizontal="center" vertical="top"/>
    </xf>
    <xf numFmtId="2" fontId="4" fillId="8" borderId="5" xfId="0" applyNumberFormat="1" applyFont="1" applyFill="1" applyBorder="1" applyAlignment="1">
      <alignment horizontal="center" vertical="top" wrapText="1"/>
    </xf>
    <xf numFmtId="2" fontId="4" fillId="8" borderId="46" xfId="0" applyNumberFormat="1" applyFont="1" applyFill="1" applyBorder="1" applyAlignment="1">
      <alignment horizontal="center" vertical="top" wrapText="1"/>
    </xf>
    <xf numFmtId="2" fontId="4" fillId="8" borderId="42" xfId="0" applyNumberFormat="1" applyFont="1" applyFill="1" applyBorder="1" applyAlignment="1">
      <alignment horizontal="center" vertical="top" wrapText="1"/>
    </xf>
    <xf numFmtId="2" fontId="4" fillId="2" borderId="62" xfId="0" applyNumberFormat="1" applyFont="1" applyFill="1" applyBorder="1" applyAlignment="1">
      <alignment horizontal="center" vertical="top" wrapText="1"/>
    </xf>
    <xf numFmtId="0" fontId="4" fillId="2" borderId="28" xfId="0" applyFont="1" applyFill="1" applyBorder="1" applyAlignment="1">
      <alignment horizontal="center" vertical="top" wrapText="1"/>
    </xf>
    <xf numFmtId="0" fontId="4" fillId="2" borderId="27" xfId="0" applyFont="1" applyFill="1" applyBorder="1" applyAlignment="1">
      <alignment horizontal="center" vertical="top" wrapText="1"/>
    </xf>
    <xf numFmtId="0" fontId="4" fillId="2" borderId="40" xfId="0" applyFont="1" applyFill="1" applyBorder="1" applyAlignment="1">
      <alignment horizontal="center" vertical="top" wrapText="1"/>
    </xf>
    <xf numFmtId="0" fontId="4" fillId="2" borderId="62" xfId="0" applyFont="1" applyFill="1" applyBorder="1" applyAlignment="1">
      <alignment horizontal="center" vertical="top" wrapText="1"/>
    </xf>
    <xf numFmtId="1" fontId="4" fillId="0" borderId="64" xfId="0" applyNumberFormat="1" applyFont="1" applyBorder="1" applyAlignment="1">
      <alignment vertical="top" wrapText="1"/>
    </xf>
    <xf numFmtId="1" fontId="4" fillId="0" borderId="11" xfId="0" applyNumberFormat="1" applyFont="1" applyBorder="1" applyAlignment="1">
      <alignment vertical="top" wrapText="1"/>
    </xf>
    <xf numFmtId="1" fontId="4" fillId="0" borderId="50" xfId="0" applyNumberFormat="1" applyFont="1" applyBorder="1" applyAlignment="1">
      <alignment horizontal="left" vertical="top" wrapText="1"/>
    </xf>
    <xf numFmtId="0" fontId="9" fillId="0" borderId="0" xfId="1" applyFont="1" applyAlignment="1">
      <alignment horizontal="center" vertical="top"/>
    </xf>
    <xf numFmtId="49" fontId="4" fillId="19" borderId="1" xfId="1" applyNumberFormat="1" applyFont="1" applyFill="1" applyBorder="1" applyAlignment="1" applyProtection="1">
      <alignment horizontal="center" vertical="center" wrapText="1"/>
      <protection locked="0"/>
    </xf>
    <xf numFmtId="1" fontId="9" fillId="0" borderId="1" xfId="1" applyNumberFormat="1" applyFont="1" applyBorder="1" applyAlignment="1" applyProtection="1">
      <alignment horizontal="center" vertical="center"/>
      <protection locked="0"/>
    </xf>
    <xf numFmtId="0" fontId="4" fillId="0" borderId="10" xfId="0" applyFont="1" applyBorder="1" applyAlignment="1">
      <alignment horizontal="center" vertical="top"/>
    </xf>
    <xf numFmtId="0" fontId="4" fillId="0" borderId="0" xfId="0" applyFont="1" applyAlignment="1">
      <alignment horizontal="center" vertical="top"/>
    </xf>
    <xf numFmtId="0" fontId="4" fillId="0" borderId="59" xfId="0" applyFont="1" applyBorder="1" applyAlignment="1">
      <alignment horizontal="center" vertical="top"/>
    </xf>
    <xf numFmtId="0" fontId="4" fillId="0" borderId="0" xfId="0" applyFont="1" applyBorder="1" applyAlignment="1">
      <alignment horizontal="center" vertical="top"/>
    </xf>
    <xf numFmtId="0" fontId="4" fillId="0" borderId="0" xfId="0" applyFont="1" applyFill="1" applyBorder="1" applyAlignment="1">
      <alignment horizontal="center" vertical="top"/>
    </xf>
    <xf numFmtId="0" fontId="4" fillId="18" borderId="53" xfId="0" applyFont="1" applyFill="1" applyBorder="1" applyAlignment="1">
      <alignment horizontal="center" vertical="top"/>
    </xf>
    <xf numFmtId="0" fontId="4" fillId="0" borderId="59" xfId="0" applyFont="1" applyFill="1" applyBorder="1" applyAlignment="1">
      <alignment horizontal="center" vertical="top"/>
    </xf>
    <xf numFmtId="0" fontId="4" fillId="0" borderId="10" xfId="0" applyFont="1" applyFill="1" applyBorder="1" applyAlignment="1">
      <alignment horizontal="center" vertical="top"/>
    </xf>
    <xf numFmtId="0" fontId="4" fillId="0" borderId="53" xfId="0" applyFont="1" applyBorder="1" applyAlignment="1">
      <alignment horizontal="center" vertical="top"/>
    </xf>
    <xf numFmtId="2" fontId="9" fillId="0" borderId="10" xfId="1" applyNumberFormat="1" applyFont="1" applyBorder="1" applyAlignment="1">
      <alignment vertical="center"/>
    </xf>
    <xf numFmtId="2" fontId="9" fillId="0" borderId="10" xfId="1" applyNumberFormat="1" applyFont="1" applyBorder="1" applyAlignment="1">
      <alignment vertical="top"/>
    </xf>
    <xf numFmtId="0" fontId="4" fillId="0" borderId="44" xfId="0" applyFont="1" applyBorder="1" applyAlignment="1">
      <alignment horizontal="center" vertical="top"/>
    </xf>
    <xf numFmtId="2" fontId="4" fillId="0" borderId="44" xfId="0" applyNumberFormat="1" applyFont="1" applyBorder="1" applyAlignment="1">
      <alignment horizontal="center" vertical="top" wrapText="1"/>
    </xf>
    <xf numFmtId="2" fontId="4" fillId="0" borderId="4" xfId="0" applyNumberFormat="1" applyFont="1" applyFill="1" applyBorder="1" applyAlignment="1">
      <alignment horizontal="center" vertical="top" wrapText="1"/>
    </xf>
    <xf numFmtId="2" fontId="4" fillId="0" borderId="7" xfId="0" applyNumberFormat="1" applyFont="1" applyBorder="1" applyAlignment="1">
      <alignment horizontal="center" vertical="top" wrapText="1"/>
    </xf>
    <xf numFmtId="0" fontId="9" fillId="0" borderId="0" xfId="1" applyFont="1" applyFill="1" applyAlignment="1">
      <alignment horizontal="center" vertical="center" textRotation="180"/>
    </xf>
    <xf numFmtId="0" fontId="3" fillId="0" borderId="26" xfId="0" applyFont="1" applyFill="1" applyBorder="1">
      <alignment vertical="top"/>
    </xf>
    <xf numFmtId="0" fontId="3" fillId="0" borderId="20" xfId="0" applyFont="1" applyFill="1" applyBorder="1">
      <alignment vertical="top"/>
    </xf>
    <xf numFmtId="0" fontId="3" fillId="0" borderId="25" xfId="0" applyFont="1" applyFill="1" applyBorder="1">
      <alignment vertical="top"/>
    </xf>
    <xf numFmtId="1" fontId="30" fillId="0" borderId="59" xfId="0" applyNumberFormat="1" applyFont="1" applyBorder="1" applyAlignment="1">
      <alignment horizontal="left" vertical="top" wrapText="1"/>
    </xf>
    <xf numFmtId="1" fontId="30" fillId="0" borderId="10" xfId="0" applyNumberFormat="1" applyFont="1" applyBorder="1" applyAlignment="1">
      <alignment horizontal="left" vertical="top" wrapText="1"/>
    </xf>
    <xf numFmtId="2" fontId="28" fillId="0" borderId="42" xfId="0" applyNumberFormat="1" applyFont="1" applyFill="1" applyBorder="1" applyAlignment="1">
      <alignment vertical="top" wrapText="1"/>
    </xf>
    <xf numFmtId="2" fontId="28" fillId="0" borderId="22" xfId="0" applyNumberFormat="1" applyFont="1" applyFill="1" applyBorder="1" applyAlignment="1">
      <alignment vertical="top" wrapText="1"/>
    </xf>
    <xf numFmtId="0" fontId="4" fillId="18" borderId="0" xfId="0" applyFont="1" applyFill="1" applyAlignment="1">
      <alignment horizontal="left" vertical="top"/>
    </xf>
    <xf numFmtId="0" fontId="4" fillId="0" borderId="43" xfId="0" applyFont="1" applyBorder="1" applyAlignment="1">
      <alignment vertical="top" wrapText="1"/>
    </xf>
    <xf numFmtId="0" fontId="4" fillId="0" borderId="22" xfId="0" applyNumberFormat="1" applyFont="1" applyBorder="1" applyAlignment="1">
      <alignment horizontal="left" vertical="top" wrapText="1"/>
    </xf>
    <xf numFmtId="0" fontId="4" fillId="0" borderId="42" xfId="0" applyNumberFormat="1" applyFont="1" applyBorder="1" applyAlignment="1">
      <alignment horizontal="left" vertical="top" wrapText="1"/>
    </xf>
    <xf numFmtId="2" fontId="4" fillId="0" borderId="4" xfId="0" applyNumberFormat="1" applyFont="1" applyBorder="1" applyAlignment="1">
      <alignment horizontal="center" vertical="top" wrapText="1"/>
    </xf>
    <xf numFmtId="0" fontId="4" fillId="2" borderId="56" xfId="0" applyNumberFormat="1" applyFont="1" applyFill="1" applyBorder="1" applyAlignment="1">
      <alignment horizontal="center" vertical="top" wrapText="1"/>
    </xf>
    <xf numFmtId="0" fontId="4" fillId="0" borderId="10" xfId="0" applyNumberFormat="1" applyFont="1" applyBorder="1" applyAlignment="1">
      <alignment vertical="top" wrapText="1"/>
    </xf>
    <xf numFmtId="2" fontId="28" fillId="0" borderId="56" xfId="0" applyNumberFormat="1" applyFont="1" applyFill="1" applyBorder="1" applyAlignment="1">
      <alignment vertical="top" wrapText="1"/>
    </xf>
    <xf numFmtId="1" fontId="28" fillId="0" borderId="52" xfId="0" applyNumberFormat="1" applyFont="1" applyFill="1" applyBorder="1" applyAlignment="1">
      <alignment horizontal="center" vertical="top" wrapText="1"/>
    </xf>
    <xf numFmtId="1" fontId="28" fillId="2" borderId="58" xfId="0" applyNumberFormat="1" applyFont="1" applyFill="1" applyBorder="1" applyAlignment="1">
      <alignment horizontal="center" vertical="top" wrapText="1"/>
    </xf>
    <xf numFmtId="2" fontId="28" fillId="2" borderId="44" xfId="0" applyNumberFormat="1" applyFont="1" applyFill="1" applyBorder="1" applyAlignment="1">
      <alignment horizontal="center" vertical="top" wrapText="1"/>
    </xf>
    <xf numFmtId="2" fontId="28" fillId="5" borderId="41" xfId="0" applyNumberFormat="1" applyFont="1" applyFill="1" applyBorder="1" applyAlignment="1">
      <alignment horizontal="center" vertical="top" wrapText="1"/>
    </xf>
    <xf numFmtId="49" fontId="4" fillId="0" borderId="25" xfId="0" applyNumberFormat="1" applyFont="1" applyFill="1" applyBorder="1" applyAlignment="1">
      <alignment vertical="top" wrapText="1"/>
    </xf>
    <xf numFmtId="0" fontId="30" fillId="0" borderId="0" xfId="0" applyFont="1" applyFill="1" applyAlignment="1">
      <alignment horizontal="right" vertical="top"/>
    </xf>
    <xf numFmtId="0" fontId="4" fillId="0" borderId="43" xfId="0" applyFont="1" applyFill="1" applyBorder="1" applyAlignment="1">
      <alignment horizontal="left" vertical="top" wrapText="1"/>
    </xf>
    <xf numFmtId="0" fontId="4" fillId="0" borderId="0" xfId="0" applyFont="1" applyAlignment="1">
      <alignment horizontal="center" vertical="top"/>
    </xf>
    <xf numFmtId="0" fontId="4" fillId="0" borderId="6" xfId="0" applyFont="1" applyBorder="1" applyAlignment="1">
      <alignment vertical="top" wrapText="1"/>
    </xf>
    <xf numFmtId="0" fontId="4" fillId="0" borderId="11" xfId="0" applyFont="1" applyFill="1" applyBorder="1" applyAlignment="1">
      <alignment horizontal="left" vertical="top" wrapText="1"/>
    </xf>
    <xf numFmtId="0" fontId="4" fillId="0" borderId="33" xfId="0" applyFont="1" applyFill="1" applyBorder="1" applyAlignment="1">
      <alignment vertical="top" wrapText="1"/>
    </xf>
    <xf numFmtId="0" fontId="4" fillId="0" borderId="53" xfId="0" applyFont="1" applyBorder="1" applyAlignment="1">
      <alignment horizontal="center" vertical="top" wrapText="1"/>
    </xf>
    <xf numFmtId="0" fontId="24" fillId="0" borderId="71" xfId="0" applyFont="1" applyFill="1" applyBorder="1" applyAlignment="1">
      <alignment vertical="top" wrapText="1"/>
    </xf>
    <xf numFmtId="0" fontId="4" fillId="0" borderId="12" xfId="0" applyFont="1" applyFill="1" applyBorder="1" applyAlignment="1">
      <alignment horizontal="left" vertical="top" wrapText="1"/>
    </xf>
    <xf numFmtId="0" fontId="4" fillId="0" borderId="6" xfId="0" applyFont="1" applyBorder="1" applyAlignment="1">
      <alignment vertical="top" wrapText="1"/>
    </xf>
    <xf numFmtId="0" fontId="4" fillId="0" borderId="13" xfId="0" applyFont="1" applyFill="1" applyBorder="1" applyAlignment="1">
      <alignment horizontal="center" vertical="top" wrapText="1"/>
    </xf>
    <xf numFmtId="0" fontId="28" fillId="0" borderId="0" xfId="0" applyFont="1" applyAlignment="1">
      <alignment horizontal="center" vertical="top" wrapText="1"/>
    </xf>
    <xf numFmtId="1" fontId="24" fillId="2" borderId="57" xfId="0" applyNumberFormat="1" applyFont="1" applyFill="1" applyBorder="1" applyAlignment="1">
      <alignment horizontal="center" vertical="top" wrapText="1"/>
    </xf>
    <xf numFmtId="1" fontId="4" fillId="0" borderId="33" xfId="0" applyNumberFormat="1" applyFont="1" applyFill="1" applyBorder="1" applyAlignment="1">
      <alignment horizontal="left" vertical="top" wrapText="1"/>
    </xf>
    <xf numFmtId="0" fontId="26" fillId="18" borderId="0" xfId="0" applyFont="1" applyFill="1" applyAlignment="1">
      <alignment horizontal="left" vertical="top" wrapText="1"/>
    </xf>
    <xf numFmtId="0" fontId="4" fillId="2" borderId="50" xfId="0" applyFont="1" applyFill="1" applyBorder="1" applyAlignment="1">
      <alignment horizontal="center" vertical="top" wrapText="1"/>
    </xf>
    <xf numFmtId="2" fontId="4" fillId="2" borderId="38" xfId="0" applyNumberFormat="1" applyFont="1" applyFill="1" applyBorder="1" applyAlignment="1">
      <alignment horizontal="center" vertical="top" wrapText="1"/>
    </xf>
    <xf numFmtId="0" fontId="30" fillId="2" borderId="7" xfId="0" applyFont="1" applyFill="1" applyBorder="1" applyAlignment="1">
      <alignment horizontal="center" vertical="top" wrapText="1"/>
    </xf>
    <xf numFmtId="0" fontId="4" fillId="0" borderId="1" xfId="0" applyNumberFormat="1" applyFont="1" applyBorder="1" applyAlignment="1">
      <alignment horizontal="center" vertical="top" wrapText="1"/>
    </xf>
    <xf numFmtId="0" fontId="4" fillId="0" borderId="59" xfId="0" applyFont="1" applyBorder="1" applyAlignment="1">
      <alignment horizontal="center" vertical="top"/>
    </xf>
    <xf numFmtId="0" fontId="4" fillId="0" borderId="10" xfId="0" applyFont="1" applyBorder="1" applyAlignment="1">
      <alignment horizontal="center" vertical="top"/>
    </xf>
    <xf numFmtId="49" fontId="1" fillId="0" borderId="1" xfId="1" applyNumberFormat="1" applyFont="1" applyFill="1" applyBorder="1" applyAlignment="1">
      <alignment horizontal="center" vertical="center" wrapText="1"/>
    </xf>
    <xf numFmtId="49" fontId="1" fillId="0" borderId="2" xfId="1" applyNumberFormat="1" applyFont="1" applyFill="1" applyBorder="1" applyAlignment="1">
      <alignment horizontal="center" vertical="center" wrapText="1"/>
    </xf>
    <xf numFmtId="49" fontId="1" fillId="0" borderId="4" xfId="1" applyNumberFormat="1" applyFont="1" applyFill="1" applyBorder="1" applyAlignment="1">
      <alignment horizontal="center" vertical="center" wrapText="1"/>
    </xf>
    <xf numFmtId="49" fontId="1" fillId="0" borderId="8" xfId="1" applyNumberFormat="1" applyFont="1" applyFill="1" applyBorder="1" applyAlignment="1">
      <alignment horizontal="center" vertical="center" wrapText="1"/>
    </xf>
    <xf numFmtId="49" fontId="19" fillId="0" borderId="1" xfId="1" applyNumberFormat="1" applyFont="1" applyFill="1" applyBorder="1" applyAlignment="1">
      <alignment horizontal="center" vertical="center" wrapText="1"/>
    </xf>
    <xf numFmtId="49" fontId="19" fillId="0" borderId="2" xfId="1" applyNumberFormat="1" applyFont="1" applyFill="1" applyBorder="1" applyAlignment="1">
      <alignment horizontal="center" vertical="center" wrapText="1"/>
    </xf>
    <xf numFmtId="2" fontId="54" fillId="0" borderId="34" xfId="1" applyNumberFormat="1" applyFont="1" applyFill="1" applyBorder="1" applyAlignment="1">
      <alignment horizontal="right" vertical="center" wrapText="1"/>
    </xf>
    <xf numFmtId="49" fontId="1" fillId="0" borderId="35" xfId="1" applyNumberFormat="1" applyFont="1" applyFill="1" applyBorder="1" applyAlignment="1">
      <alignment horizontal="center" vertical="center" wrapText="1"/>
    </xf>
    <xf numFmtId="49" fontId="19" fillId="0" borderId="35" xfId="1" applyNumberFormat="1" applyFont="1" applyFill="1" applyBorder="1" applyAlignment="1">
      <alignment horizontal="center" vertical="center" wrapText="1"/>
    </xf>
    <xf numFmtId="49" fontId="1" fillId="0" borderId="6" xfId="1" applyNumberFormat="1" applyFont="1" applyFill="1" applyBorder="1" applyAlignment="1">
      <alignment horizontal="center" vertical="center" wrapText="1"/>
    </xf>
    <xf numFmtId="0" fontId="9" fillId="0" borderId="0" xfId="1" applyFont="1" applyFill="1" applyAlignment="1">
      <alignment vertical="top"/>
    </xf>
    <xf numFmtId="0" fontId="9" fillId="0" borderId="0" xfId="1" applyFont="1" applyFill="1" applyBorder="1" applyAlignment="1">
      <alignment vertical="top"/>
    </xf>
    <xf numFmtId="0" fontId="28" fillId="2" borderId="8" xfId="0" applyNumberFormat="1" applyFont="1" applyFill="1" applyBorder="1" applyAlignment="1">
      <alignment horizontal="center" vertical="top" wrapText="1"/>
    </xf>
    <xf numFmtId="0" fontId="28" fillId="2" borderId="2" xfId="0" applyNumberFormat="1" applyFont="1" applyFill="1" applyBorder="1" applyAlignment="1">
      <alignment horizontal="center" vertical="top" wrapText="1"/>
    </xf>
    <xf numFmtId="0" fontId="23" fillId="0" borderId="41" xfId="0" applyNumberFormat="1" applyFont="1" applyBorder="1" applyAlignment="1" applyProtection="1">
      <alignment vertical="top" wrapText="1"/>
    </xf>
    <xf numFmtId="0" fontId="4" fillId="23" borderId="53" xfId="0" applyFont="1" applyFill="1" applyBorder="1" applyAlignment="1">
      <alignment horizontal="center" vertical="top"/>
    </xf>
    <xf numFmtId="0" fontId="4" fillId="0" borderId="6" xfId="0" applyFont="1" applyFill="1" applyBorder="1" applyAlignment="1">
      <alignment vertical="top" wrapText="1"/>
    </xf>
    <xf numFmtId="0" fontId="30" fillId="0" borderId="46" xfId="0" applyFont="1" applyBorder="1" applyAlignment="1">
      <alignment horizontal="left" vertical="top" wrapText="1"/>
    </xf>
    <xf numFmtId="0" fontId="30" fillId="0" borderId="68" xfId="0" applyFont="1" applyFill="1" applyBorder="1" applyAlignment="1">
      <alignment horizontal="left" vertical="top" wrapText="1"/>
    </xf>
    <xf numFmtId="0" fontId="30" fillId="0" borderId="23" xfId="0" applyFont="1" applyFill="1" applyBorder="1" applyAlignment="1">
      <alignment vertical="top" wrapText="1"/>
    </xf>
    <xf numFmtId="0" fontId="4" fillId="0" borderId="59" xfId="0" applyFont="1" applyBorder="1" applyAlignment="1">
      <alignment horizontal="center" vertical="top"/>
    </xf>
    <xf numFmtId="0" fontId="30" fillId="0" borderId="13" xfId="0" applyFont="1" applyBorder="1" applyAlignment="1">
      <alignment vertical="top" wrapText="1"/>
    </xf>
    <xf numFmtId="0" fontId="4" fillId="0" borderId="0" xfId="0" applyFont="1" applyBorder="1" applyAlignment="1">
      <alignment horizontal="center" vertical="top"/>
    </xf>
    <xf numFmtId="0" fontId="28" fillId="0" borderId="23" xfId="0" applyFont="1" applyBorder="1" applyAlignment="1">
      <alignment vertical="top" wrapText="1"/>
    </xf>
    <xf numFmtId="0" fontId="4" fillId="0" borderId="11" xfId="0" applyFont="1" applyFill="1" applyBorder="1" applyAlignment="1">
      <alignment vertical="top" wrapText="1"/>
    </xf>
    <xf numFmtId="0" fontId="28" fillId="0" borderId="45" xfId="0" applyFont="1" applyFill="1" applyBorder="1" applyAlignment="1">
      <alignment horizontal="center" vertical="top" wrapText="1"/>
    </xf>
    <xf numFmtId="0" fontId="30" fillId="0" borderId="23" xfId="0" applyFont="1" applyBorder="1" applyAlignment="1">
      <alignment horizontal="left" vertical="top" wrapText="1"/>
    </xf>
    <xf numFmtId="0" fontId="4" fillId="0" borderId="68" xfId="0" applyFont="1" applyFill="1" applyBorder="1" applyAlignment="1">
      <alignment horizontal="left" vertical="top" wrapText="1"/>
    </xf>
    <xf numFmtId="0" fontId="4" fillId="0" borderId="69" xfId="0" applyFont="1" applyFill="1" applyBorder="1" applyAlignment="1">
      <alignment vertical="top" wrapText="1"/>
    </xf>
    <xf numFmtId="0" fontId="4" fillId="0" borderId="71" xfId="0" applyFont="1" applyFill="1" applyBorder="1" applyAlignment="1">
      <alignment vertical="top" wrapText="1"/>
    </xf>
    <xf numFmtId="0" fontId="4" fillId="0" borderId="71" xfId="0" applyFont="1" applyFill="1" applyBorder="1" applyAlignment="1">
      <alignment horizontal="left" vertical="top" wrapText="1"/>
    </xf>
    <xf numFmtId="0" fontId="23" fillId="0" borderId="46" xfId="0" applyFont="1" applyFill="1" applyBorder="1" applyAlignment="1">
      <alignment vertical="top" wrapText="1"/>
    </xf>
    <xf numFmtId="0" fontId="4" fillId="0" borderId="56" xfId="0" applyNumberFormat="1" applyFont="1" applyBorder="1" applyAlignment="1">
      <alignment vertical="top" wrapText="1"/>
    </xf>
    <xf numFmtId="2" fontId="4" fillId="2" borderId="52" xfId="0" applyNumberFormat="1" applyFont="1" applyFill="1" applyBorder="1" applyAlignment="1">
      <alignment horizontal="center" vertical="top"/>
    </xf>
    <xf numFmtId="2" fontId="4" fillId="7" borderId="58" xfId="0" applyNumberFormat="1" applyFont="1" applyFill="1" applyBorder="1" applyAlignment="1">
      <alignment horizontal="center" vertical="top" wrapText="1"/>
    </xf>
    <xf numFmtId="1" fontId="4" fillId="2" borderId="51" xfId="0" applyNumberFormat="1" applyFont="1" applyFill="1" applyBorder="1" applyAlignment="1">
      <alignment horizontal="center" vertical="top"/>
    </xf>
    <xf numFmtId="1" fontId="4" fillId="0" borderId="0" xfId="0" applyNumberFormat="1" applyFont="1" applyBorder="1" applyAlignment="1">
      <alignment vertical="top"/>
    </xf>
    <xf numFmtId="0" fontId="4" fillId="0" borderId="59" xfId="0" applyFont="1" applyBorder="1" applyAlignment="1">
      <alignment vertical="top"/>
    </xf>
    <xf numFmtId="0" fontId="4" fillId="0" borderId="10" xfId="0" applyFont="1" applyBorder="1" applyAlignment="1">
      <alignment vertical="top"/>
    </xf>
    <xf numFmtId="0" fontId="4" fillId="0" borderId="50" xfId="0" applyFont="1" applyBorder="1" applyAlignment="1">
      <alignment horizontal="center" vertical="top" wrapText="1"/>
    </xf>
    <xf numFmtId="0" fontId="4" fillId="18" borderId="59" xfId="0" applyFont="1" applyFill="1" applyBorder="1" applyAlignment="1">
      <alignment horizontal="center" vertical="top"/>
    </xf>
    <xf numFmtId="2" fontId="28" fillId="2" borderId="28" xfId="0" applyNumberFormat="1" applyFont="1" applyFill="1" applyBorder="1" applyAlignment="1">
      <alignment horizontal="center" vertical="top"/>
    </xf>
    <xf numFmtId="2" fontId="28" fillId="2" borderId="62" xfId="0" applyNumberFormat="1" applyFont="1" applyFill="1" applyBorder="1" applyAlignment="1">
      <alignment horizontal="center" vertical="top"/>
    </xf>
    <xf numFmtId="0" fontId="44" fillId="0" borderId="5" xfId="0" applyFont="1" applyFill="1" applyBorder="1" applyAlignment="1">
      <alignment horizontal="left" vertical="top" wrapText="1"/>
    </xf>
    <xf numFmtId="0" fontId="44" fillId="0" borderId="1" xfId="0" applyFont="1" applyFill="1" applyBorder="1" applyAlignment="1">
      <alignment horizontal="center" vertical="top" wrapText="1"/>
    </xf>
    <xf numFmtId="2" fontId="28" fillId="5" borderId="42" xfId="0" applyNumberFormat="1" applyFont="1" applyFill="1" applyBorder="1" applyAlignment="1">
      <alignment horizontal="center" vertical="top"/>
    </xf>
    <xf numFmtId="1" fontId="24" fillId="2" borderId="52" xfId="0" applyNumberFormat="1" applyFont="1" applyFill="1" applyBorder="1" applyAlignment="1">
      <alignment horizontal="center" vertical="top" wrapText="1"/>
    </xf>
    <xf numFmtId="2" fontId="24" fillId="2" borderId="51" xfId="0" applyNumberFormat="1" applyFont="1" applyFill="1" applyBorder="1" applyAlignment="1">
      <alignment horizontal="center" vertical="top"/>
    </xf>
    <xf numFmtId="0" fontId="28" fillId="0" borderId="12" xfId="0" applyFont="1" applyFill="1" applyBorder="1" applyAlignment="1">
      <alignment horizontal="center" vertical="top" wrapText="1"/>
    </xf>
    <xf numFmtId="0" fontId="28" fillId="2" borderId="52" xfId="0" applyFont="1" applyFill="1" applyBorder="1" applyAlignment="1">
      <alignment horizontal="center" vertical="top" wrapText="1"/>
    </xf>
    <xf numFmtId="0" fontId="28" fillId="0" borderId="43" xfId="0" applyFont="1" applyFill="1" applyBorder="1" applyAlignment="1">
      <alignment vertical="top" wrapText="1"/>
    </xf>
    <xf numFmtId="0" fontId="28" fillId="0" borderId="45" xfId="0" applyFont="1" applyBorder="1" applyAlignment="1">
      <alignment horizontal="center" vertical="top" wrapText="1"/>
    </xf>
    <xf numFmtId="0" fontId="44" fillId="0" borderId="1" xfId="0" applyNumberFormat="1" applyFont="1" applyFill="1" applyBorder="1" applyAlignment="1">
      <alignment horizontal="center" vertical="top" wrapText="1"/>
    </xf>
    <xf numFmtId="2" fontId="28" fillId="2" borderId="62" xfId="0" applyNumberFormat="1" applyFont="1" applyFill="1" applyBorder="1" applyAlignment="1">
      <alignment horizontal="center" vertical="top" wrapText="1"/>
    </xf>
    <xf numFmtId="0" fontId="28" fillId="0" borderId="6" xfId="0" applyFont="1" applyBorder="1" applyAlignment="1">
      <alignment horizontal="left" vertical="top" wrapText="1"/>
    </xf>
    <xf numFmtId="0" fontId="28" fillId="0" borderId="50" xfId="0" applyFont="1" applyBorder="1" applyAlignment="1">
      <alignment horizontal="left" vertical="top" wrapText="1"/>
    </xf>
    <xf numFmtId="0" fontId="28" fillId="0" borderId="44" xfId="0" applyFont="1" applyFill="1" applyBorder="1" applyAlignment="1">
      <alignment horizontal="center" vertical="top" wrapText="1"/>
    </xf>
    <xf numFmtId="0" fontId="23" fillId="0" borderId="10" xfId="0" applyFont="1" applyBorder="1" applyAlignment="1">
      <alignment vertical="top" wrapText="1"/>
    </xf>
    <xf numFmtId="0" fontId="30" fillId="0" borderId="57" xfId="0" applyFont="1" applyBorder="1" applyAlignment="1">
      <alignment horizontal="center" vertical="top" wrapText="1"/>
    </xf>
    <xf numFmtId="1" fontId="30" fillId="2" borderId="57" xfId="0" applyNumberFormat="1" applyFont="1" applyFill="1" applyBorder="1" applyAlignment="1">
      <alignment horizontal="center" vertical="top" wrapText="1"/>
    </xf>
    <xf numFmtId="1" fontId="30" fillId="2" borderId="49" xfId="0" applyNumberFormat="1" applyFont="1" applyFill="1" applyBorder="1" applyAlignment="1">
      <alignment horizontal="center" vertical="top" wrapText="1"/>
    </xf>
    <xf numFmtId="2" fontId="30" fillId="5" borderId="68" xfId="0" applyNumberFormat="1" applyFont="1" applyFill="1" applyBorder="1" applyAlignment="1">
      <alignment horizontal="center" vertical="top" wrapText="1"/>
    </xf>
    <xf numFmtId="0" fontId="30" fillId="0" borderId="65" xfId="0" applyFont="1" applyBorder="1" applyAlignment="1">
      <alignment horizontal="left" vertical="top" wrapText="1"/>
    </xf>
    <xf numFmtId="2" fontId="28" fillId="5" borderId="39" xfId="0" applyNumberFormat="1" applyFont="1" applyFill="1" applyBorder="1" applyAlignment="1">
      <alignment horizontal="center" vertical="top"/>
    </xf>
    <xf numFmtId="2" fontId="28" fillId="0" borderId="47" xfId="0" applyNumberFormat="1" applyFont="1" applyFill="1" applyBorder="1" applyAlignment="1">
      <alignment horizontal="center" vertical="top" wrapText="1"/>
    </xf>
    <xf numFmtId="0" fontId="4" fillId="0" borderId="10" xfId="0" applyFont="1" applyBorder="1" applyAlignment="1">
      <alignment horizontal="left" vertical="top" wrapText="1"/>
    </xf>
    <xf numFmtId="1" fontId="4" fillId="2" borderId="62" xfId="0" applyNumberFormat="1" applyFont="1" applyFill="1" applyBorder="1" applyAlignment="1">
      <alignment horizontal="center" vertical="top" wrapText="1"/>
    </xf>
    <xf numFmtId="1" fontId="4" fillId="2" borderId="28" xfId="0" applyNumberFormat="1" applyFont="1" applyFill="1" applyBorder="1" applyAlignment="1">
      <alignment horizontal="center" vertical="top" wrapText="1"/>
    </xf>
    <xf numFmtId="0" fontId="4" fillId="0" borderId="14" xfId="0" applyFont="1" applyBorder="1" applyAlignment="1">
      <alignment horizontal="left" vertical="top" wrapText="1"/>
    </xf>
    <xf numFmtId="0" fontId="4" fillId="0" borderId="15" xfId="0" applyFont="1" applyBorder="1" applyAlignment="1">
      <alignment horizontal="left" vertical="top" wrapText="1"/>
    </xf>
    <xf numFmtId="0" fontId="4" fillId="0" borderId="16" xfId="0" applyFont="1" applyBorder="1" applyAlignment="1">
      <alignment horizontal="left" vertical="top" wrapText="1"/>
    </xf>
    <xf numFmtId="0" fontId="4" fillId="0" borderId="1" xfId="0" applyNumberFormat="1" applyFont="1" applyFill="1" applyBorder="1" applyAlignment="1">
      <alignment horizontal="center" vertical="top" wrapText="1"/>
    </xf>
    <xf numFmtId="0" fontId="4" fillId="0" borderId="3" xfId="0" applyNumberFormat="1" applyFont="1" applyFill="1" applyBorder="1" applyAlignment="1">
      <alignment horizontal="center" vertical="top" wrapText="1"/>
    </xf>
    <xf numFmtId="1" fontId="4" fillId="2" borderId="6" xfId="0" applyNumberFormat="1" applyFont="1" applyFill="1" applyBorder="1" applyAlignment="1">
      <alignment horizontal="center" vertical="top"/>
    </xf>
    <xf numFmtId="0" fontId="30" fillId="0" borderId="16" xfId="0" applyFont="1" applyFill="1" applyBorder="1" applyAlignment="1">
      <alignment vertical="top" wrapText="1"/>
    </xf>
    <xf numFmtId="2" fontId="30" fillId="2" borderId="3" xfId="0" applyNumberFormat="1" applyFont="1" applyFill="1" applyBorder="1" applyAlignment="1">
      <alignment horizontal="center" vertical="top" wrapText="1"/>
    </xf>
    <xf numFmtId="0" fontId="30" fillId="0" borderId="12" xfId="0" applyFont="1" applyFill="1" applyBorder="1" applyAlignment="1">
      <alignment horizontal="center" vertical="top" wrapText="1"/>
    </xf>
    <xf numFmtId="0" fontId="30" fillId="0" borderId="6" xfId="0" applyFont="1" applyFill="1" applyBorder="1" applyAlignment="1">
      <alignment horizontal="center" vertical="top" wrapText="1"/>
    </xf>
    <xf numFmtId="2" fontId="30" fillId="0" borderId="45" xfId="0" applyNumberFormat="1" applyFont="1" applyFill="1" applyBorder="1" applyAlignment="1">
      <alignment horizontal="center" vertical="top" wrapText="1"/>
    </xf>
    <xf numFmtId="0" fontId="4" fillId="0" borderId="73" xfId="0" applyFont="1" applyFill="1" applyBorder="1" applyAlignment="1">
      <alignment vertical="top" wrapText="1"/>
    </xf>
    <xf numFmtId="0" fontId="4" fillId="0" borderId="60" xfId="0" applyFont="1" applyFill="1" applyBorder="1" applyAlignment="1">
      <alignment vertical="top" wrapText="1"/>
    </xf>
    <xf numFmtId="0" fontId="4" fillId="0" borderId="56" xfId="0" applyFont="1" applyFill="1" applyBorder="1" applyAlignment="1">
      <alignment vertical="top" wrapText="1"/>
    </xf>
    <xf numFmtId="1" fontId="4" fillId="0" borderId="10" xfId="0" applyNumberFormat="1" applyFont="1" applyFill="1" applyBorder="1" applyAlignment="1">
      <alignment horizontal="left" vertical="top" wrapText="1"/>
    </xf>
    <xf numFmtId="1" fontId="4" fillId="2" borderId="57" xfId="0" applyNumberFormat="1" applyFont="1" applyFill="1" applyBorder="1" applyAlignment="1">
      <alignment horizontal="center" vertical="top"/>
    </xf>
    <xf numFmtId="2" fontId="4" fillId="2" borderId="1" xfId="0" applyNumberFormat="1" applyFont="1" applyFill="1" applyBorder="1" applyAlignment="1">
      <alignment horizontal="center" vertical="top"/>
    </xf>
    <xf numFmtId="1" fontId="4" fillId="2" borderId="16" xfId="0" applyNumberFormat="1" applyFont="1" applyFill="1" applyBorder="1" applyAlignment="1">
      <alignment horizontal="center" vertical="top" wrapText="1"/>
    </xf>
    <xf numFmtId="1" fontId="4" fillId="2" borderId="59" xfId="0" applyNumberFormat="1" applyFont="1" applyFill="1" applyBorder="1" applyAlignment="1">
      <alignment horizontal="center" vertical="top" wrapText="1"/>
    </xf>
    <xf numFmtId="2" fontId="24" fillId="2" borderId="48" xfId="0" applyNumberFormat="1" applyFont="1" applyFill="1" applyBorder="1" applyAlignment="1">
      <alignment horizontal="center" vertical="top" wrapText="1"/>
    </xf>
    <xf numFmtId="0" fontId="28" fillId="2" borderId="6" xfId="0" applyNumberFormat="1" applyFont="1" applyFill="1" applyBorder="1" applyAlignment="1">
      <alignment horizontal="center" vertical="top" wrapText="1"/>
    </xf>
    <xf numFmtId="0" fontId="28" fillId="2" borderId="50" xfId="0" applyNumberFormat="1" applyFont="1" applyFill="1" applyBorder="1" applyAlignment="1">
      <alignment horizontal="center" vertical="top" wrapText="1"/>
    </xf>
    <xf numFmtId="1" fontId="28" fillId="2" borderId="57" xfId="0" applyNumberFormat="1" applyFont="1" applyFill="1" applyBorder="1" applyAlignment="1">
      <alignment horizontal="center" vertical="top" wrapText="1"/>
    </xf>
    <xf numFmtId="1" fontId="28" fillId="0" borderId="44" xfId="0" applyNumberFormat="1" applyFont="1" applyFill="1" applyBorder="1" applyAlignment="1">
      <alignment horizontal="center" vertical="top" wrapText="1"/>
    </xf>
    <xf numFmtId="0" fontId="28" fillId="2" borderId="51" xfId="0" applyFont="1" applyFill="1" applyBorder="1" applyAlignment="1">
      <alignment horizontal="center" vertical="top" wrapText="1"/>
    </xf>
    <xf numFmtId="0" fontId="4" fillId="0" borderId="73" xfId="0" applyFont="1" applyBorder="1" applyAlignment="1">
      <alignment vertical="top" wrapText="1"/>
    </xf>
    <xf numFmtId="0" fontId="4" fillId="0" borderId="33" xfId="0" applyFont="1" applyBorder="1" applyAlignment="1">
      <alignment vertical="top" wrapText="1"/>
    </xf>
    <xf numFmtId="0" fontId="4" fillId="0" borderId="60" xfId="0" applyFont="1" applyBorder="1" applyAlignment="1">
      <alignment vertical="top" wrapText="1"/>
    </xf>
    <xf numFmtId="0" fontId="23" fillId="0" borderId="12" xfId="0" applyFont="1" applyBorder="1" applyAlignment="1">
      <alignment horizontal="center" vertical="top" wrapText="1"/>
    </xf>
    <xf numFmtId="0" fontId="23" fillId="0" borderId="56" xfId="0" applyFont="1" applyBorder="1" applyAlignment="1">
      <alignment horizontal="center" vertical="top" wrapText="1"/>
    </xf>
    <xf numFmtId="1" fontId="4" fillId="14" borderId="3" xfId="0" applyNumberFormat="1" applyFont="1" applyFill="1" applyBorder="1" applyAlignment="1">
      <alignment horizontal="center" vertical="top" wrapText="1"/>
    </xf>
    <xf numFmtId="1" fontId="4" fillId="14" borderId="45" xfId="0" applyNumberFormat="1" applyFont="1" applyFill="1" applyBorder="1" applyAlignment="1">
      <alignment horizontal="center" vertical="top" wrapText="1"/>
    </xf>
    <xf numFmtId="1" fontId="28" fillId="0" borderId="12" xfId="0" applyNumberFormat="1" applyFont="1" applyBorder="1" applyAlignment="1">
      <alignment horizontal="center" vertical="top" wrapText="1"/>
    </xf>
    <xf numFmtId="1" fontId="28" fillId="0" borderId="6" xfId="0" applyNumberFormat="1" applyFont="1" applyBorder="1" applyAlignment="1">
      <alignment horizontal="center" vertical="top" wrapText="1"/>
    </xf>
    <xf numFmtId="1" fontId="28" fillId="0" borderId="50" xfId="0" applyNumberFormat="1" applyFont="1" applyBorder="1" applyAlignment="1">
      <alignment horizontal="center" vertical="top" wrapText="1"/>
    </xf>
    <xf numFmtId="0" fontId="30" fillId="0" borderId="50" xfId="0" applyFont="1" applyFill="1" applyBorder="1" applyAlignment="1">
      <alignment horizontal="center" vertical="top" wrapText="1"/>
    </xf>
    <xf numFmtId="1" fontId="4" fillId="0" borderId="11" xfId="0" applyNumberFormat="1" applyFont="1" applyFill="1" applyBorder="1" applyAlignment="1">
      <alignment horizontal="center" vertical="top" wrapText="1"/>
    </xf>
    <xf numFmtId="1" fontId="4" fillId="0" borderId="17" xfId="0" applyNumberFormat="1" applyFont="1" applyFill="1" applyBorder="1" applyAlignment="1">
      <alignment horizontal="center" vertical="top" wrapText="1"/>
    </xf>
    <xf numFmtId="1" fontId="4" fillId="0" borderId="50" xfId="0" applyNumberFormat="1" applyFont="1" applyFill="1" applyBorder="1" applyAlignment="1">
      <alignment horizontal="center" vertical="top" wrapText="1"/>
    </xf>
    <xf numFmtId="2" fontId="4" fillId="14" borderId="3" xfId="0" applyNumberFormat="1" applyFont="1" applyFill="1" applyBorder="1" applyAlignment="1">
      <alignment horizontal="center" vertical="top" wrapText="1"/>
    </xf>
    <xf numFmtId="0" fontId="4" fillId="0" borderId="46" xfId="0" applyFont="1" applyFill="1" applyBorder="1" applyAlignment="1">
      <alignment horizontal="left" vertical="top" wrapText="1"/>
    </xf>
    <xf numFmtId="0" fontId="4" fillId="0" borderId="23"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23" xfId="0" applyFont="1" applyFill="1" applyBorder="1" applyAlignment="1">
      <alignment vertical="top" wrapText="1"/>
    </xf>
    <xf numFmtId="0" fontId="4" fillId="0" borderId="71" xfId="0" applyFont="1" applyFill="1" applyBorder="1" applyAlignment="1">
      <alignment vertical="top" wrapText="1"/>
    </xf>
    <xf numFmtId="0" fontId="4" fillId="0" borderId="69" xfId="0" applyFont="1" applyFill="1" applyBorder="1" applyAlignment="1">
      <alignment vertical="top" wrapText="1"/>
    </xf>
    <xf numFmtId="0" fontId="24" fillId="0" borderId="0" xfId="0" applyFont="1" applyFill="1" applyBorder="1" applyAlignment="1">
      <alignment horizontal="center" vertical="top" wrapText="1"/>
    </xf>
    <xf numFmtId="1" fontId="4" fillId="0" borderId="45" xfId="0" applyNumberFormat="1" applyFont="1" applyBorder="1" applyAlignment="1">
      <alignment horizontal="right" vertical="top" wrapText="1"/>
    </xf>
    <xf numFmtId="1" fontId="4" fillId="0" borderId="34" xfId="0" applyNumberFormat="1" applyFont="1" applyBorder="1" applyAlignment="1">
      <alignment horizontal="right" vertical="top" wrapText="1"/>
    </xf>
    <xf numFmtId="0" fontId="4" fillId="0" borderId="43" xfId="0" applyFont="1" applyFill="1" applyBorder="1" applyAlignment="1">
      <alignment vertical="top" wrapText="1"/>
    </xf>
    <xf numFmtId="2" fontId="4" fillId="2" borderId="47" xfId="0" applyNumberFormat="1" applyFont="1" applyFill="1" applyBorder="1" applyAlignment="1">
      <alignment horizontal="center" vertical="top"/>
    </xf>
    <xf numFmtId="2" fontId="4" fillId="15" borderId="39" xfId="0" applyNumberFormat="1" applyFont="1" applyFill="1" applyBorder="1" applyAlignment="1">
      <alignment horizontal="center" vertical="top"/>
    </xf>
    <xf numFmtId="0" fontId="4" fillId="0" borderId="0" xfId="0" applyFont="1" applyBorder="1" applyAlignment="1"/>
    <xf numFmtId="2" fontId="4" fillId="2" borderId="44" xfId="0" applyNumberFormat="1" applyFont="1" applyFill="1" applyBorder="1" applyAlignment="1">
      <alignment horizontal="center" vertical="top" wrapText="1"/>
    </xf>
    <xf numFmtId="0" fontId="4" fillId="0" borderId="53" xfId="0" applyFont="1" applyBorder="1" applyAlignment="1">
      <alignment horizontal="center" vertical="top"/>
    </xf>
    <xf numFmtId="2" fontId="28" fillId="5" borderId="42" xfId="0" applyNumberFormat="1" applyFont="1" applyFill="1" applyBorder="1" applyAlignment="1">
      <alignment horizontal="center" vertical="top" wrapText="1"/>
    </xf>
    <xf numFmtId="2" fontId="4" fillId="24" borderId="3" xfId="0" applyNumberFormat="1" applyFont="1" applyFill="1" applyBorder="1" applyAlignment="1">
      <alignment horizontal="center" vertical="top" wrapText="1"/>
    </xf>
    <xf numFmtId="0" fontId="4" fillId="0" borderId="6" xfId="0" applyFont="1" applyFill="1" applyBorder="1" applyAlignment="1">
      <alignment vertical="top" wrapText="1"/>
    </xf>
    <xf numFmtId="0" fontId="4" fillId="0" borderId="46" xfId="0" applyFont="1" applyFill="1" applyBorder="1" applyAlignment="1">
      <alignment vertical="top" wrapText="1"/>
    </xf>
    <xf numFmtId="1" fontId="4" fillId="0" borderId="0" xfId="0" applyNumberFormat="1" applyFont="1" applyFill="1" applyBorder="1" applyAlignment="1">
      <alignment horizontal="center" vertical="top" wrapText="1"/>
    </xf>
    <xf numFmtId="0" fontId="30" fillId="0" borderId="10" xfId="0" applyFont="1" applyBorder="1" applyAlignment="1">
      <alignment vertical="top" wrapText="1"/>
    </xf>
    <xf numFmtId="0" fontId="30" fillId="0" borderId="0" xfId="0" applyNumberFormat="1" applyFont="1" applyBorder="1" applyAlignment="1">
      <alignment vertical="top" wrapText="1"/>
    </xf>
    <xf numFmtId="0" fontId="4" fillId="0" borderId="59" xfId="0" applyFont="1" applyBorder="1" applyAlignment="1">
      <alignment vertical="top" wrapText="1"/>
    </xf>
    <xf numFmtId="0" fontId="40" fillId="0" borderId="59" xfId="0" applyFont="1" applyBorder="1" applyAlignment="1">
      <alignment vertical="top" wrapText="1"/>
    </xf>
    <xf numFmtId="0" fontId="30" fillId="0" borderId="59" xfId="0" applyFont="1" applyBorder="1" applyAlignment="1">
      <alignment vertical="top" wrapText="1"/>
    </xf>
    <xf numFmtId="0" fontId="4" fillId="0" borderId="10" xfId="0" applyFont="1" applyBorder="1" applyAlignment="1">
      <alignment vertical="top" wrapText="1"/>
    </xf>
    <xf numFmtId="0" fontId="40" fillId="0" borderId="10" xfId="0" applyFont="1" applyBorder="1" applyAlignment="1">
      <alignment vertical="top" wrapText="1"/>
    </xf>
    <xf numFmtId="0" fontId="4" fillId="0" borderId="46" xfId="0" applyFont="1" applyBorder="1" applyAlignment="1">
      <alignment vertical="top" wrapText="1"/>
    </xf>
    <xf numFmtId="0" fontId="4" fillId="0" borderId="23" xfId="0" applyFont="1" applyBorder="1" applyAlignment="1">
      <alignment vertical="top" wrapText="1"/>
    </xf>
    <xf numFmtId="0" fontId="4" fillId="0" borderId="64" xfId="0" applyFont="1" applyBorder="1" applyAlignment="1">
      <alignment vertical="top" wrapText="1"/>
    </xf>
    <xf numFmtId="0" fontId="28" fillId="0" borderId="46" xfId="0" applyFont="1" applyBorder="1" applyAlignment="1">
      <alignment vertical="top" wrapText="1"/>
    </xf>
    <xf numFmtId="0" fontId="23" fillId="0" borderId="46" xfId="0" applyFont="1" applyFill="1" applyBorder="1" applyAlignment="1">
      <alignment vertical="top" wrapText="1"/>
    </xf>
    <xf numFmtId="1" fontId="4" fillId="2" borderId="65" xfId="0" applyNumberFormat="1" applyFont="1" applyFill="1" applyBorder="1" applyAlignment="1">
      <alignment horizontal="center" vertical="top"/>
    </xf>
    <xf numFmtId="0" fontId="4" fillId="0" borderId="69" xfId="0" applyFont="1" applyBorder="1" applyAlignment="1">
      <alignment vertical="top"/>
    </xf>
    <xf numFmtId="0" fontId="4" fillId="0" borderId="69" xfId="0" applyNumberFormat="1" applyFont="1" applyFill="1" applyBorder="1" applyAlignment="1">
      <alignment vertical="top" wrapText="1"/>
    </xf>
    <xf numFmtId="1" fontId="4" fillId="2" borderId="50" xfId="0" applyNumberFormat="1" applyFont="1" applyFill="1" applyBorder="1" applyAlignment="1">
      <alignment horizontal="center" vertical="top"/>
    </xf>
    <xf numFmtId="0" fontId="4" fillId="0" borderId="42" xfId="0" applyFont="1" applyFill="1" applyBorder="1" applyAlignment="1">
      <alignment horizontal="left" vertical="top" wrapText="1"/>
    </xf>
    <xf numFmtId="0" fontId="4" fillId="0" borderId="23" xfId="0" applyFont="1" applyFill="1" applyBorder="1" applyAlignment="1">
      <alignment vertical="top" wrapText="1"/>
    </xf>
    <xf numFmtId="0" fontId="30" fillId="0" borderId="23" xfId="0" applyFont="1" applyBorder="1" applyAlignment="1">
      <alignment horizontal="left" vertical="top" wrapText="1"/>
    </xf>
    <xf numFmtId="0" fontId="30" fillId="0" borderId="68" xfId="0" applyFont="1" applyBorder="1" applyAlignment="1">
      <alignment horizontal="left" vertical="top" wrapText="1"/>
    </xf>
    <xf numFmtId="0" fontId="4" fillId="0" borderId="0" xfId="0" applyFont="1" applyAlignment="1">
      <alignment horizontal="center" vertical="top" wrapText="1"/>
    </xf>
    <xf numFmtId="0" fontId="4" fillId="0" borderId="0" xfId="0" applyFont="1" applyBorder="1" applyAlignment="1">
      <alignment horizontal="center" vertical="top" wrapText="1"/>
    </xf>
    <xf numFmtId="1" fontId="4" fillId="0" borderId="68" xfId="0" applyNumberFormat="1" applyFont="1" applyBorder="1" applyAlignment="1">
      <alignment horizontal="left" vertical="top" wrapText="1"/>
    </xf>
    <xf numFmtId="0" fontId="4" fillId="0" borderId="71" xfId="0" applyFont="1" applyFill="1" applyBorder="1" applyAlignment="1">
      <alignment vertical="top" wrapText="1"/>
    </xf>
    <xf numFmtId="0" fontId="4" fillId="0" borderId="11" xfId="0" applyFont="1" applyFill="1" applyBorder="1" applyAlignment="1">
      <alignment vertical="top" wrapText="1"/>
    </xf>
    <xf numFmtId="0" fontId="4" fillId="0" borderId="69" xfId="0" applyFont="1" applyFill="1" applyBorder="1" applyAlignment="1">
      <alignment vertical="top" wrapText="1"/>
    </xf>
    <xf numFmtId="0" fontId="4" fillId="0" borderId="59" xfId="0" applyFont="1" applyFill="1" applyBorder="1" applyAlignment="1">
      <alignment vertical="top" wrapText="1"/>
    </xf>
    <xf numFmtId="0" fontId="4" fillId="0" borderId="69" xfId="0" applyNumberFormat="1" applyFont="1" applyBorder="1" applyAlignment="1">
      <alignment vertical="top" wrapText="1"/>
    </xf>
    <xf numFmtId="2" fontId="28" fillId="0" borderId="45" xfId="0" applyNumberFormat="1" applyFont="1" applyFill="1" applyBorder="1" applyAlignment="1">
      <alignment vertical="top" wrapText="1"/>
    </xf>
    <xf numFmtId="2" fontId="28" fillId="2" borderId="49" xfId="0" applyNumberFormat="1" applyFont="1" applyFill="1" applyBorder="1" applyAlignment="1">
      <alignment horizontal="center" vertical="top"/>
    </xf>
    <xf numFmtId="2" fontId="28" fillId="7" borderId="68" xfId="0" applyNumberFormat="1" applyFont="1" applyFill="1" applyBorder="1" applyAlignment="1">
      <alignment horizontal="center" vertical="top"/>
    </xf>
    <xf numFmtId="0" fontId="28" fillId="0" borderId="34" xfId="0" applyFont="1" applyBorder="1" applyAlignment="1">
      <alignment vertical="top" wrapText="1"/>
    </xf>
    <xf numFmtId="1" fontId="28" fillId="0" borderId="44" xfId="0" applyNumberFormat="1" applyFont="1" applyBorder="1" applyAlignment="1">
      <alignment horizontal="center" vertical="top" wrapText="1"/>
    </xf>
    <xf numFmtId="1" fontId="28" fillId="2" borderId="44" xfId="0" applyNumberFormat="1" applyFont="1" applyFill="1" applyBorder="1" applyAlignment="1">
      <alignment horizontal="center" vertical="top"/>
    </xf>
    <xf numFmtId="2" fontId="28" fillId="2" borderId="51" xfId="0" applyNumberFormat="1" applyFont="1" applyFill="1" applyBorder="1" applyAlignment="1">
      <alignment horizontal="center" vertical="top"/>
    </xf>
    <xf numFmtId="1" fontId="4" fillId="2" borderId="17" xfId="0" applyNumberFormat="1" applyFont="1" applyFill="1" applyBorder="1" applyAlignment="1">
      <alignment horizontal="center" vertical="top"/>
    </xf>
    <xf numFmtId="2" fontId="28" fillId="0" borderId="76" xfId="0" applyNumberFormat="1" applyFont="1" applyBorder="1" applyAlignment="1">
      <alignment vertical="top" wrapText="1"/>
    </xf>
    <xf numFmtId="2" fontId="28" fillId="0" borderId="60" xfId="0" applyNumberFormat="1" applyFont="1" applyBorder="1" applyAlignment="1">
      <alignment vertical="top" wrapText="1"/>
    </xf>
    <xf numFmtId="2" fontId="28" fillId="0" borderId="33" xfId="0" applyNumberFormat="1" applyFont="1" applyBorder="1" applyAlignment="1">
      <alignment vertical="top" wrapText="1"/>
    </xf>
    <xf numFmtId="2" fontId="28" fillId="0" borderId="74" xfId="0" applyNumberFormat="1" applyFont="1" applyBorder="1" applyAlignment="1">
      <alignment vertical="top" wrapText="1"/>
    </xf>
    <xf numFmtId="2" fontId="28" fillId="0" borderId="53" xfId="0" applyNumberFormat="1" applyFont="1" applyBorder="1" applyAlignment="1">
      <alignment vertical="top" wrapText="1"/>
    </xf>
    <xf numFmtId="0" fontId="44" fillId="0" borderId="43" xfId="0" applyFont="1" applyFill="1" applyBorder="1" applyAlignment="1">
      <alignment horizontal="left" vertical="top" wrapText="1"/>
    </xf>
    <xf numFmtId="0" fontId="28" fillId="0" borderId="43" xfId="0" applyFont="1" applyBorder="1" applyAlignment="1">
      <alignment vertical="top" wrapText="1"/>
    </xf>
    <xf numFmtId="0" fontId="44" fillId="0" borderId="44" xfId="0" applyFont="1" applyFill="1" applyBorder="1" applyAlignment="1">
      <alignment horizontal="center" vertical="top" wrapText="1"/>
    </xf>
    <xf numFmtId="0" fontId="28" fillId="0" borderId="59" xfId="0" applyFont="1" applyBorder="1" applyAlignment="1">
      <alignment horizontal="center" vertical="top" wrapText="1"/>
    </xf>
    <xf numFmtId="0" fontId="44" fillId="0" borderId="5" xfId="0" applyFont="1" applyFill="1" applyBorder="1" applyAlignment="1">
      <alignment vertical="top" wrapText="1"/>
    </xf>
    <xf numFmtId="2" fontId="28" fillId="0" borderId="54" xfId="0" applyNumberFormat="1" applyFont="1" applyBorder="1" applyAlignment="1">
      <alignment vertical="top" wrapText="1"/>
    </xf>
    <xf numFmtId="2" fontId="28" fillId="0" borderId="77" xfId="0" applyNumberFormat="1" applyFont="1" applyBorder="1" applyAlignment="1">
      <alignment vertical="top" wrapText="1"/>
    </xf>
    <xf numFmtId="1" fontId="28" fillId="2" borderId="54" xfId="0" applyNumberFormat="1" applyFont="1" applyFill="1" applyBorder="1" applyAlignment="1">
      <alignment horizontal="center" vertical="top" wrapText="1"/>
    </xf>
    <xf numFmtId="0" fontId="24" fillId="0" borderId="53" xfId="0" applyFont="1" applyBorder="1" applyAlignment="1">
      <alignment vertical="top" wrapText="1"/>
    </xf>
    <xf numFmtId="1" fontId="24" fillId="0" borderId="51" xfId="0" applyNumberFormat="1" applyFont="1" applyFill="1" applyBorder="1" applyAlignment="1">
      <alignment horizontal="center" vertical="top" wrapText="1"/>
    </xf>
    <xf numFmtId="0" fontId="24" fillId="0" borderId="51" xfId="0" applyFont="1" applyBorder="1" applyAlignment="1">
      <alignment horizontal="center" vertical="top" wrapText="1"/>
    </xf>
    <xf numFmtId="1" fontId="24" fillId="2" borderId="47" xfId="0" applyNumberFormat="1" applyFont="1" applyFill="1" applyBorder="1" applyAlignment="1">
      <alignment horizontal="center" vertical="top"/>
    </xf>
    <xf numFmtId="0" fontId="28" fillId="0" borderId="53" xfId="0" applyFont="1" applyBorder="1" applyAlignment="1">
      <alignment vertical="top" wrapText="1"/>
    </xf>
    <xf numFmtId="0" fontId="28" fillId="0" borderId="51" xfId="0" applyFont="1" applyBorder="1" applyAlignment="1">
      <alignment horizontal="center" vertical="top" wrapText="1"/>
    </xf>
    <xf numFmtId="0" fontId="24" fillId="0" borderId="58" xfId="0" applyFont="1" applyBorder="1" applyAlignment="1">
      <alignment horizontal="center" vertical="top" wrapText="1"/>
    </xf>
    <xf numFmtId="0" fontId="24" fillId="0" borderId="6" xfId="0" applyFont="1" applyBorder="1" applyAlignment="1">
      <alignment horizontal="left" vertical="top" wrapText="1"/>
    </xf>
    <xf numFmtId="0" fontId="24" fillId="0" borderId="66" xfId="0" applyFont="1" applyBorder="1" applyAlignment="1">
      <alignment vertical="top" wrapText="1"/>
    </xf>
    <xf numFmtId="0" fontId="24" fillId="0" borderId="25" xfId="0" applyFont="1" applyBorder="1" applyAlignment="1">
      <alignment vertical="top" wrapText="1"/>
    </xf>
    <xf numFmtId="0" fontId="24" fillId="0" borderId="36" xfId="0" applyFont="1" applyBorder="1" applyAlignment="1">
      <alignment horizontal="center" vertical="top" wrapText="1"/>
    </xf>
    <xf numFmtId="0" fontId="24" fillId="0" borderId="60" xfId="0" applyFont="1" applyBorder="1" applyAlignment="1">
      <alignment vertical="top" wrapText="1"/>
    </xf>
    <xf numFmtId="0" fontId="28" fillId="0" borderId="10" xfId="0" applyFont="1" applyFill="1" applyBorder="1" applyAlignment="1">
      <alignment vertical="top" wrapText="1"/>
    </xf>
    <xf numFmtId="0" fontId="28" fillId="2" borderId="35" xfId="0" applyNumberFormat="1" applyFont="1" applyFill="1" applyBorder="1" applyAlignment="1">
      <alignment horizontal="center" vertical="top" wrapText="1"/>
    </xf>
    <xf numFmtId="0" fontId="28" fillId="2" borderId="48" xfId="0" applyNumberFormat="1" applyFont="1" applyFill="1" applyBorder="1" applyAlignment="1">
      <alignment horizontal="center" vertical="top" wrapText="1"/>
    </xf>
    <xf numFmtId="0" fontId="28" fillId="0" borderId="12" xfId="0" applyFont="1" applyBorder="1" applyAlignment="1">
      <alignment horizontal="left" vertical="top" wrapText="1"/>
    </xf>
    <xf numFmtId="2" fontId="28" fillId="2" borderId="40" xfId="0" applyNumberFormat="1" applyFont="1" applyFill="1" applyBorder="1" applyAlignment="1">
      <alignment horizontal="center" vertical="top" wrapText="1"/>
    </xf>
    <xf numFmtId="0" fontId="28" fillId="0" borderId="42" xfId="0" applyFont="1" applyBorder="1">
      <alignment vertical="top"/>
    </xf>
    <xf numFmtId="0" fontId="28" fillId="0" borderId="7" xfId="0" applyFont="1" applyBorder="1" applyAlignment="1">
      <alignment horizontal="center" vertical="top"/>
    </xf>
    <xf numFmtId="49" fontId="28" fillId="0" borderId="5" xfId="0" applyNumberFormat="1" applyFont="1" applyFill="1" applyBorder="1" applyAlignment="1">
      <alignment vertical="top" wrapText="1"/>
    </xf>
    <xf numFmtId="49" fontId="28" fillId="0" borderId="45" xfId="0" applyNumberFormat="1" applyFont="1" applyFill="1" applyBorder="1" applyAlignment="1">
      <alignment vertical="top" wrapText="1"/>
    </xf>
    <xf numFmtId="0" fontId="28" fillId="0" borderId="60" xfId="0" applyFont="1" applyFill="1" applyBorder="1" applyAlignment="1">
      <alignment vertical="top" wrapText="1"/>
    </xf>
    <xf numFmtId="0" fontId="28" fillId="0" borderId="10" xfId="0" applyFont="1" applyFill="1" applyBorder="1" applyAlignment="1">
      <alignment horizontal="center" vertical="top" wrapText="1"/>
    </xf>
    <xf numFmtId="0" fontId="28" fillId="0" borderId="59" xfId="0" applyFont="1" applyFill="1" applyBorder="1" applyAlignment="1">
      <alignment vertical="top" wrapText="1"/>
    </xf>
    <xf numFmtId="0" fontId="28" fillId="0" borderId="11" xfId="0" applyFont="1" applyFill="1" applyBorder="1" applyAlignment="1">
      <alignment horizontal="center" vertical="top" wrapText="1"/>
    </xf>
    <xf numFmtId="0" fontId="28" fillId="2" borderId="57" xfId="0" applyNumberFormat="1" applyFont="1" applyFill="1" applyBorder="1" applyAlignment="1">
      <alignment horizontal="center" vertical="top" wrapText="1"/>
    </xf>
    <xf numFmtId="0" fontId="4" fillId="0" borderId="17" xfId="0" applyNumberFormat="1" applyFont="1" applyFill="1" applyBorder="1" applyAlignment="1">
      <alignment horizontal="center" vertical="top" wrapText="1"/>
    </xf>
    <xf numFmtId="0" fontId="4" fillId="0" borderId="50" xfId="0" applyNumberFormat="1" applyFont="1" applyFill="1" applyBorder="1" applyAlignment="1">
      <alignment horizontal="center" vertical="top" wrapText="1"/>
    </xf>
    <xf numFmtId="0" fontId="4" fillId="0" borderId="76" xfId="0" applyNumberFormat="1" applyFont="1" applyFill="1" applyBorder="1" applyAlignment="1">
      <alignment horizontal="left" vertical="top" wrapText="1"/>
    </xf>
    <xf numFmtId="0" fontId="4" fillId="0" borderId="60" xfId="0" applyNumberFormat="1" applyFont="1" applyFill="1" applyBorder="1" applyAlignment="1">
      <alignment horizontal="left" vertical="top" wrapText="1"/>
    </xf>
    <xf numFmtId="0" fontId="4" fillId="0" borderId="33" xfId="0" applyNumberFormat="1" applyFont="1" applyFill="1" applyBorder="1" applyAlignment="1">
      <alignment horizontal="left" vertical="top" wrapText="1"/>
    </xf>
    <xf numFmtId="0" fontId="4" fillId="0" borderId="74" xfId="0" applyNumberFormat="1" applyFont="1" applyFill="1" applyBorder="1" applyAlignment="1">
      <alignment horizontal="left" vertical="top" wrapText="1"/>
    </xf>
    <xf numFmtId="0" fontId="4" fillId="0" borderId="77" xfId="0" applyNumberFormat="1" applyFont="1" applyFill="1" applyBorder="1" applyAlignment="1">
      <alignment horizontal="left" vertical="top" wrapText="1"/>
    </xf>
    <xf numFmtId="0" fontId="28" fillId="0" borderId="54" xfId="0" applyFont="1" applyFill="1" applyBorder="1" applyAlignment="1">
      <alignment vertical="top" wrapText="1"/>
    </xf>
    <xf numFmtId="0" fontId="28" fillId="0" borderId="76" xfId="0" applyFont="1" applyFill="1" applyBorder="1" applyAlignment="1">
      <alignment vertical="top" wrapText="1"/>
    </xf>
    <xf numFmtId="0" fontId="28" fillId="0" borderId="33" xfId="0" applyFont="1" applyFill="1" applyBorder="1" applyAlignment="1">
      <alignment vertical="top" wrapText="1"/>
    </xf>
    <xf numFmtId="0" fontId="28" fillId="2" borderId="17" xfId="0" applyNumberFormat="1" applyFont="1" applyFill="1" applyBorder="1" applyAlignment="1">
      <alignment horizontal="center" vertical="top" wrapText="1"/>
    </xf>
    <xf numFmtId="0" fontId="28" fillId="0" borderId="52" xfId="0" applyFont="1" applyFill="1" applyBorder="1" applyAlignment="1">
      <alignment horizontal="center" vertical="top" wrapText="1"/>
    </xf>
    <xf numFmtId="1" fontId="28" fillId="0" borderId="45" xfId="0" applyNumberFormat="1" applyFont="1" applyFill="1" applyBorder="1" applyAlignment="1">
      <alignment horizontal="center" vertical="top" wrapText="1"/>
    </xf>
    <xf numFmtId="0" fontId="28" fillId="0" borderId="5" xfId="0" applyFont="1" applyBorder="1" applyAlignment="1">
      <alignment horizontal="left" vertical="top" wrapText="1"/>
    </xf>
    <xf numFmtId="0" fontId="23" fillId="0" borderId="7" xfId="0" applyFont="1" applyBorder="1" applyAlignment="1">
      <alignment horizontal="center" vertical="top" wrapText="1"/>
    </xf>
    <xf numFmtId="1" fontId="23" fillId="2" borderId="57" xfId="0" applyNumberFormat="1" applyFont="1" applyFill="1" applyBorder="1" applyAlignment="1">
      <alignment horizontal="center" vertical="top" wrapText="1"/>
    </xf>
    <xf numFmtId="1" fontId="23" fillId="2" borderId="49" xfId="0" applyNumberFormat="1" applyFont="1" applyFill="1" applyBorder="1" applyAlignment="1">
      <alignment horizontal="center" vertical="top"/>
    </xf>
    <xf numFmtId="1" fontId="23" fillId="2" borderId="54" xfId="0" applyNumberFormat="1" applyFont="1" applyFill="1" applyBorder="1" applyAlignment="1">
      <alignment horizontal="center" vertical="top" wrapText="1"/>
    </xf>
    <xf numFmtId="0" fontId="23" fillId="0" borderId="17" xfId="0" applyNumberFormat="1" applyFont="1" applyBorder="1" applyAlignment="1" applyProtection="1">
      <alignment horizontal="center" vertical="top" wrapText="1"/>
    </xf>
    <xf numFmtId="0" fontId="23" fillId="0" borderId="1" xfId="0" applyNumberFormat="1" applyFont="1" applyBorder="1" applyAlignment="1" applyProtection="1">
      <alignment horizontal="center" vertical="top" wrapText="1"/>
    </xf>
    <xf numFmtId="0" fontId="23" fillId="0" borderId="56" xfId="0" applyNumberFormat="1" applyFont="1" applyBorder="1" applyAlignment="1" applyProtection="1">
      <alignment horizontal="center" vertical="top" wrapText="1"/>
    </xf>
    <xf numFmtId="0" fontId="23" fillId="0" borderId="11" xfId="0" applyFont="1" applyFill="1" applyBorder="1" applyAlignment="1">
      <alignment horizontal="center" vertical="top" wrapText="1"/>
    </xf>
    <xf numFmtId="0" fontId="23" fillId="0" borderId="47" xfId="0" applyFont="1" applyFill="1" applyBorder="1" applyAlignment="1">
      <alignment horizontal="center" vertical="top" wrapText="1"/>
    </xf>
    <xf numFmtId="0" fontId="23" fillId="0" borderId="10" xfId="0" applyFont="1" applyFill="1" applyBorder="1" applyAlignment="1">
      <alignment vertical="top" wrapText="1"/>
    </xf>
    <xf numFmtId="0" fontId="23" fillId="2" borderId="50" xfId="0" applyNumberFormat="1" applyFont="1" applyFill="1" applyBorder="1" applyAlignment="1">
      <alignment horizontal="center" vertical="top" wrapText="1"/>
    </xf>
    <xf numFmtId="0" fontId="23" fillId="0" borderId="11" xfId="0" applyFont="1" applyBorder="1" applyAlignment="1">
      <alignment horizontal="center" vertical="top" wrapText="1"/>
    </xf>
    <xf numFmtId="0" fontId="23" fillId="0" borderId="6" xfId="0" applyFont="1" applyBorder="1" applyAlignment="1">
      <alignment horizontal="left" vertical="top" wrapText="1"/>
    </xf>
    <xf numFmtId="0" fontId="23" fillId="0" borderId="50" xfId="0" applyFont="1" applyBorder="1" applyAlignment="1">
      <alignment horizontal="left" vertical="top" wrapText="1"/>
    </xf>
    <xf numFmtId="0" fontId="23" fillId="0" borderId="6" xfId="0" applyNumberFormat="1" applyFont="1" applyBorder="1" applyAlignment="1" applyProtection="1">
      <alignment vertical="top" wrapText="1"/>
    </xf>
    <xf numFmtId="0" fontId="23" fillId="0" borderId="50" xfId="0" applyNumberFormat="1" applyFont="1" applyBorder="1" applyAlignment="1" applyProtection="1">
      <alignment vertical="top" wrapText="1"/>
    </xf>
    <xf numFmtId="0" fontId="23" fillId="0" borderId="54" xfId="0" applyNumberFormat="1" applyFont="1" applyBorder="1" applyAlignment="1" applyProtection="1">
      <alignment vertical="top" wrapText="1"/>
    </xf>
    <xf numFmtId="0" fontId="23" fillId="2" borderId="66" xfId="0" applyNumberFormat="1" applyFont="1" applyFill="1" applyBorder="1" applyAlignment="1">
      <alignment horizontal="center" vertical="top" wrapText="1"/>
    </xf>
    <xf numFmtId="0" fontId="23" fillId="0" borderId="5" xfId="0" applyFont="1" applyBorder="1" applyAlignment="1">
      <alignment horizontal="left" vertical="top" wrapText="1"/>
    </xf>
    <xf numFmtId="0" fontId="23" fillId="0" borderId="43" xfId="0" applyFont="1" applyFill="1" applyBorder="1" applyAlignment="1">
      <alignment vertical="top" wrapText="1"/>
    </xf>
    <xf numFmtId="0" fontId="23" fillId="0" borderId="44" xfId="0" applyFont="1" applyFill="1" applyBorder="1" applyAlignment="1">
      <alignment horizontal="center" vertical="top" wrapText="1"/>
    </xf>
    <xf numFmtId="0" fontId="23" fillId="0" borderId="0" xfId="0" applyFont="1" applyBorder="1" applyAlignment="1">
      <alignment vertical="top" wrapText="1"/>
    </xf>
    <xf numFmtId="0" fontId="23" fillId="0" borderId="5" xfId="0" applyFont="1" applyBorder="1" applyAlignment="1">
      <alignment vertical="top" wrapText="1"/>
    </xf>
    <xf numFmtId="0" fontId="23" fillId="0" borderId="6" xfId="0" applyFont="1" applyBorder="1" applyAlignment="1">
      <alignment horizontal="center" vertical="top" wrapText="1"/>
    </xf>
    <xf numFmtId="0" fontId="23" fillId="0" borderId="74" xfId="0" applyFont="1" applyBorder="1" applyAlignment="1">
      <alignment vertical="top" wrapText="1"/>
    </xf>
    <xf numFmtId="0" fontId="23" fillId="0" borderId="60" xfId="0" applyFont="1" applyBorder="1" applyAlignment="1">
      <alignment vertical="top" wrapText="1"/>
    </xf>
    <xf numFmtId="0" fontId="23" fillId="0" borderId="33" xfId="0" applyFont="1" applyBorder="1" applyAlignment="1">
      <alignment vertical="top" wrapText="1"/>
    </xf>
    <xf numFmtId="0" fontId="23" fillId="0" borderId="54" xfId="0" applyFont="1" applyBorder="1" applyAlignment="1">
      <alignment vertical="top" wrapText="1"/>
    </xf>
    <xf numFmtId="0" fontId="23" fillId="0" borderId="73" xfId="0" applyFont="1" applyBorder="1" applyAlignment="1">
      <alignment vertical="top" wrapText="1"/>
    </xf>
    <xf numFmtId="0" fontId="4" fillId="0" borderId="46" xfId="0" applyFont="1" applyBorder="1" applyAlignment="1">
      <alignment vertical="top" wrapText="1"/>
    </xf>
    <xf numFmtId="0" fontId="4" fillId="0" borderId="71" xfId="0" applyFont="1" applyFill="1" applyBorder="1" applyAlignment="1">
      <alignment vertical="top" wrapText="1"/>
    </xf>
    <xf numFmtId="49" fontId="5" fillId="0" borderId="0" xfId="0" applyNumberFormat="1" applyFont="1" applyBorder="1" applyAlignment="1">
      <alignment horizontal="left" vertical="top" wrapText="1"/>
    </xf>
    <xf numFmtId="0" fontId="12" fillId="0" borderId="0" xfId="0" applyFont="1" applyBorder="1" applyAlignment="1">
      <alignment horizontal="center" vertical="top"/>
    </xf>
    <xf numFmtId="2" fontId="30" fillId="15" borderId="22" xfId="0" applyNumberFormat="1" applyFont="1" applyFill="1" applyBorder="1" applyAlignment="1" applyProtection="1">
      <alignment horizontal="center" vertical="top" wrapText="1"/>
    </xf>
    <xf numFmtId="0" fontId="30" fillId="0" borderId="68" xfId="0" applyFont="1" applyBorder="1" applyAlignment="1">
      <alignment horizontal="left" vertical="top"/>
    </xf>
    <xf numFmtId="1" fontId="30" fillId="2" borderId="57" xfId="0" applyNumberFormat="1" applyFont="1" applyFill="1" applyBorder="1" applyAlignment="1" applyProtection="1">
      <alignment horizontal="center" vertical="top" wrapText="1"/>
      <protection hidden="1"/>
    </xf>
    <xf numFmtId="2" fontId="30" fillId="13" borderId="68" xfId="0" applyNumberFormat="1" applyFont="1" applyFill="1" applyBorder="1" applyAlignment="1" applyProtection="1">
      <alignment horizontal="center" vertical="top" wrapText="1"/>
    </xf>
    <xf numFmtId="2" fontId="30" fillId="13" borderId="22" xfId="0" applyNumberFormat="1" applyFont="1" applyFill="1" applyBorder="1" applyAlignment="1" applyProtection="1">
      <alignment horizontal="center" vertical="top" wrapText="1"/>
    </xf>
    <xf numFmtId="0" fontId="30" fillId="0" borderId="1" xfId="0" applyFont="1" applyBorder="1" applyAlignment="1">
      <alignment horizontal="left" vertical="top" wrapText="1"/>
    </xf>
    <xf numFmtId="0" fontId="30" fillId="0" borderId="65" xfId="0" applyFont="1" applyBorder="1" applyAlignment="1">
      <alignment vertical="top" wrapText="1"/>
    </xf>
    <xf numFmtId="0" fontId="30" fillId="2" borderId="39" xfId="0" applyFont="1" applyFill="1" applyBorder="1" applyAlignment="1" applyProtection="1">
      <alignment horizontal="center" vertical="top" wrapText="1"/>
      <protection hidden="1"/>
    </xf>
    <xf numFmtId="0" fontId="30" fillId="0" borderId="47" xfId="0" applyFont="1" applyBorder="1" applyAlignment="1">
      <alignment horizontal="left" vertical="top" wrapText="1"/>
    </xf>
    <xf numFmtId="2" fontId="30" fillId="13" borderId="5" xfId="0" applyNumberFormat="1" applyFont="1" applyFill="1" applyBorder="1" applyAlignment="1" applyProtection="1">
      <alignment horizontal="center" vertical="top" wrapText="1"/>
    </xf>
    <xf numFmtId="0" fontId="4" fillId="14" borderId="7" xfId="0" applyFont="1" applyFill="1" applyBorder="1" applyAlignment="1">
      <alignment horizontal="center" vertical="top" wrapText="1"/>
    </xf>
    <xf numFmtId="0" fontId="4" fillId="14" borderId="39" xfId="0" applyFont="1" applyFill="1" applyBorder="1" applyAlignment="1">
      <alignment horizontal="left" vertical="top" wrapText="1"/>
    </xf>
    <xf numFmtId="1" fontId="4" fillId="0" borderId="34" xfId="0" applyNumberFormat="1" applyFont="1" applyFill="1" applyBorder="1" applyAlignment="1">
      <alignment vertical="top" wrapText="1"/>
    </xf>
    <xf numFmtId="1" fontId="4" fillId="0" borderId="53" xfId="0" applyNumberFormat="1" applyFont="1" applyFill="1" applyBorder="1" applyAlignment="1">
      <alignment horizontal="left" vertical="top" wrapText="1"/>
    </xf>
    <xf numFmtId="1" fontId="4" fillId="0" borderId="51" xfId="0" applyNumberFormat="1" applyFont="1" applyFill="1" applyBorder="1" applyAlignment="1">
      <alignment horizontal="center" vertical="top" wrapText="1"/>
    </xf>
    <xf numFmtId="1" fontId="30" fillId="14" borderId="44" xfId="0" applyNumberFormat="1" applyFont="1" applyFill="1" applyBorder="1" applyAlignment="1">
      <alignment horizontal="center" vertical="top" wrapText="1"/>
    </xf>
    <xf numFmtId="2" fontId="4" fillId="7" borderId="35" xfId="0" applyNumberFormat="1" applyFont="1" applyFill="1" applyBorder="1" applyAlignment="1">
      <alignment horizontal="center" vertical="top" wrapText="1"/>
    </xf>
    <xf numFmtId="0" fontId="30" fillId="0" borderId="33" xfId="0" applyFont="1" applyBorder="1" applyAlignment="1">
      <alignment horizontal="left" vertical="top" wrapText="1"/>
    </xf>
    <xf numFmtId="0" fontId="30" fillId="0" borderId="60" xfId="0" applyFont="1" applyBorder="1" applyAlignment="1">
      <alignment horizontal="left" vertical="top" wrapText="1"/>
    </xf>
    <xf numFmtId="0" fontId="4" fillId="25" borderId="47" xfId="0" applyFont="1" applyFill="1" applyBorder="1" applyAlignment="1">
      <alignment horizontal="center" vertical="top" wrapText="1"/>
    </xf>
    <xf numFmtId="1" fontId="4" fillId="0" borderId="23" xfId="0" applyNumberFormat="1" applyFont="1" applyBorder="1" applyAlignment="1">
      <alignment vertical="top" wrapText="1"/>
    </xf>
    <xf numFmtId="1" fontId="4" fillId="0" borderId="57" xfId="0" applyNumberFormat="1" applyFont="1" applyBorder="1" applyAlignment="1">
      <alignment horizontal="center" vertical="top" wrapText="1"/>
    </xf>
    <xf numFmtId="1" fontId="4" fillId="2" borderId="65" xfId="0" applyNumberFormat="1" applyFont="1" applyFill="1" applyBorder="1" applyAlignment="1">
      <alignment horizontal="center" vertical="top" wrapText="1"/>
    </xf>
    <xf numFmtId="1" fontId="4" fillId="0" borderId="65" xfId="0" applyNumberFormat="1" applyFont="1" applyBorder="1" applyAlignment="1">
      <alignment vertical="top" wrapText="1"/>
    </xf>
    <xf numFmtId="1" fontId="4" fillId="0" borderId="10" xfId="0" applyNumberFormat="1" applyFont="1" applyBorder="1" applyAlignment="1">
      <alignment vertical="top" wrapText="1"/>
    </xf>
    <xf numFmtId="1" fontId="4" fillId="2" borderId="58" xfId="0" applyNumberFormat="1" applyFont="1" applyFill="1" applyBorder="1" applyAlignment="1">
      <alignment horizontal="center" vertical="top" wrapText="1"/>
    </xf>
    <xf numFmtId="1" fontId="4" fillId="0" borderId="6" xfId="0" applyNumberFormat="1" applyFont="1" applyBorder="1" applyAlignment="1">
      <alignment vertical="top" wrapText="1"/>
    </xf>
    <xf numFmtId="0" fontId="59" fillId="0" borderId="0" xfId="0" applyFont="1" applyAlignment="1">
      <alignment vertical="top" wrapText="1"/>
    </xf>
    <xf numFmtId="0" fontId="57" fillId="0" borderId="0" xfId="0" applyFont="1" applyAlignment="1">
      <alignment vertical="top" wrapText="1"/>
    </xf>
    <xf numFmtId="0" fontId="4" fillId="2" borderId="57" xfId="0" applyNumberFormat="1" applyFont="1" applyFill="1" applyBorder="1" applyAlignment="1">
      <alignment horizontal="center" vertical="top" wrapText="1"/>
    </xf>
    <xf numFmtId="2" fontId="4" fillId="0" borderId="56" xfId="0" applyNumberFormat="1" applyFont="1" applyBorder="1" applyAlignment="1">
      <alignment horizontal="center" vertical="top" wrapText="1"/>
    </xf>
    <xf numFmtId="1" fontId="4" fillId="2" borderId="63" xfId="0" applyNumberFormat="1" applyFont="1" applyFill="1" applyBorder="1" applyAlignment="1">
      <alignment horizontal="center" vertical="top" wrapText="1"/>
    </xf>
    <xf numFmtId="1" fontId="4" fillId="2" borderId="54" xfId="0" applyNumberFormat="1" applyFont="1" applyFill="1" applyBorder="1" applyAlignment="1">
      <alignment horizontal="center" vertical="top" wrapText="1"/>
    </xf>
    <xf numFmtId="0" fontId="4" fillId="0" borderId="47" xfId="0" applyNumberFormat="1" applyFont="1" applyBorder="1" applyAlignment="1">
      <alignment horizontal="center" vertical="top" wrapText="1"/>
    </xf>
    <xf numFmtId="0" fontId="45" fillId="0" borderId="0" xfId="0" applyFont="1" applyFill="1" applyBorder="1" applyAlignment="1">
      <alignment horizontal="left" vertical="top" wrapText="1"/>
    </xf>
    <xf numFmtId="2" fontId="4" fillId="2" borderId="36" xfId="0" applyNumberFormat="1" applyFont="1" applyFill="1" applyBorder="1" applyAlignment="1">
      <alignment horizontal="center" vertical="top" wrapText="1"/>
    </xf>
    <xf numFmtId="2" fontId="4" fillId="25" borderId="3" xfId="0" applyNumberFormat="1" applyFont="1" applyFill="1" applyBorder="1" applyAlignment="1">
      <alignment horizontal="center" vertical="top" wrapText="1"/>
    </xf>
    <xf numFmtId="2" fontId="4" fillId="15" borderId="5" xfId="0" applyNumberFormat="1" applyFont="1" applyFill="1" applyBorder="1" applyAlignment="1">
      <alignment horizontal="center" vertical="top"/>
    </xf>
    <xf numFmtId="2" fontId="4" fillId="25" borderId="56" xfId="0" applyNumberFormat="1" applyFont="1" applyFill="1" applyBorder="1" applyAlignment="1">
      <alignment horizontal="center" vertical="top" wrapText="1"/>
    </xf>
    <xf numFmtId="2" fontId="4" fillId="2" borderId="28" xfId="0" applyNumberFormat="1" applyFont="1" applyFill="1" applyBorder="1" applyAlignment="1">
      <alignment horizontal="center" vertical="top"/>
    </xf>
    <xf numFmtId="2" fontId="4" fillId="2" borderId="27" xfId="0" applyNumberFormat="1" applyFont="1" applyFill="1" applyBorder="1" applyAlignment="1">
      <alignment horizontal="center" vertical="top"/>
    </xf>
    <xf numFmtId="2" fontId="4" fillId="2" borderId="40" xfId="0" applyNumberFormat="1" applyFont="1" applyFill="1" applyBorder="1" applyAlignment="1">
      <alignment horizontal="center" vertical="top"/>
    </xf>
    <xf numFmtId="0" fontId="4" fillId="0" borderId="56" xfId="0" applyFont="1" applyBorder="1" applyAlignment="1">
      <alignment horizontal="left" vertical="top" wrapText="1"/>
    </xf>
    <xf numFmtId="2" fontId="28" fillId="15" borderId="61" xfId="0" applyNumberFormat="1" applyFont="1" applyFill="1" applyBorder="1" applyAlignment="1">
      <alignment horizontal="center" vertical="top"/>
    </xf>
    <xf numFmtId="2" fontId="28" fillId="0" borderId="75" xfId="0" applyNumberFormat="1" applyFont="1" applyBorder="1" applyAlignment="1">
      <alignment vertical="top" wrapText="1"/>
    </xf>
    <xf numFmtId="1" fontId="28" fillId="2" borderId="13" xfId="0" applyNumberFormat="1" applyFont="1" applyFill="1" applyBorder="1" applyAlignment="1">
      <alignment horizontal="center" vertical="top" wrapText="1"/>
    </xf>
    <xf numFmtId="2" fontId="28" fillId="0" borderId="44" xfId="0" applyNumberFormat="1" applyFont="1" applyBorder="1" applyAlignment="1">
      <alignment horizontal="center" vertical="top" wrapText="1"/>
    </xf>
    <xf numFmtId="0" fontId="61" fillId="0" borderId="0" xfId="0" applyFont="1">
      <alignment vertical="top"/>
    </xf>
    <xf numFmtId="0" fontId="28" fillId="0" borderId="6" xfId="0" applyFont="1" applyBorder="1" applyAlignment="1">
      <alignment horizontal="center" vertical="top" wrapText="1"/>
    </xf>
    <xf numFmtId="0" fontId="28" fillId="0" borderId="50" xfId="0" applyFont="1" applyBorder="1" applyAlignment="1">
      <alignment horizontal="center" vertical="top" wrapText="1"/>
    </xf>
    <xf numFmtId="1" fontId="28" fillId="2" borderId="14" xfId="0" applyNumberFormat="1" applyFont="1" applyFill="1" applyBorder="1" applyAlignment="1">
      <alignment horizontal="center" vertical="top" wrapText="1"/>
    </xf>
    <xf numFmtId="0" fontId="57" fillId="0" borderId="0" xfId="0" applyFont="1">
      <alignment vertical="top"/>
    </xf>
    <xf numFmtId="2" fontId="28" fillId="7" borderId="46" xfId="0" applyNumberFormat="1" applyFont="1" applyFill="1" applyBorder="1" applyAlignment="1">
      <alignment horizontal="center" vertical="top" wrapText="1"/>
    </xf>
    <xf numFmtId="0" fontId="28" fillId="0" borderId="12" xfId="0" applyFont="1" applyBorder="1" applyAlignment="1">
      <alignment horizontal="center" vertical="top" wrapText="1"/>
    </xf>
    <xf numFmtId="0" fontId="4" fillId="0" borderId="46" xfId="0" applyFont="1" applyFill="1" applyBorder="1" applyAlignment="1">
      <alignment horizontal="left" vertical="top" wrapText="1"/>
    </xf>
    <xf numFmtId="0" fontId="4" fillId="0" borderId="1" xfId="0" applyFont="1" applyFill="1" applyBorder="1" applyAlignment="1">
      <alignment vertical="top" wrapText="1"/>
    </xf>
    <xf numFmtId="2" fontId="4" fillId="2" borderId="62" xfId="0" applyNumberFormat="1" applyFont="1" applyFill="1" applyBorder="1" applyAlignment="1">
      <alignment horizontal="center" vertical="top"/>
    </xf>
    <xf numFmtId="0" fontId="4" fillId="0" borderId="10" xfId="0" applyFont="1" applyFill="1" applyBorder="1" applyAlignment="1">
      <alignment vertical="top" wrapText="1"/>
    </xf>
    <xf numFmtId="0" fontId="4" fillId="2" borderId="6" xfId="0" applyNumberFormat="1" applyFont="1" applyFill="1" applyBorder="1" applyAlignment="1">
      <alignment horizontal="center" vertical="top" wrapText="1"/>
    </xf>
    <xf numFmtId="0" fontId="4" fillId="2" borderId="17" xfId="0" applyNumberFormat="1" applyFont="1" applyFill="1" applyBorder="1" applyAlignment="1">
      <alignment horizontal="center" vertical="top" wrapText="1"/>
    </xf>
    <xf numFmtId="0" fontId="45" fillId="0" borderId="0" xfId="0" applyFont="1" applyFill="1" applyAlignment="1">
      <alignment horizontal="left" vertical="top" wrapText="1"/>
    </xf>
    <xf numFmtId="0" fontId="4" fillId="0" borderId="42" xfId="0" applyFont="1" applyFill="1" applyBorder="1" applyAlignment="1">
      <alignment horizontal="left" vertical="top" wrapText="1"/>
    </xf>
    <xf numFmtId="0" fontId="4" fillId="0" borderId="71" xfId="0" applyFont="1" applyFill="1" applyBorder="1" applyAlignment="1">
      <alignment vertical="top" wrapText="1"/>
    </xf>
    <xf numFmtId="0" fontId="4" fillId="0" borderId="69" xfId="0" applyFont="1" applyFill="1" applyBorder="1" applyAlignment="1">
      <alignment horizontal="left" vertical="top" wrapText="1"/>
    </xf>
    <xf numFmtId="0" fontId="4" fillId="0" borderId="71" xfId="0" applyFont="1" applyFill="1" applyBorder="1" applyAlignment="1">
      <alignment horizontal="left" vertical="top" wrapText="1"/>
    </xf>
    <xf numFmtId="0" fontId="4" fillId="0" borderId="0" xfId="0" applyFont="1" applyBorder="1" applyAlignment="1">
      <alignment horizontal="center" vertical="top"/>
    </xf>
    <xf numFmtId="0" fontId="24" fillId="0" borderId="23" xfId="0" applyFont="1" applyFill="1" applyBorder="1" applyAlignment="1">
      <alignment horizontal="left" vertical="top" wrapText="1"/>
    </xf>
    <xf numFmtId="0" fontId="24" fillId="0" borderId="68" xfId="0" applyFont="1" applyFill="1" applyBorder="1" applyAlignment="1">
      <alignment vertical="top" wrapText="1"/>
    </xf>
    <xf numFmtId="0" fontId="4" fillId="18" borderId="0" xfId="0" applyFont="1" applyFill="1" applyBorder="1" applyAlignment="1">
      <alignment horizontal="center" vertical="top"/>
    </xf>
    <xf numFmtId="0" fontId="4" fillId="23" borderId="0" xfId="0" applyFont="1" applyFill="1" applyBorder="1" applyAlignment="1">
      <alignment horizontal="center" vertical="top"/>
    </xf>
    <xf numFmtId="0" fontId="4" fillId="0" borderId="77" xfId="0" applyFont="1" applyFill="1" applyBorder="1" applyAlignment="1">
      <alignment horizontal="left" vertical="top" wrapText="1"/>
    </xf>
    <xf numFmtId="0" fontId="4" fillId="0" borderId="60" xfId="0" applyFont="1" applyFill="1" applyBorder="1" applyAlignment="1">
      <alignment horizontal="left" vertical="top" wrapText="1"/>
    </xf>
    <xf numFmtId="0" fontId="4" fillId="0" borderId="73" xfId="0" applyFont="1" applyFill="1" applyBorder="1" applyAlignment="1">
      <alignment horizontal="left" vertical="top" wrapText="1"/>
    </xf>
    <xf numFmtId="0" fontId="4" fillId="0" borderId="33" xfId="0" applyFont="1" applyFill="1" applyBorder="1" applyAlignment="1">
      <alignment horizontal="left" vertical="top" wrapText="1"/>
    </xf>
    <xf numFmtId="0" fontId="24" fillId="0" borderId="59" xfId="0" applyFont="1" applyFill="1" applyBorder="1" applyAlignment="1">
      <alignment vertical="top" wrapText="1"/>
    </xf>
    <xf numFmtId="0" fontId="24" fillId="0" borderId="49" xfId="0" applyFont="1" applyFill="1" applyBorder="1" applyAlignment="1">
      <alignment horizontal="center" vertical="top" wrapText="1"/>
    </xf>
    <xf numFmtId="1" fontId="24" fillId="2" borderId="57" xfId="0" applyNumberFormat="1" applyFont="1" applyFill="1" applyBorder="1" applyAlignment="1">
      <alignment horizontal="center" vertical="top"/>
    </xf>
    <xf numFmtId="1" fontId="24" fillId="2" borderId="1" xfId="0" applyNumberFormat="1" applyFont="1" applyFill="1" applyBorder="1" applyAlignment="1">
      <alignment horizontal="center" vertical="top"/>
    </xf>
    <xf numFmtId="1" fontId="24" fillId="2" borderId="39" xfId="0" applyNumberFormat="1" applyFont="1" applyFill="1" applyBorder="1" applyAlignment="1">
      <alignment horizontal="center" vertical="top"/>
    </xf>
    <xf numFmtId="0" fontId="24" fillId="0" borderId="73" xfId="0" applyFont="1" applyBorder="1" applyAlignment="1">
      <alignment vertical="top" wrapText="1"/>
    </xf>
    <xf numFmtId="0" fontId="24" fillId="0" borderId="33" xfId="0" applyFont="1" applyBorder="1" applyAlignment="1">
      <alignment vertical="top" wrapText="1"/>
    </xf>
    <xf numFmtId="1" fontId="4" fillId="0" borderId="0" xfId="0" applyNumberFormat="1" applyFont="1" applyFill="1" applyBorder="1" applyAlignment="1">
      <alignment horizontal="center" vertical="top" wrapText="1"/>
    </xf>
    <xf numFmtId="0" fontId="4" fillId="0" borderId="0" xfId="0" applyFont="1" applyFill="1" applyBorder="1" applyAlignment="1">
      <alignment horizontal="left" vertical="top" wrapText="1"/>
    </xf>
    <xf numFmtId="0" fontId="60" fillId="0" borderId="0" xfId="0" applyFont="1" applyAlignment="1">
      <alignment vertical="top" wrapText="1"/>
    </xf>
    <xf numFmtId="49" fontId="28" fillId="0" borderId="0" xfId="0" applyNumberFormat="1" applyFont="1" applyFill="1" applyBorder="1" applyAlignment="1">
      <alignment vertical="top" wrapText="1"/>
    </xf>
    <xf numFmtId="0" fontId="4" fillId="0" borderId="46" xfId="0" applyFont="1" applyFill="1" applyBorder="1" applyAlignment="1">
      <alignment vertical="top" wrapText="1"/>
    </xf>
    <xf numFmtId="0" fontId="4" fillId="0" borderId="42" xfId="0" applyFont="1" applyBorder="1" applyAlignment="1">
      <alignment vertical="top" wrapText="1"/>
    </xf>
    <xf numFmtId="0" fontId="28" fillId="0" borderId="42" xfId="0" applyFont="1" applyFill="1" applyBorder="1" applyAlignment="1">
      <alignment vertical="top" wrapText="1"/>
    </xf>
    <xf numFmtId="1" fontId="28" fillId="0" borderId="34" xfId="0" applyNumberFormat="1" applyFont="1" applyFill="1" applyBorder="1" applyAlignment="1">
      <alignment vertical="top" wrapText="1"/>
    </xf>
    <xf numFmtId="1" fontId="28" fillId="0" borderId="5" xfId="0" applyNumberFormat="1" applyFont="1" applyFill="1" applyBorder="1" applyAlignment="1">
      <alignment vertical="top" wrapText="1"/>
    </xf>
    <xf numFmtId="1" fontId="28" fillId="0" borderId="59" xfId="0" applyNumberFormat="1" applyFont="1" applyFill="1" applyBorder="1" applyAlignment="1">
      <alignment vertical="top" wrapText="1"/>
    </xf>
    <xf numFmtId="0" fontId="28" fillId="0" borderId="56" xfId="0" applyFont="1" applyFill="1" applyBorder="1" applyAlignment="1">
      <alignment horizontal="right" vertical="top" wrapText="1"/>
    </xf>
    <xf numFmtId="1" fontId="28" fillId="0" borderId="23" xfId="0" applyNumberFormat="1" applyFont="1" applyFill="1" applyBorder="1" applyAlignment="1">
      <alignment vertical="top" wrapText="1"/>
    </xf>
    <xf numFmtId="1" fontId="28" fillId="0" borderId="22" xfId="0" applyNumberFormat="1" applyFont="1" applyFill="1" applyBorder="1" applyAlignment="1">
      <alignment vertical="top" wrapText="1"/>
    </xf>
    <xf numFmtId="2" fontId="28" fillId="0" borderId="56" xfId="0" applyNumberFormat="1" applyFont="1" applyFill="1" applyBorder="1" applyAlignment="1">
      <alignment horizontal="center" vertical="top" wrapText="1"/>
    </xf>
    <xf numFmtId="2" fontId="28" fillId="0" borderId="53" xfId="0" applyNumberFormat="1" applyFont="1" applyFill="1" applyBorder="1" applyAlignment="1">
      <alignment horizontal="center" vertical="top" wrapText="1"/>
    </xf>
    <xf numFmtId="2" fontId="28" fillId="0" borderId="75" xfId="0" applyNumberFormat="1" applyFont="1" applyFill="1" applyBorder="1" applyAlignment="1">
      <alignment horizontal="right" vertical="top" wrapText="1"/>
    </xf>
    <xf numFmtId="2" fontId="28" fillId="0" borderId="49" xfId="0" applyNumberFormat="1" applyFont="1" applyFill="1" applyBorder="1" applyAlignment="1">
      <alignment horizontal="center" vertical="top" wrapText="1"/>
    </xf>
    <xf numFmtId="0" fontId="28" fillId="2" borderId="49" xfId="0" applyFont="1" applyFill="1" applyBorder="1" applyAlignment="1">
      <alignment horizontal="center" vertical="top" wrapText="1"/>
    </xf>
    <xf numFmtId="2" fontId="28" fillId="5" borderId="68" xfId="0" applyNumberFormat="1" applyFont="1" applyFill="1" applyBorder="1" applyAlignment="1">
      <alignment horizontal="center" vertical="top" wrapText="1"/>
    </xf>
    <xf numFmtId="2" fontId="28" fillId="0" borderId="52" xfId="0" applyNumberFormat="1" applyFont="1" applyFill="1" applyBorder="1" applyAlignment="1">
      <alignment horizontal="center" vertical="top" wrapText="1"/>
    </xf>
    <xf numFmtId="2" fontId="28" fillId="0" borderId="43" xfId="0" applyNumberFormat="1" applyFont="1" applyFill="1" applyBorder="1" applyAlignment="1">
      <alignment horizontal="right" vertical="top" wrapText="1" indent="1"/>
    </xf>
    <xf numFmtId="49" fontId="28" fillId="0" borderId="59" xfId="0" applyNumberFormat="1" applyFont="1" applyBorder="1" applyAlignment="1">
      <alignment vertical="top" wrapText="1"/>
    </xf>
    <xf numFmtId="0" fontId="4" fillId="0" borderId="59" xfId="0" applyNumberFormat="1" applyFont="1" applyBorder="1" applyAlignment="1">
      <alignment vertical="top" wrapText="1"/>
    </xf>
    <xf numFmtId="0" fontId="4" fillId="0" borderId="42" xfId="0" applyFont="1" applyFill="1" applyBorder="1" applyAlignment="1">
      <alignment horizontal="left" vertical="top" wrapText="1"/>
    </xf>
    <xf numFmtId="0" fontId="4" fillId="0" borderId="46" xfId="0" applyFont="1" applyFill="1" applyBorder="1" applyAlignment="1">
      <alignment vertical="top" wrapText="1"/>
    </xf>
    <xf numFmtId="0" fontId="30" fillId="0" borderId="23" xfId="0" applyFont="1" applyBorder="1" applyAlignment="1">
      <alignment horizontal="left" vertical="top" wrapText="1"/>
    </xf>
    <xf numFmtId="0" fontId="4" fillId="0" borderId="18" xfId="0" applyFont="1" applyBorder="1" applyAlignment="1">
      <alignment horizontal="left" vertical="top" wrapText="1"/>
    </xf>
    <xf numFmtId="0" fontId="4" fillId="0" borderId="0" xfId="0" applyFont="1" applyBorder="1" applyAlignment="1">
      <alignment horizontal="center" vertical="top"/>
    </xf>
    <xf numFmtId="0" fontId="30" fillId="0" borderId="23" xfId="0" applyFont="1" applyBorder="1" applyAlignment="1">
      <alignment horizontal="center" vertical="top" wrapText="1"/>
    </xf>
    <xf numFmtId="0" fontId="28" fillId="0" borderId="7" xfId="0" applyFont="1" applyFill="1" applyBorder="1" applyAlignment="1">
      <alignment horizontal="center" vertical="top" wrapText="1"/>
    </xf>
    <xf numFmtId="0" fontId="11" fillId="0" borderId="5" xfId="0" applyFont="1" applyFill="1" applyBorder="1" applyAlignment="1">
      <alignment vertical="top" wrapText="1"/>
    </xf>
    <xf numFmtId="0" fontId="30" fillId="0" borderId="5" xfId="0" applyFont="1" applyBorder="1" applyAlignment="1">
      <alignment vertical="top" wrapText="1"/>
    </xf>
    <xf numFmtId="2" fontId="30" fillId="0" borderId="44" xfId="0" applyNumberFormat="1" applyFont="1" applyFill="1" applyBorder="1" applyAlignment="1">
      <alignment horizontal="right" vertical="top" wrapText="1"/>
    </xf>
    <xf numFmtId="0" fontId="4" fillId="0" borderId="42" xfId="0" applyFont="1" applyBorder="1" applyAlignment="1">
      <alignment horizontal="left" vertical="top" wrapText="1"/>
    </xf>
    <xf numFmtId="0" fontId="4" fillId="0" borderId="33" xfId="0" applyFont="1" applyBorder="1" applyAlignment="1">
      <alignment vertical="top" wrapText="1"/>
    </xf>
    <xf numFmtId="0" fontId="4" fillId="0" borderId="0" xfId="0" applyFont="1" applyFill="1" applyBorder="1" applyAlignment="1">
      <alignment horizontal="left" vertical="top" wrapText="1"/>
    </xf>
    <xf numFmtId="0" fontId="4" fillId="0" borderId="10" xfId="0" applyFont="1" applyFill="1" applyBorder="1" applyAlignment="1">
      <alignment horizontal="left" vertical="top" wrapText="1"/>
    </xf>
    <xf numFmtId="0" fontId="4" fillId="0" borderId="46" xfId="0" applyFont="1" applyFill="1" applyBorder="1" applyAlignment="1">
      <alignment horizontal="left" vertical="top" wrapText="1"/>
    </xf>
    <xf numFmtId="0" fontId="34" fillId="0" borderId="0" xfId="0" applyFont="1" applyFill="1" applyBorder="1" applyAlignment="1">
      <alignment horizontal="center" vertical="top"/>
    </xf>
    <xf numFmtId="0" fontId="34" fillId="0" borderId="0" xfId="0" applyFont="1" applyFill="1" applyBorder="1" applyAlignment="1" applyProtection="1">
      <alignment horizontal="center" vertical="top"/>
      <protection locked="0"/>
    </xf>
    <xf numFmtId="0" fontId="9" fillId="11" borderId="5" xfId="0" applyFont="1" applyFill="1" applyBorder="1" applyAlignment="1">
      <alignment vertical="top"/>
    </xf>
    <xf numFmtId="0" fontId="30" fillId="0" borderId="54" xfId="0" applyFont="1" applyFill="1" applyBorder="1" applyAlignment="1">
      <alignment vertical="top" wrapText="1"/>
    </xf>
    <xf numFmtId="0" fontId="30" fillId="0" borderId="60" xfId="0" applyFont="1" applyFill="1" applyBorder="1" applyAlignment="1">
      <alignment vertical="top" wrapText="1"/>
    </xf>
    <xf numFmtId="0" fontId="4" fillId="0" borderId="4" xfId="0" applyFont="1" applyFill="1" applyBorder="1" applyAlignment="1">
      <alignment vertical="top" wrapText="1"/>
    </xf>
    <xf numFmtId="0" fontId="4" fillId="0" borderId="47" xfId="0" applyFont="1" applyFill="1" applyBorder="1" applyAlignment="1">
      <alignment vertical="top" wrapText="1"/>
    </xf>
    <xf numFmtId="0" fontId="4" fillId="0" borderId="23" xfId="0" applyFont="1" applyFill="1" applyBorder="1" applyAlignment="1">
      <alignment horizontal="left" vertical="top" wrapText="1"/>
    </xf>
    <xf numFmtId="0" fontId="4" fillId="0" borderId="46" xfId="0" applyFont="1" applyFill="1" applyBorder="1" applyAlignment="1">
      <alignment horizontal="left" vertical="top" wrapText="1"/>
    </xf>
    <xf numFmtId="0" fontId="28" fillId="0" borderId="46" xfId="0" applyFont="1" applyFill="1" applyBorder="1" applyAlignment="1">
      <alignment horizontal="left" vertical="top" wrapText="1"/>
    </xf>
    <xf numFmtId="0" fontId="4" fillId="0" borderId="64" xfId="0" applyFont="1" applyFill="1" applyBorder="1" applyAlignment="1">
      <alignment horizontal="left" vertical="top" wrapText="1"/>
    </xf>
    <xf numFmtId="0" fontId="4" fillId="0" borderId="46" xfId="0" applyFont="1" applyBorder="1" applyAlignment="1">
      <alignment vertical="top" wrapText="1"/>
    </xf>
    <xf numFmtId="0" fontId="4" fillId="0" borderId="77" xfId="0" applyFont="1" applyBorder="1" applyAlignment="1">
      <alignment vertical="top" wrapText="1"/>
    </xf>
    <xf numFmtId="0" fontId="4" fillId="0" borderId="74" xfId="0" applyFont="1" applyBorder="1" applyAlignment="1">
      <alignment vertical="top" wrapText="1"/>
    </xf>
    <xf numFmtId="0" fontId="4" fillId="0" borderId="74" xfId="0" applyFont="1" applyFill="1" applyBorder="1" applyAlignment="1">
      <alignment vertical="top" wrapText="1"/>
    </xf>
    <xf numFmtId="0" fontId="4" fillId="0" borderId="77" xfId="0" applyFont="1" applyFill="1" applyBorder="1" applyAlignment="1">
      <alignment horizontal="left" vertical="top" wrapText="1"/>
    </xf>
    <xf numFmtId="0" fontId="4" fillId="0" borderId="38" xfId="0" applyFont="1" applyFill="1" applyBorder="1" applyAlignment="1">
      <alignment horizontal="left" vertical="top" wrapText="1"/>
    </xf>
    <xf numFmtId="0" fontId="4" fillId="0" borderId="76" xfId="0" applyFont="1" applyFill="1" applyBorder="1" applyAlignment="1">
      <alignment horizontal="left" vertical="top" wrapText="1"/>
    </xf>
    <xf numFmtId="0" fontId="4" fillId="0" borderId="75" xfId="0" applyFont="1" applyFill="1" applyBorder="1" applyAlignment="1">
      <alignment horizontal="left" vertical="top" wrapText="1"/>
    </xf>
    <xf numFmtId="0" fontId="4" fillId="0" borderId="23" xfId="0" applyFont="1" applyBorder="1" applyAlignment="1">
      <alignment vertical="top" wrapText="1"/>
    </xf>
    <xf numFmtId="0" fontId="4" fillId="0" borderId="0" xfId="0" applyFont="1" applyAlignment="1">
      <alignment horizontal="center" vertical="top"/>
    </xf>
    <xf numFmtId="0" fontId="4" fillId="0" borderId="71" xfId="0" applyFont="1" applyFill="1" applyBorder="1" applyAlignment="1">
      <alignment horizontal="left" vertical="top" wrapText="1"/>
    </xf>
    <xf numFmtId="0" fontId="4" fillId="0" borderId="64" xfId="0" applyFont="1" applyBorder="1" applyAlignment="1">
      <alignment vertical="top" wrapText="1"/>
    </xf>
    <xf numFmtId="0" fontId="4" fillId="0" borderId="64" xfId="0" applyFont="1" applyFill="1" applyBorder="1" applyAlignment="1">
      <alignment vertical="top" wrapText="1"/>
    </xf>
    <xf numFmtId="0" fontId="4" fillId="0" borderId="0" xfId="0" applyFont="1" applyBorder="1" applyAlignment="1">
      <alignment horizontal="center" vertical="top"/>
    </xf>
    <xf numFmtId="0" fontId="4" fillId="0" borderId="59"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10" xfId="0" applyFont="1" applyFill="1" applyBorder="1" applyAlignment="1">
      <alignment horizontal="left" vertical="top" wrapText="1"/>
    </xf>
    <xf numFmtId="0" fontId="4" fillId="0" borderId="6" xfId="0" applyFont="1" applyFill="1" applyBorder="1" applyAlignment="1">
      <alignment vertical="top" wrapText="1"/>
    </xf>
    <xf numFmtId="0" fontId="64" fillId="0" borderId="0" xfId="0" applyFont="1" applyFill="1" applyBorder="1" applyAlignment="1">
      <alignment horizontal="center" vertical="center"/>
    </xf>
    <xf numFmtId="0" fontId="4" fillId="0" borderId="54" xfId="0" applyFont="1" applyFill="1" applyBorder="1" applyAlignment="1">
      <alignment vertical="center" wrapText="1"/>
    </xf>
    <xf numFmtId="0" fontId="4" fillId="0" borderId="33" xfId="0" applyFont="1" applyFill="1" applyBorder="1" applyAlignment="1">
      <alignment vertical="center" wrapText="1"/>
    </xf>
    <xf numFmtId="49" fontId="4" fillId="0" borderId="33" xfId="0" applyNumberFormat="1" applyFont="1" applyFill="1" applyBorder="1" applyAlignment="1">
      <alignment vertical="center" wrapText="1"/>
    </xf>
    <xf numFmtId="49" fontId="4" fillId="0" borderId="60" xfId="0" applyNumberFormat="1" applyFont="1" applyFill="1" applyBorder="1" applyAlignment="1">
      <alignment vertical="center" wrapText="1"/>
    </xf>
    <xf numFmtId="49" fontId="4" fillId="0" borderId="77" xfId="0" applyNumberFormat="1" applyFont="1" applyFill="1" applyBorder="1" applyAlignment="1">
      <alignment vertical="center" wrapText="1"/>
    </xf>
    <xf numFmtId="0" fontId="4" fillId="0" borderId="54" xfId="0" applyFont="1" applyFill="1" applyBorder="1" applyAlignment="1">
      <alignment horizontal="left" vertical="top" wrapText="1"/>
    </xf>
    <xf numFmtId="0" fontId="4" fillId="0" borderId="54" xfId="0" applyFont="1" applyFill="1" applyBorder="1" applyAlignment="1">
      <alignment vertical="top" wrapText="1"/>
    </xf>
    <xf numFmtId="0" fontId="49" fillId="0" borderId="59" xfId="0" applyFont="1" applyFill="1" applyBorder="1" applyAlignment="1">
      <alignment horizontal="right" vertical="top"/>
    </xf>
    <xf numFmtId="0" fontId="49" fillId="0" borderId="0" xfId="0" applyFont="1" applyFill="1" applyBorder="1" applyAlignment="1">
      <alignment horizontal="right" vertical="top"/>
    </xf>
    <xf numFmtId="2" fontId="4" fillId="0" borderId="15" xfId="0" applyNumberFormat="1" applyFont="1" applyBorder="1" applyAlignment="1">
      <alignment vertical="top" wrapText="1"/>
    </xf>
    <xf numFmtId="0" fontId="4" fillId="0" borderId="15" xfId="0" applyFont="1" applyBorder="1" applyAlignment="1">
      <alignment vertical="top" wrapText="1"/>
    </xf>
    <xf numFmtId="0" fontId="26" fillId="18" borderId="0" xfId="0" applyFont="1" applyFill="1" applyBorder="1" applyAlignment="1">
      <alignment horizontal="left" vertical="top" wrapText="1"/>
    </xf>
    <xf numFmtId="0" fontId="4" fillId="18" borderId="0" xfId="0" applyFont="1" applyFill="1" applyBorder="1" applyAlignment="1">
      <alignment horizontal="left" vertical="top" wrapText="1"/>
    </xf>
    <xf numFmtId="0" fontId="4" fillId="18" borderId="0" xfId="0" applyFont="1" applyFill="1" applyBorder="1" applyAlignment="1">
      <alignment vertical="top"/>
    </xf>
    <xf numFmtId="0" fontId="26" fillId="0" borderId="5" xfId="0" applyFont="1" applyBorder="1" applyAlignment="1">
      <alignment vertical="top" wrapText="1"/>
    </xf>
    <xf numFmtId="0" fontId="4" fillId="0" borderId="54" xfId="0" applyFont="1" applyBorder="1" applyAlignment="1">
      <alignment vertical="top" wrapText="1"/>
    </xf>
    <xf numFmtId="0" fontId="4" fillId="0" borderId="54" xfId="0" applyFont="1" applyBorder="1" applyAlignment="1">
      <alignment vertical="top"/>
    </xf>
    <xf numFmtId="0" fontId="4" fillId="0" borderId="54" xfId="0" applyFont="1" applyBorder="1" applyAlignment="1" applyProtection="1">
      <alignment vertical="top" wrapText="1"/>
    </xf>
    <xf numFmtId="0" fontId="26" fillId="0" borderId="60" xfId="0" applyFont="1" applyBorder="1" applyAlignment="1">
      <alignment vertical="top" wrapText="1"/>
    </xf>
    <xf numFmtId="0" fontId="4" fillId="0" borderId="16" xfId="0" applyFont="1" applyBorder="1" applyAlignment="1">
      <alignment vertical="top" wrapText="1"/>
    </xf>
    <xf numFmtId="0" fontId="5" fillId="0" borderId="54" xfId="0" applyFont="1" applyBorder="1" applyAlignment="1">
      <alignment vertical="top" wrapText="1"/>
    </xf>
    <xf numFmtId="0" fontId="5" fillId="0" borderId="33" xfId="0" applyFont="1" applyBorder="1" applyAlignment="1">
      <alignment vertical="top" wrapText="1"/>
    </xf>
    <xf numFmtId="0" fontId="4" fillId="0" borderId="71" xfId="0" applyFont="1" applyBorder="1" applyAlignment="1">
      <alignment vertical="top"/>
    </xf>
    <xf numFmtId="0" fontId="26" fillId="0" borderId="46" xfId="0" applyFont="1" applyBorder="1" applyAlignment="1">
      <alignment vertical="top" wrapText="1"/>
    </xf>
    <xf numFmtId="0" fontId="15" fillId="0" borderId="46" xfId="0" applyFont="1" applyBorder="1" applyAlignment="1">
      <alignment vertical="top" wrapText="1"/>
    </xf>
    <xf numFmtId="0" fontId="4" fillId="0" borderId="36" xfId="0" applyFont="1" applyBorder="1" applyAlignment="1">
      <alignment vertical="top" wrapText="1"/>
    </xf>
    <xf numFmtId="0" fontId="4" fillId="0" borderId="64" xfId="0" applyFont="1" applyBorder="1" applyAlignment="1">
      <alignment vertical="top"/>
    </xf>
    <xf numFmtId="0" fontId="26" fillId="0" borderId="46" xfId="0" applyFont="1" applyBorder="1" applyAlignment="1">
      <alignment vertical="top"/>
    </xf>
    <xf numFmtId="0" fontId="4" fillId="0" borderId="46" xfId="0" applyFont="1" applyBorder="1" applyAlignment="1">
      <alignment vertical="top"/>
    </xf>
    <xf numFmtId="0" fontId="4" fillId="0" borderId="34" xfId="0" applyFont="1" applyBorder="1" applyAlignment="1">
      <alignment vertical="top"/>
    </xf>
    <xf numFmtId="0" fontId="4" fillId="0" borderId="64" xfId="0" applyFont="1" applyFill="1" applyBorder="1" applyAlignment="1">
      <alignment horizontal="left" vertical="top"/>
    </xf>
    <xf numFmtId="0" fontId="34" fillId="0" borderId="64" xfId="0" applyFont="1" applyFill="1" applyBorder="1" applyAlignment="1">
      <alignment horizontal="center" vertical="top"/>
    </xf>
    <xf numFmtId="0" fontId="4" fillId="0" borderId="64" xfId="0" applyFont="1" applyFill="1" applyBorder="1" applyAlignment="1">
      <alignment vertical="top"/>
    </xf>
    <xf numFmtId="0" fontId="34" fillId="0" borderId="64" xfId="0" applyFont="1" applyFill="1" applyBorder="1" applyAlignment="1" applyProtection="1">
      <alignment horizontal="center" vertical="top" wrapText="1"/>
      <protection locked="0"/>
    </xf>
    <xf numFmtId="0" fontId="34" fillId="0" borderId="0" xfId="0" applyFont="1" applyFill="1" applyBorder="1" applyAlignment="1" applyProtection="1">
      <alignment horizontal="center" vertical="top" wrapText="1"/>
      <protection locked="0"/>
    </xf>
    <xf numFmtId="0" fontId="55" fillId="26" borderId="5" xfId="0" applyFont="1" applyFill="1" applyBorder="1" applyAlignment="1">
      <alignment horizontal="center" vertical="top"/>
    </xf>
    <xf numFmtId="0" fontId="5" fillId="0" borderId="0" xfId="0" applyFont="1" applyBorder="1" applyAlignment="1">
      <alignment horizontal="center" vertical="top"/>
    </xf>
    <xf numFmtId="0" fontId="5" fillId="0" borderId="0" xfId="0" applyFont="1" applyAlignment="1">
      <alignment horizontal="center" vertical="top"/>
    </xf>
    <xf numFmtId="0" fontId="5" fillId="0" borderId="0" xfId="0" applyFont="1" applyFill="1" applyAlignment="1">
      <alignment horizontal="left" vertical="top"/>
    </xf>
    <xf numFmtId="0" fontId="5" fillId="0" borderId="0" xfId="0" applyFont="1" applyFill="1" applyBorder="1" applyAlignment="1">
      <alignment horizontal="left" vertical="top"/>
    </xf>
    <xf numFmtId="0" fontId="53" fillId="0" borderId="0" xfId="1" applyFont="1" applyAlignment="1">
      <alignment vertical="top"/>
    </xf>
    <xf numFmtId="2" fontId="9" fillId="0" borderId="64" xfId="1" applyNumberFormat="1" applyFont="1" applyBorder="1" applyAlignment="1">
      <alignment vertical="center"/>
    </xf>
    <xf numFmtId="2" fontId="9" fillId="0" borderId="0" xfId="1" applyNumberFormat="1" applyFont="1" applyBorder="1" applyAlignment="1">
      <alignment vertical="center"/>
    </xf>
    <xf numFmtId="0" fontId="9" fillId="0" borderId="13" xfId="1" applyFont="1" applyBorder="1" applyAlignment="1">
      <alignment vertical="center"/>
    </xf>
    <xf numFmtId="2" fontId="9" fillId="0" borderId="0" xfId="1" applyNumberFormat="1" applyFont="1" applyBorder="1" applyAlignment="1">
      <alignment vertical="top"/>
    </xf>
    <xf numFmtId="49" fontId="4" fillId="19" borderId="4" xfId="1" applyNumberFormat="1" applyFont="1" applyFill="1" applyBorder="1" applyAlignment="1" applyProtection="1">
      <alignment horizontal="center" vertical="center" wrapText="1"/>
      <protection locked="0"/>
    </xf>
    <xf numFmtId="49" fontId="1" fillId="0" borderId="63" xfId="1" applyNumberFormat="1" applyFont="1" applyFill="1" applyBorder="1" applyAlignment="1">
      <alignment horizontal="center" vertical="center" wrapText="1"/>
    </xf>
    <xf numFmtId="49" fontId="1" fillId="0" borderId="39" xfId="1" applyNumberFormat="1" applyFont="1" applyFill="1" applyBorder="1" applyAlignment="1">
      <alignment horizontal="center" vertical="center" wrapText="1"/>
    </xf>
    <xf numFmtId="0" fontId="58" fillId="0" borderId="9" xfId="0" applyFont="1" applyBorder="1" applyAlignment="1">
      <alignment horizontal="center" vertical="top" wrapText="1"/>
    </xf>
    <xf numFmtId="0" fontId="58" fillId="0" borderId="1" xfId="0" applyFont="1" applyBorder="1" applyAlignment="1">
      <alignment horizontal="center" vertical="top" wrapText="1"/>
    </xf>
    <xf numFmtId="0" fontId="58" fillId="0" borderId="0" xfId="0" applyFont="1" applyBorder="1" applyAlignment="1">
      <alignment horizontal="center" vertical="top" wrapText="1"/>
    </xf>
    <xf numFmtId="0" fontId="58" fillId="0" borderId="2" xfId="0" applyFont="1" applyBorder="1" applyAlignment="1">
      <alignment horizontal="center" vertical="top" wrapText="1"/>
    </xf>
    <xf numFmtId="0" fontId="58" fillId="0" borderId="3" xfId="0" applyFont="1" applyBorder="1" applyAlignment="1">
      <alignment horizontal="center" vertical="top" wrapText="1"/>
    </xf>
    <xf numFmtId="49" fontId="54" fillId="0" borderId="47" xfId="1" applyNumberFormat="1" applyFont="1" applyFill="1" applyBorder="1" applyAlignment="1">
      <alignment horizontal="right" vertical="center" wrapText="1"/>
    </xf>
    <xf numFmtId="49" fontId="1" fillId="27" borderId="5" xfId="1" applyNumberFormat="1" applyFont="1" applyFill="1" applyBorder="1" applyAlignment="1">
      <alignment horizontal="center" vertical="center" wrapText="1"/>
    </xf>
    <xf numFmtId="49" fontId="20" fillId="27" borderId="15" xfId="1" applyNumberFormat="1" applyFont="1" applyFill="1" applyBorder="1" applyAlignment="1">
      <alignment vertical="center" wrapText="1"/>
    </xf>
    <xf numFmtId="49" fontId="20" fillId="27" borderId="16" xfId="1" applyNumberFormat="1" applyFont="1" applyFill="1" applyBorder="1" applyAlignment="1">
      <alignment vertical="center" wrapText="1"/>
    </xf>
    <xf numFmtId="49" fontId="19" fillId="27" borderId="36" xfId="1" applyNumberFormat="1" applyFont="1" applyFill="1" applyBorder="1" applyAlignment="1">
      <alignment horizontal="center" vertical="center" wrapText="1"/>
    </xf>
    <xf numFmtId="49" fontId="1" fillId="27" borderId="34" xfId="1" applyNumberFormat="1" applyFont="1" applyFill="1" applyBorder="1" applyAlignment="1">
      <alignment horizontal="center" vertical="center" wrapText="1"/>
    </xf>
    <xf numFmtId="49" fontId="20" fillId="27" borderId="6" xfId="1" applyNumberFormat="1" applyFont="1" applyFill="1" applyBorder="1" applyAlignment="1">
      <alignment vertical="center" wrapText="1"/>
    </xf>
    <xf numFmtId="49" fontId="20" fillId="27" borderId="17" xfId="1" applyNumberFormat="1" applyFont="1" applyFill="1" applyBorder="1" applyAlignment="1">
      <alignment vertical="center" wrapText="1"/>
    </xf>
    <xf numFmtId="49" fontId="20" fillId="27" borderId="73" xfId="1" applyNumberFormat="1" applyFont="1" applyFill="1" applyBorder="1" applyAlignment="1">
      <alignment vertical="center" wrapText="1"/>
    </xf>
    <xf numFmtId="49" fontId="9" fillId="0" borderId="5" xfId="1" applyNumberFormat="1" applyFont="1" applyFill="1" applyBorder="1" applyAlignment="1">
      <alignment vertical="center"/>
    </xf>
    <xf numFmtId="49" fontId="20" fillId="27" borderId="12" xfId="1" applyNumberFormat="1" applyFont="1" applyFill="1" applyBorder="1" applyAlignment="1">
      <alignment vertical="center" wrapText="1"/>
    </xf>
    <xf numFmtId="2" fontId="54" fillId="0" borderId="23" xfId="1" applyNumberFormat="1" applyFont="1" applyFill="1" applyBorder="1" applyAlignment="1">
      <alignment horizontal="right" vertical="center" wrapText="1"/>
    </xf>
    <xf numFmtId="0" fontId="35" fillId="0" borderId="34" xfId="0" applyFont="1" applyFill="1" applyBorder="1" applyAlignment="1">
      <alignment vertical="center"/>
    </xf>
    <xf numFmtId="0" fontId="15" fillId="0" borderId="0" xfId="0" applyFont="1" applyAlignment="1">
      <alignment vertical="center" wrapText="1"/>
    </xf>
    <xf numFmtId="0" fontId="15" fillId="5" borderId="5" xfId="0" applyFont="1" applyFill="1" applyBorder="1" applyAlignment="1">
      <alignment horizontal="center" vertical="center" wrapText="1"/>
    </xf>
    <xf numFmtId="49" fontId="15" fillId="15" borderId="5" xfId="0" applyNumberFormat="1" applyFont="1" applyFill="1" applyBorder="1" applyAlignment="1">
      <alignment horizontal="center" vertical="center" wrapText="1"/>
    </xf>
    <xf numFmtId="1" fontId="15" fillId="5" borderId="42" xfId="0" applyNumberFormat="1" applyFont="1" applyFill="1" applyBorder="1" applyAlignment="1" applyProtection="1">
      <alignment horizontal="center" vertical="center" wrapText="1"/>
      <protection hidden="1"/>
    </xf>
    <xf numFmtId="0" fontId="15" fillId="5" borderId="42" xfId="0" applyFont="1" applyFill="1" applyBorder="1" applyAlignment="1" applyProtection="1">
      <alignment horizontal="center" vertical="center" wrapText="1"/>
      <protection hidden="1"/>
    </xf>
    <xf numFmtId="2" fontId="15" fillId="5" borderId="42" xfId="0" applyNumberFormat="1" applyFont="1" applyFill="1" applyBorder="1" applyAlignment="1" applyProtection="1">
      <alignment horizontal="center" vertical="center" wrapText="1"/>
    </xf>
    <xf numFmtId="0" fontId="15" fillId="5" borderId="71" xfId="0" applyFont="1" applyFill="1" applyBorder="1" applyAlignment="1">
      <alignment horizontal="center" vertical="center" wrapText="1"/>
    </xf>
    <xf numFmtId="0" fontId="15" fillId="15" borderId="11" xfId="0" applyFont="1" applyFill="1" applyBorder="1" applyAlignment="1">
      <alignment horizontal="center" vertical="center" wrapText="1"/>
    </xf>
    <xf numFmtId="0" fontId="30" fillId="0" borderId="69" xfId="0" applyNumberFormat="1" applyFont="1" applyBorder="1" applyAlignment="1">
      <alignment vertical="top" wrapText="1"/>
    </xf>
    <xf numFmtId="0" fontId="4" fillId="0" borderId="23" xfId="0" applyFont="1" applyBorder="1" applyAlignment="1">
      <alignment vertical="top" wrapText="1"/>
    </xf>
    <xf numFmtId="0" fontId="4" fillId="0" borderId="42" xfId="0" applyFont="1" applyBorder="1" applyAlignment="1">
      <alignment vertical="top" wrapText="1"/>
    </xf>
    <xf numFmtId="0" fontId="4" fillId="0" borderId="22" xfId="0" applyFont="1" applyBorder="1" applyAlignment="1">
      <alignment horizontal="left" vertical="top" wrapText="1"/>
    </xf>
    <xf numFmtId="0" fontId="4" fillId="0" borderId="6" xfId="0" applyFont="1" applyFill="1" applyBorder="1" applyAlignment="1">
      <alignment vertical="top" wrapText="1"/>
    </xf>
    <xf numFmtId="0" fontId="4" fillId="0" borderId="34"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2" xfId="0" applyFont="1" applyBorder="1" applyAlignment="1">
      <alignment horizontal="left" vertical="top" wrapText="1"/>
    </xf>
    <xf numFmtId="0" fontId="4" fillId="0" borderId="0" xfId="0" applyFont="1" applyBorder="1" applyAlignment="1">
      <alignment horizontal="center" vertical="top" wrapText="1"/>
    </xf>
    <xf numFmtId="0" fontId="4" fillId="0" borderId="42" xfId="0" applyFont="1" applyFill="1" applyBorder="1" applyAlignment="1">
      <alignment vertical="top" wrapText="1"/>
    </xf>
    <xf numFmtId="0" fontId="4" fillId="0" borderId="56" xfId="0" applyFont="1" applyBorder="1" applyAlignment="1">
      <alignment horizontal="center" vertical="top" wrapText="1"/>
    </xf>
    <xf numFmtId="0" fontId="4" fillId="0" borderId="30" xfId="0" applyFont="1" applyFill="1" applyBorder="1" applyAlignment="1">
      <alignment vertical="top" wrapText="1"/>
    </xf>
    <xf numFmtId="49" fontId="15" fillId="5" borderId="5" xfId="0" applyNumberFormat="1" applyFont="1" applyFill="1" applyBorder="1" applyAlignment="1">
      <alignment horizontal="center" vertical="center" wrapText="1"/>
    </xf>
    <xf numFmtId="0" fontId="15" fillId="5" borderId="53" xfId="0" applyFont="1" applyFill="1" applyBorder="1" applyAlignment="1">
      <alignment horizontal="center" vertical="center" wrapText="1"/>
    </xf>
    <xf numFmtId="1" fontId="15" fillId="5" borderId="5" xfId="0" applyNumberFormat="1" applyFont="1" applyFill="1" applyBorder="1" applyAlignment="1" applyProtection="1">
      <alignment horizontal="center" vertical="center" wrapText="1"/>
      <protection hidden="1"/>
    </xf>
    <xf numFmtId="0" fontId="15" fillId="5" borderId="53" xfId="0" applyFont="1" applyFill="1" applyBorder="1" applyAlignment="1" applyProtection="1">
      <alignment horizontal="center" vertical="center" wrapText="1"/>
      <protection hidden="1"/>
    </xf>
    <xf numFmtId="2" fontId="15" fillId="5" borderId="5" xfId="0" applyNumberFormat="1" applyFont="1" applyFill="1" applyBorder="1" applyAlignment="1" applyProtection="1">
      <alignment horizontal="center" vertical="center" wrapText="1"/>
      <protection hidden="1"/>
    </xf>
    <xf numFmtId="0" fontId="15" fillId="5" borderId="41" xfId="0" applyFont="1" applyFill="1" applyBorder="1" applyAlignment="1">
      <alignment horizontal="center" vertical="center" wrapText="1"/>
    </xf>
    <xf numFmtId="0" fontId="15" fillId="15" borderId="23" xfId="0" applyFont="1" applyFill="1" applyBorder="1" applyAlignment="1">
      <alignment horizontal="center" vertical="center" wrapText="1"/>
    </xf>
    <xf numFmtId="0" fontId="15" fillId="13" borderId="34"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 xfId="0" applyNumberFormat="1" applyFont="1" applyFill="1" applyBorder="1" applyAlignment="1">
      <alignment horizontal="center" vertical="center" wrapText="1"/>
    </xf>
    <xf numFmtId="49" fontId="15" fillId="13" borderId="53"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3"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1" xfId="0" applyFont="1" applyFill="1" applyBorder="1" applyAlignment="1">
      <alignment horizontal="center" vertical="center" wrapText="1"/>
    </xf>
    <xf numFmtId="2" fontId="30" fillId="5" borderId="5" xfId="0" applyNumberFormat="1" applyFont="1" applyFill="1" applyBorder="1" applyAlignment="1">
      <alignment horizontal="center" vertical="center" wrapText="1"/>
    </xf>
    <xf numFmtId="2" fontId="30" fillId="7" borderId="5" xfId="0" applyNumberFormat="1" applyFont="1" applyFill="1" applyBorder="1" applyAlignment="1">
      <alignment horizontal="center" vertical="center" wrapText="1"/>
    </xf>
    <xf numFmtId="0" fontId="32" fillId="0" borderId="5" xfId="0" applyFont="1" applyBorder="1" applyAlignment="1" applyProtection="1">
      <alignment horizontal="center" vertical="center"/>
      <protection hidden="1"/>
    </xf>
    <xf numFmtId="2" fontId="4" fillId="0" borderId="53" xfId="0" applyNumberFormat="1" applyFont="1" applyBorder="1" applyAlignment="1">
      <alignment horizontal="center" vertical="top" wrapText="1"/>
    </xf>
    <xf numFmtId="2" fontId="26" fillId="13" borderId="41" xfId="0" applyNumberFormat="1" applyFont="1" applyFill="1" applyBorder="1" applyAlignment="1">
      <alignment horizontal="center" vertical="center" wrapText="1"/>
    </xf>
    <xf numFmtId="0" fontId="4" fillId="0" borderId="42" xfId="0" applyFont="1" applyFill="1" applyBorder="1" applyAlignment="1">
      <alignment vertical="top"/>
    </xf>
    <xf numFmtId="0" fontId="15" fillId="5" borderId="34" xfId="0" applyFont="1" applyFill="1" applyBorder="1" applyAlignment="1">
      <alignment horizontal="center" vertical="center" wrapText="1"/>
    </xf>
    <xf numFmtId="49" fontId="15" fillId="5" borderId="41" xfId="0" applyNumberFormat="1" applyFont="1" applyFill="1" applyBorder="1" applyAlignment="1">
      <alignment horizontal="center" vertical="center" wrapText="1"/>
    </xf>
    <xf numFmtId="0" fontId="15" fillId="13" borderId="68" xfId="0" applyFont="1" applyFill="1" applyBorder="1" applyAlignment="1">
      <alignment horizontal="center" vertical="center" wrapText="1"/>
    </xf>
    <xf numFmtId="0" fontId="15" fillId="13" borderId="23" xfId="0" applyFont="1" applyFill="1" applyBorder="1" applyAlignment="1">
      <alignment horizontal="center" vertical="center" wrapText="1"/>
    </xf>
    <xf numFmtId="49" fontId="15" fillId="13" borderId="23" xfId="0" applyNumberFormat="1" applyFont="1" applyFill="1" applyBorder="1" applyAlignment="1">
      <alignment horizontal="center" vertical="center" wrapText="1"/>
    </xf>
    <xf numFmtId="49" fontId="15" fillId="13" borderId="59" xfId="0" applyNumberFormat="1" applyFont="1" applyFill="1" applyBorder="1" applyAlignment="1">
      <alignment horizontal="center" vertical="center" wrapText="1"/>
    </xf>
    <xf numFmtId="1" fontId="15" fillId="13" borderId="23" xfId="0" applyNumberFormat="1" applyFont="1" applyFill="1" applyBorder="1" applyAlignment="1" applyProtection="1">
      <alignment horizontal="center" vertical="center" wrapText="1"/>
      <protection hidden="1"/>
    </xf>
    <xf numFmtId="0" fontId="15" fillId="13" borderId="59" xfId="0" applyFont="1" applyFill="1" applyBorder="1" applyAlignment="1" applyProtection="1">
      <alignment horizontal="center" vertical="center" wrapText="1"/>
      <protection hidden="1"/>
    </xf>
    <xf numFmtId="2" fontId="15" fillId="13" borderId="23" xfId="0" applyNumberFormat="1" applyFont="1" applyFill="1" applyBorder="1" applyAlignment="1" applyProtection="1">
      <alignment horizontal="center" vertical="center" wrapText="1"/>
      <protection hidden="1"/>
    </xf>
    <xf numFmtId="0" fontId="15" fillId="5" borderId="5" xfId="0" applyFont="1" applyFill="1" applyBorder="1" applyAlignment="1">
      <alignment vertical="center" wrapText="1"/>
    </xf>
    <xf numFmtId="0" fontId="4" fillId="14" borderId="66" xfId="0" applyFont="1" applyFill="1" applyBorder="1" applyAlignment="1">
      <alignment horizontal="left" vertical="top" wrapText="1"/>
    </xf>
    <xf numFmtId="0" fontId="44" fillId="0" borderId="41" xfId="0" applyFont="1" applyFill="1" applyBorder="1" applyAlignment="1">
      <alignment vertical="top" wrapText="1"/>
    </xf>
    <xf numFmtId="0" fontId="44" fillId="0" borderId="12" xfId="0" applyFont="1" applyFill="1" applyBorder="1" applyAlignment="1">
      <alignment vertical="top" wrapText="1"/>
    </xf>
    <xf numFmtId="0" fontId="44" fillId="0" borderId="6" xfId="0" applyFont="1" applyFill="1" applyBorder="1" applyAlignment="1">
      <alignment vertical="top" wrapText="1"/>
    </xf>
    <xf numFmtId="0" fontId="4" fillId="14" borderId="8" xfId="0" applyFont="1" applyFill="1" applyBorder="1" applyAlignment="1">
      <alignment horizontal="left" vertical="top" wrapText="1"/>
    </xf>
    <xf numFmtId="0" fontId="44" fillId="0" borderId="17" xfId="0" applyFont="1" applyFill="1" applyBorder="1" applyAlignment="1">
      <alignment vertical="top" wrapText="1"/>
    </xf>
    <xf numFmtId="0" fontId="44" fillId="0" borderId="3" xfId="0" applyFont="1" applyFill="1" applyBorder="1" applyAlignment="1">
      <alignment horizontal="center" vertical="top" wrapText="1"/>
    </xf>
    <xf numFmtId="0" fontId="4" fillId="14" borderId="13" xfId="0" applyFont="1" applyFill="1" applyBorder="1" applyAlignment="1">
      <alignment horizontal="left" vertical="top" wrapText="1"/>
    </xf>
    <xf numFmtId="0" fontId="15" fillId="5" borderId="51" xfId="0" applyFont="1" applyFill="1" applyBorder="1" applyAlignment="1">
      <alignment horizontal="center" vertical="center" wrapText="1"/>
    </xf>
    <xf numFmtId="0" fontId="15" fillId="13" borderId="22" xfId="0" applyFont="1" applyFill="1" applyBorder="1" applyAlignment="1">
      <alignment horizontal="center" vertical="center" wrapText="1"/>
    </xf>
    <xf numFmtId="0" fontId="15" fillId="13" borderId="42" xfId="0"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49" fontId="15" fillId="13" borderId="42" xfId="0" applyNumberFormat="1" applyFont="1" applyFill="1" applyBorder="1" applyAlignment="1">
      <alignment horizontal="center" vertical="center" wrapText="1"/>
    </xf>
    <xf numFmtId="1" fontId="15" fillId="13" borderId="10" xfId="0" applyNumberFormat="1" applyFont="1" applyFill="1" applyBorder="1" applyAlignment="1" applyProtection="1">
      <alignment horizontal="center" vertical="center" wrapText="1"/>
      <protection hidden="1"/>
    </xf>
    <xf numFmtId="0" fontId="15" fillId="13" borderId="42" xfId="0" applyFont="1" applyFill="1" applyBorder="1" applyAlignment="1" applyProtection="1">
      <alignment horizontal="center" vertical="center" wrapText="1"/>
      <protection hidden="1"/>
    </xf>
    <xf numFmtId="2" fontId="15" fillId="13" borderId="10" xfId="0" applyNumberFormat="1" applyFont="1" applyFill="1" applyBorder="1" applyAlignment="1" applyProtection="1">
      <alignment horizontal="center" vertical="center" wrapText="1"/>
      <protection hidden="1"/>
    </xf>
    <xf numFmtId="0" fontId="4" fillId="0" borderId="6" xfId="0" applyFont="1" applyFill="1" applyBorder="1" applyAlignment="1">
      <alignment vertical="top" wrapText="1"/>
    </xf>
    <xf numFmtId="0" fontId="4" fillId="0" borderId="71" xfId="0" applyFont="1" applyFill="1" applyBorder="1" applyAlignment="1">
      <alignment horizontal="left" vertical="top" wrapText="1"/>
    </xf>
    <xf numFmtId="0" fontId="4" fillId="0" borderId="60" xfId="0" applyFont="1" applyFill="1" applyBorder="1" applyAlignment="1">
      <alignment horizontal="left" vertical="top" wrapText="1"/>
    </xf>
    <xf numFmtId="0" fontId="4" fillId="0" borderId="56" xfId="0" applyFont="1" applyFill="1" applyBorder="1" applyAlignment="1">
      <alignment vertical="top" wrapText="1"/>
    </xf>
    <xf numFmtId="0" fontId="15" fillId="15" borderId="5" xfId="0" applyFont="1" applyFill="1" applyBorder="1" applyAlignment="1">
      <alignment vertical="center" wrapText="1"/>
    </xf>
    <xf numFmtId="0" fontId="30" fillId="2" borderId="66" xfId="0" applyFont="1" applyFill="1" applyBorder="1" applyAlignment="1">
      <alignment horizontal="center" vertical="top" wrapText="1"/>
    </xf>
    <xf numFmtId="0" fontId="30" fillId="0" borderId="53" xfId="0" applyFont="1" applyFill="1" applyBorder="1" applyAlignment="1">
      <alignment vertical="top" wrapText="1"/>
    </xf>
    <xf numFmtId="0" fontId="30" fillId="0" borderId="51" xfId="0" applyFont="1" applyFill="1" applyBorder="1" applyAlignment="1">
      <alignment horizontal="center" vertical="top" wrapText="1"/>
    </xf>
    <xf numFmtId="0" fontId="30" fillId="0" borderId="74" xfId="0" applyFont="1" applyFill="1" applyBorder="1" applyAlignment="1">
      <alignment vertical="top" wrapText="1"/>
    </xf>
    <xf numFmtId="0" fontId="30" fillId="0" borderId="77" xfId="0" applyFont="1" applyFill="1" applyBorder="1" applyAlignment="1">
      <alignment vertical="top" wrapText="1"/>
    </xf>
    <xf numFmtId="0" fontId="30" fillId="0" borderId="20" xfId="0" applyFont="1" applyFill="1" applyBorder="1" applyAlignment="1">
      <alignment vertical="top" wrapText="1"/>
    </xf>
    <xf numFmtId="0" fontId="30" fillId="0" borderId="78" xfId="0" applyFont="1" applyFill="1" applyBorder="1" applyAlignment="1">
      <alignment vertical="top" wrapText="1"/>
    </xf>
    <xf numFmtId="0" fontId="30" fillId="2" borderId="54" xfId="0" applyFont="1" applyFill="1" applyBorder="1" applyAlignment="1">
      <alignment horizontal="center" vertical="top" wrapText="1"/>
    </xf>
    <xf numFmtId="0" fontId="30" fillId="0" borderId="9" xfId="0" applyFont="1" applyFill="1" applyBorder="1" applyAlignment="1">
      <alignment horizontal="center" vertical="top" wrapText="1"/>
    </xf>
    <xf numFmtId="0" fontId="30" fillId="0" borderId="13" xfId="0" applyFont="1" applyFill="1" applyBorder="1" applyAlignment="1">
      <alignment horizontal="center" vertical="top" wrapText="1"/>
    </xf>
    <xf numFmtId="0" fontId="30" fillId="0" borderId="8" xfId="0" applyFont="1" applyFill="1" applyBorder="1" applyAlignment="1">
      <alignment horizontal="center" vertical="top" wrapText="1"/>
    </xf>
    <xf numFmtId="1" fontId="30" fillId="0" borderId="17" xfId="0" applyNumberFormat="1" applyFont="1" applyBorder="1" applyAlignment="1">
      <alignment horizontal="left" vertical="top" wrapText="1"/>
    </xf>
    <xf numFmtId="0" fontId="30" fillId="0" borderId="76" xfId="0" applyFont="1" applyBorder="1" applyAlignment="1">
      <alignment vertical="top" wrapText="1"/>
    </xf>
    <xf numFmtId="0" fontId="30" fillId="0" borderId="33" xfId="0" applyFont="1" applyBorder="1" applyAlignment="1">
      <alignment vertical="top" wrapText="1"/>
    </xf>
    <xf numFmtId="0" fontId="30" fillId="0" borderId="75" xfId="0" applyFont="1" applyBorder="1" applyAlignment="1">
      <alignment vertical="top" wrapText="1"/>
    </xf>
    <xf numFmtId="1" fontId="30" fillId="2" borderId="50" xfId="0" applyNumberFormat="1" applyFont="1" applyFill="1" applyBorder="1" applyAlignment="1" applyProtection="1">
      <alignment horizontal="center" vertical="top" wrapText="1"/>
      <protection hidden="1"/>
    </xf>
    <xf numFmtId="1" fontId="30" fillId="2" borderId="54" xfId="0" applyNumberFormat="1" applyFont="1" applyFill="1" applyBorder="1" applyAlignment="1" applyProtection="1">
      <alignment horizontal="center" vertical="top" wrapText="1"/>
      <protection hidden="1"/>
    </xf>
    <xf numFmtId="1" fontId="15" fillId="13" borderId="42" xfId="0" applyNumberFormat="1" applyFont="1" applyFill="1" applyBorder="1" applyAlignment="1" applyProtection="1">
      <alignment horizontal="center" vertical="center" wrapText="1"/>
      <protection hidden="1"/>
    </xf>
    <xf numFmtId="0" fontId="15" fillId="13" borderId="10" xfId="0" applyFont="1" applyFill="1" applyBorder="1" applyAlignment="1" applyProtection="1">
      <alignment horizontal="center" vertical="center" wrapText="1"/>
      <protection hidden="1"/>
    </xf>
    <xf numFmtId="2" fontId="15" fillId="13" borderId="42" xfId="0" applyNumberFormat="1" applyFont="1" applyFill="1" applyBorder="1" applyAlignment="1" applyProtection="1">
      <alignment horizontal="center" vertical="center" wrapText="1"/>
    </xf>
    <xf numFmtId="0" fontId="15" fillId="13" borderId="42" xfId="0" applyFont="1" applyFill="1" applyBorder="1" applyAlignment="1">
      <alignment vertical="center" wrapText="1"/>
    </xf>
    <xf numFmtId="0" fontId="4" fillId="0" borderId="5" xfId="0" applyFont="1" applyFill="1" applyBorder="1" applyAlignment="1">
      <alignment vertical="top"/>
    </xf>
    <xf numFmtId="0" fontId="15" fillId="15" borderId="5" xfId="0" applyFont="1" applyFill="1" applyBorder="1" applyAlignment="1">
      <alignment horizontal="center" vertical="center" wrapText="1"/>
    </xf>
    <xf numFmtId="1" fontId="30" fillId="2" borderId="66" xfId="0" applyNumberFormat="1" applyFont="1" applyFill="1" applyBorder="1" applyAlignment="1">
      <alignment horizontal="center" vertical="top" wrapText="1"/>
    </xf>
    <xf numFmtId="0" fontId="30" fillId="0" borderId="73" xfId="0" applyFont="1" applyBorder="1" applyAlignment="1">
      <alignment horizontal="left" vertical="top" wrapText="1"/>
    </xf>
    <xf numFmtId="1" fontId="30" fillId="0" borderId="7" xfId="0" applyNumberFormat="1" applyFont="1" applyBorder="1" applyAlignment="1">
      <alignment horizontal="center" vertical="top" wrapText="1"/>
    </xf>
    <xf numFmtId="0" fontId="30" fillId="0" borderId="54" xfId="0" applyFont="1" applyBorder="1" applyAlignment="1">
      <alignment vertical="top" wrapText="1"/>
    </xf>
    <xf numFmtId="0" fontId="30" fillId="0" borderId="17" xfId="0" applyFont="1" applyBorder="1" applyAlignment="1">
      <alignment horizontal="center" vertical="top" wrapText="1"/>
    </xf>
    <xf numFmtId="0" fontId="30" fillId="0" borderId="60" xfId="0" applyFont="1" applyBorder="1" applyAlignment="1">
      <alignment vertical="top" wrapText="1"/>
    </xf>
    <xf numFmtId="0" fontId="30" fillId="0" borderId="51" xfId="0" applyFont="1" applyBorder="1" applyAlignment="1">
      <alignment horizontal="center" vertical="top" wrapText="1"/>
    </xf>
    <xf numFmtId="1" fontId="4" fillId="0" borderId="12" xfId="0" applyNumberFormat="1" applyFont="1" applyBorder="1" applyAlignment="1">
      <alignment vertical="top" wrapText="1"/>
    </xf>
    <xf numFmtId="0" fontId="4" fillId="0" borderId="11" xfId="0" applyFont="1" applyBorder="1" applyAlignment="1">
      <alignment horizontal="center" vertical="top" wrapText="1"/>
    </xf>
    <xf numFmtId="0" fontId="4" fillId="0" borderId="48" xfId="0" applyFont="1" applyBorder="1" applyAlignment="1">
      <alignment horizontal="center" vertical="top" wrapText="1"/>
    </xf>
    <xf numFmtId="0" fontId="4" fillId="0" borderId="45" xfId="0" applyFont="1" applyFill="1" applyBorder="1" applyAlignment="1">
      <alignment horizontal="left" vertical="top" wrapText="1"/>
    </xf>
    <xf numFmtId="0" fontId="4" fillId="0" borderId="76" xfId="0" applyFont="1" applyBorder="1" applyAlignment="1">
      <alignment vertical="top" wrapText="1"/>
    </xf>
    <xf numFmtId="0" fontId="4" fillId="0" borderId="20" xfId="0" applyFont="1" applyBorder="1" applyAlignment="1">
      <alignment vertical="top" wrapText="1"/>
    </xf>
    <xf numFmtId="2" fontId="4" fillId="7" borderId="23" xfId="0" applyNumberFormat="1" applyFont="1" applyFill="1" applyBorder="1" applyAlignment="1">
      <alignment horizontal="center" vertical="top" wrapText="1"/>
    </xf>
    <xf numFmtId="1" fontId="4" fillId="25" borderId="47" xfId="0" applyNumberFormat="1" applyFont="1" applyFill="1" applyBorder="1" applyAlignment="1">
      <alignment horizontal="center" vertical="top" wrapText="1"/>
    </xf>
    <xf numFmtId="0" fontId="4" fillId="0" borderId="41" xfId="0" applyNumberFormat="1" applyFont="1" applyBorder="1" applyAlignment="1">
      <alignment horizontal="left" vertical="top" wrapText="1"/>
    </xf>
    <xf numFmtId="0" fontId="4" fillId="0" borderId="14" xfId="0" applyNumberFormat="1" applyFont="1" applyBorder="1" applyAlignment="1">
      <alignment horizontal="left" vertical="top" wrapText="1"/>
    </xf>
    <xf numFmtId="0" fontId="4" fillId="0" borderId="15" xfId="0" applyNumberFormat="1" applyFont="1" applyBorder="1" applyAlignment="1">
      <alignment horizontal="left" vertical="top" wrapText="1"/>
    </xf>
    <xf numFmtId="0" fontId="4" fillId="0" borderId="10" xfId="0" applyNumberFormat="1" applyFont="1" applyBorder="1" applyAlignment="1">
      <alignment horizontal="left" vertical="top" wrapText="1"/>
    </xf>
    <xf numFmtId="1" fontId="15" fillId="5" borderId="53" xfId="0" applyNumberFormat="1" applyFont="1" applyFill="1" applyBorder="1" applyAlignment="1" applyProtection="1">
      <alignment horizontal="center" vertical="center" wrapText="1"/>
      <protection hidden="1"/>
    </xf>
    <xf numFmtId="0" fontId="15" fillId="5" borderId="5" xfId="0" applyFont="1" applyFill="1" applyBorder="1" applyAlignment="1" applyProtection="1">
      <alignment horizontal="center" vertical="center" wrapText="1"/>
      <protection hidden="1"/>
    </xf>
    <xf numFmtId="2" fontId="15" fillId="5" borderId="53" xfId="0" applyNumberFormat="1" applyFont="1" applyFill="1" applyBorder="1" applyAlignment="1" applyProtection="1">
      <alignment horizontal="center" vertical="center" wrapText="1"/>
      <protection hidden="1"/>
    </xf>
    <xf numFmtId="0" fontId="4" fillId="0" borderId="41" xfId="0" applyNumberFormat="1" applyFont="1" applyFill="1" applyBorder="1" applyAlignment="1">
      <alignment vertical="top" wrapText="1"/>
    </xf>
    <xf numFmtId="0" fontId="4" fillId="0" borderId="12" xfId="0" applyNumberFormat="1" applyFont="1" applyFill="1" applyBorder="1" applyAlignment="1">
      <alignment vertical="top" wrapText="1"/>
    </xf>
    <xf numFmtId="0" fontId="4" fillId="0" borderId="6" xfId="0" applyNumberFormat="1" applyFont="1" applyFill="1" applyBorder="1" applyAlignment="1">
      <alignment vertical="top" wrapText="1"/>
    </xf>
    <xf numFmtId="0" fontId="4" fillId="0" borderId="17" xfId="0" applyNumberFormat="1" applyFont="1" applyFill="1" applyBorder="1" applyAlignment="1">
      <alignment vertical="top" wrapText="1"/>
    </xf>
    <xf numFmtId="2" fontId="4" fillId="0" borderId="41" xfId="0" applyNumberFormat="1" applyFont="1" applyFill="1" applyBorder="1" applyAlignment="1">
      <alignment horizontal="left" vertical="top" wrapText="1"/>
    </xf>
    <xf numFmtId="2" fontId="4" fillId="0" borderId="12" xfId="0" applyNumberFormat="1" applyFont="1" applyFill="1" applyBorder="1" applyAlignment="1">
      <alignment horizontal="left" vertical="top" wrapText="1"/>
    </xf>
    <xf numFmtId="2" fontId="4" fillId="0" borderId="6" xfId="0" applyNumberFormat="1" applyFont="1" applyFill="1" applyBorder="1" applyAlignment="1">
      <alignment horizontal="left" vertical="top" wrapText="1"/>
    </xf>
    <xf numFmtId="2" fontId="4" fillId="0" borderId="50" xfId="0" applyNumberFormat="1" applyFont="1" applyFill="1" applyBorder="1" applyAlignment="1">
      <alignment horizontal="left" vertical="top" wrapText="1"/>
    </xf>
    <xf numFmtId="0" fontId="4" fillId="0" borderId="6" xfId="0" applyFont="1" applyFill="1" applyBorder="1" applyAlignment="1">
      <alignment vertical="top" wrapText="1"/>
    </xf>
    <xf numFmtId="0" fontId="4" fillId="0" borderId="0" xfId="0" applyFont="1" applyFill="1" applyBorder="1" applyAlignment="1">
      <alignment horizontal="left" vertical="top" wrapText="1"/>
    </xf>
    <xf numFmtId="49" fontId="4" fillId="0" borderId="0" xfId="0" applyNumberFormat="1" applyFont="1" applyBorder="1" applyAlignment="1">
      <alignment horizontal="left" vertical="top" wrapText="1"/>
    </xf>
    <xf numFmtId="49" fontId="4" fillId="0" borderId="34" xfId="0" applyNumberFormat="1" applyFont="1" applyBorder="1" applyAlignment="1">
      <alignment horizontal="left" vertical="top" wrapText="1"/>
    </xf>
    <xf numFmtId="0" fontId="4" fillId="0" borderId="5" xfId="0" applyNumberFormat="1" applyFont="1" applyFill="1" applyBorder="1" applyAlignment="1">
      <alignment vertical="top" wrapText="1"/>
    </xf>
    <xf numFmtId="0" fontId="4" fillId="0" borderId="6" xfId="0" applyNumberFormat="1" applyFont="1" applyBorder="1" applyAlignment="1">
      <alignment horizontal="left" vertical="top" wrapText="1"/>
    </xf>
    <xf numFmtId="0" fontId="4" fillId="0" borderId="50" xfId="0" applyNumberFormat="1" applyFont="1" applyBorder="1" applyAlignment="1">
      <alignment horizontal="left" vertical="top" wrapText="1"/>
    </xf>
    <xf numFmtId="0" fontId="4" fillId="0" borderId="12" xfId="0" applyNumberFormat="1" applyFont="1" applyBorder="1" applyAlignment="1">
      <alignment horizontal="left" vertical="top" wrapText="1"/>
    </xf>
    <xf numFmtId="1" fontId="4" fillId="0" borderId="60" xfId="0" applyNumberFormat="1" applyFont="1" applyFill="1" applyBorder="1" applyAlignment="1">
      <alignment horizontal="left" vertical="top" wrapText="1"/>
    </xf>
    <xf numFmtId="1" fontId="4" fillId="0" borderId="54" xfId="0" applyNumberFormat="1" applyFont="1" applyFill="1" applyBorder="1" applyAlignment="1">
      <alignment horizontal="left" vertical="top" wrapText="1"/>
    </xf>
    <xf numFmtId="2" fontId="4" fillId="5" borderId="34" xfId="0" applyNumberFormat="1" applyFont="1" applyFill="1" applyBorder="1" applyAlignment="1">
      <alignment horizontal="center" vertical="center" wrapText="1"/>
    </xf>
    <xf numFmtId="0" fontId="12" fillId="0" borderId="5" xfId="0" applyFont="1" applyBorder="1" applyAlignment="1">
      <alignment horizontal="center" vertical="center"/>
    </xf>
    <xf numFmtId="2" fontId="4" fillId="6" borderId="39" xfId="0" applyNumberFormat="1" applyFont="1" applyFill="1" applyBorder="1" applyAlignment="1">
      <alignment horizontal="center" vertical="center" wrapText="1"/>
    </xf>
    <xf numFmtId="2" fontId="4" fillId="6" borderId="1" xfId="0" applyNumberFormat="1" applyFont="1" applyFill="1" applyBorder="1" applyAlignment="1">
      <alignment horizontal="center" vertical="center" wrapText="1"/>
    </xf>
    <xf numFmtId="2" fontId="4" fillId="6" borderId="47" xfId="0" applyNumberFormat="1" applyFont="1" applyFill="1" applyBorder="1" applyAlignment="1">
      <alignment horizontal="center" vertical="center" wrapText="1"/>
    </xf>
    <xf numFmtId="2" fontId="4" fillId="5" borderId="5" xfId="0" applyNumberFormat="1" applyFont="1" applyFill="1" applyBorder="1" applyAlignment="1">
      <alignment horizontal="center" vertical="center" wrapText="1"/>
    </xf>
    <xf numFmtId="2" fontId="4" fillId="10" borderId="14" xfId="0" applyNumberFormat="1" applyFont="1" applyFill="1" applyBorder="1" applyAlignment="1">
      <alignment horizontal="center" vertical="center" wrapText="1"/>
    </xf>
    <xf numFmtId="2" fontId="4" fillId="9" borderId="5" xfId="0" applyNumberFormat="1" applyFont="1" applyFill="1" applyBorder="1" applyAlignment="1">
      <alignment horizontal="center" vertical="center" wrapText="1"/>
    </xf>
    <xf numFmtId="2" fontId="30" fillId="6" borderId="47" xfId="0" applyNumberFormat="1" applyFont="1" applyFill="1" applyBorder="1" applyAlignment="1">
      <alignment horizontal="center" vertical="center" wrapText="1"/>
    </xf>
    <xf numFmtId="2" fontId="30" fillId="5" borderId="34" xfId="0" applyNumberFormat="1" applyFont="1" applyFill="1" applyBorder="1" applyAlignment="1">
      <alignment horizontal="center" vertical="center"/>
    </xf>
    <xf numFmtId="2" fontId="30" fillId="7" borderId="34" xfId="0" applyNumberFormat="1" applyFont="1" applyFill="1" applyBorder="1" applyAlignment="1">
      <alignment horizontal="center" vertical="center" wrapText="1"/>
    </xf>
    <xf numFmtId="2" fontId="4" fillId="5" borderId="5" xfId="0" applyNumberFormat="1" applyFont="1" applyFill="1" applyBorder="1" applyAlignment="1">
      <alignment horizontal="center" vertical="center"/>
    </xf>
    <xf numFmtId="2" fontId="4" fillId="7" borderId="5" xfId="0" applyNumberFormat="1" applyFont="1" applyFill="1" applyBorder="1" applyAlignment="1">
      <alignment horizontal="center" vertical="center"/>
    </xf>
    <xf numFmtId="2" fontId="4" fillId="6" borderId="47" xfId="0" applyNumberFormat="1" applyFont="1" applyFill="1" applyBorder="1" applyAlignment="1" applyProtection="1">
      <alignment horizontal="center" vertical="center" wrapText="1"/>
    </xf>
    <xf numFmtId="2" fontId="30" fillId="5" borderId="5" xfId="0" applyNumberFormat="1" applyFont="1" applyFill="1" applyBorder="1" applyAlignment="1" applyProtection="1">
      <alignment horizontal="center" vertical="center" wrapText="1"/>
    </xf>
    <xf numFmtId="2" fontId="30" fillId="7" borderId="5" xfId="0" applyNumberFormat="1" applyFont="1" applyFill="1" applyBorder="1" applyAlignment="1" applyProtection="1">
      <alignment horizontal="center" vertical="center" wrapText="1"/>
    </xf>
    <xf numFmtId="1" fontId="15" fillId="13" borderId="59" xfId="0" applyNumberFormat="1" applyFont="1" applyFill="1" applyBorder="1" applyAlignment="1" applyProtection="1">
      <alignment horizontal="center" vertical="center" wrapText="1"/>
      <protection hidden="1"/>
    </xf>
    <xf numFmtId="0" fontId="15" fillId="13" borderId="5" xfId="0" applyFont="1" applyFill="1" applyBorder="1" applyAlignment="1" applyProtection="1">
      <alignment horizontal="center" vertical="center" wrapText="1"/>
      <protection hidden="1"/>
    </xf>
    <xf numFmtId="2" fontId="15" fillId="13" borderId="59" xfId="0" applyNumberFormat="1" applyFont="1" applyFill="1" applyBorder="1" applyAlignment="1" applyProtection="1">
      <alignment horizontal="center" vertical="center" wrapText="1"/>
      <protection hidden="1"/>
    </xf>
    <xf numFmtId="2" fontId="4" fillId="5" borderId="42" xfId="0" applyNumberFormat="1" applyFont="1" applyFill="1" applyBorder="1" applyAlignment="1">
      <alignment horizontal="center" vertical="top"/>
    </xf>
    <xf numFmtId="0" fontId="4" fillId="0" borderId="5" xfId="0" applyFont="1" applyBorder="1" applyAlignment="1">
      <alignment vertical="top"/>
    </xf>
    <xf numFmtId="0" fontId="15" fillId="13" borderId="5" xfId="0" applyFont="1" applyFill="1" applyBorder="1" applyAlignment="1">
      <alignment horizontal="center" vertical="center"/>
    </xf>
    <xf numFmtId="2" fontId="4" fillId="6" borderId="39" xfId="0" applyNumberFormat="1" applyFont="1" applyFill="1" applyBorder="1" applyAlignment="1">
      <alignment horizontal="center" vertical="center"/>
    </xf>
    <xf numFmtId="2" fontId="4" fillId="6" borderId="1" xfId="0" applyNumberFormat="1" applyFont="1" applyFill="1" applyBorder="1" applyAlignment="1">
      <alignment horizontal="center" vertical="center"/>
    </xf>
    <xf numFmtId="2" fontId="4" fillId="6" borderId="47" xfId="0" applyNumberFormat="1" applyFont="1" applyFill="1" applyBorder="1" applyAlignment="1">
      <alignment horizontal="center" vertical="center"/>
    </xf>
    <xf numFmtId="0" fontId="4" fillId="0" borderId="76" xfId="0" applyFont="1" applyFill="1" applyBorder="1" applyAlignment="1">
      <alignment vertical="top" wrapText="1"/>
    </xf>
    <xf numFmtId="0" fontId="4" fillId="0" borderId="58" xfId="0" applyFont="1" applyFill="1" applyBorder="1" applyAlignment="1">
      <alignment horizontal="center" vertical="top" wrapText="1"/>
    </xf>
    <xf numFmtId="0" fontId="4" fillId="0" borderId="77" xfId="0" applyFont="1" applyFill="1" applyBorder="1" applyAlignment="1">
      <alignment vertical="top" wrapText="1"/>
    </xf>
    <xf numFmtId="0" fontId="15" fillId="5" borderId="51" xfId="0" applyFont="1" applyFill="1" applyBorder="1" applyAlignment="1">
      <alignment horizontal="center" vertical="top" wrapText="1"/>
    </xf>
    <xf numFmtId="1" fontId="15" fillId="5" borderId="5" xfId="0" applyNumberFormat="1" applyFont="1" applyFill="1" applyBorder="1" applyAlignment="1" applyProtection="1">
      <alignment horizontal="center" vertical="top" wrapText="1"/>
      <protection hidden="1"/>
    </xf>
    <xf numFmtId="0" fontId="15" fillId="5" borderId="53" xfId="0" applyFont="1" applyFill="1" applyBorder="1" applyAlignment="1" applyProtection="1">
      <alignment horizontal="center" vertical="top" wrapText="1"/>
      <protection hidden="1"/>
    </xf>
    <xf numFmtId="0" fontId="4" fillId="0" borderId="23" xfId="0" applyFont="1" applyFill="1" applyBorder="1" applyAlignment="1">
      <alignment horizontal="left" vertical="top" wrapText="1"/>
    </xf>
    <xf numFmtId="0" fontId="4" fillId="0" borderId="46" xfId="0" applyFont="1" applyBorder="1" applyAlignment="1">
      <alignment vertical="top" wrapText="1"/>
    </xf>
    <xf numFmtId="0" fontId="4" fillId="0" borderId="46" xfId="0" applyFont="1" applyFill="1" applyBorder="1" applyAlignment="1">
      <alignment vertical="top" wrapText="1"/>
    </xf>
    <xf numFmtId="0" fontId="4" fillId="0" borderId="15" xfId="0" applyFont="1" applyFill="1" applyBorder="1" applyAlignment="1">
      <alignment vertical="top" wrapText="1"/>
    </xf>
    <xf numFmtId="0" fontId="4" fillId="0" borderId="6" xfId="0" applyFont="1" applyFill="1" applyBorder="1" applyAlignment="1">
      <alignment vertical="top" wrapText="1"/>
    </xf>
    <xf numFmtId="0" fontId="4" fillId="0" borderId="0" xfId="0" applyFont="1" applyBorder="1" applyAlignment="1">
      <alignment horizontal="center" vertical="top" wrapText="1"/>
    </xf>
    <xf numFmtId="0" fontId="4" fillId="0" borderId="42" xfId="0" applyFont="1" applyFill="1" applyBorder="1" applyAlignment="1">
      <alignment vertical="top" wrapText="1"/>
    </xf>
    <xf numFmtId="0" fontId="4" fillId="0" borderId="71" xfId="0" applyFont="1" applyFill="1" applyBorder="1" applyAlignment="1">
      <alignment horizontal="left" vertical="top" wrapText="1"/>
    </xf>
    <xf numFmtId="0" fontId="4" fillId="0" borderId="74" xfId="0" applyFont="1" applyFill="1" applyBorder="1" applyAlignment="1">
      <alignment horizontal="left" vertical="top" wrapText="1"/>
    </xf>
    <xf numFmtId="0" fontId="4" fillId="0" borderId="13" xfId="0" applyFont="1" applyBorder="1" applyAlignment="1">
      <alignment vertical="top" wrapText="1"/>
    </xf>
    <xf numFmtId="0" fontId="4" fillId="0" borderId="0" xfId="0" applyFont="1" applyFill="1" applyBorder="1" applyAlignment="1">
      <alignment horizontal="center" vertical="top" wrapText="1"/>
    </xf>
    <xf numFmtId="1" fontId="4" fillId="0" borderId="0" xfId="0" applyNumberFormat="1" applyFont="1" applyBorder="1" applyAlignment="1">
      <alignment horizontal="center" vertical="top"/>
    </xf>
    <xf numFmtId="0" fontId="4" fillId="0" borderId="0" xfId="0" applyFont="1" applyFill="1" applyBorder="1" applyAlignment="1">
      <alignment horizontal="left" vertical="top" wrapText="1"/>
    </xf>
    <xf numFmtId="0" fontId="4" fillId="0" borderId="53" xfId="0" applyFont="1" applyFill="1" applyBorder="1" applyAlignment="1">
      <alignment horizontal="center" vertical="top" wrapText="1"/>
    </xf>
    <xf numFmtId="0" fontId="28" fillId="0" borderId="46" xfId="0" applyFont="1" applyBorder="1" applyAlignment="1">
      <alignment vertical="top" wrapText="1"/>
    </xf>
    <xf numFmtId="0" fontId="28" fillId="0" borderId="64" xfId="0" applyFont="1" applyBorder="1" applyAlignment="1">
      <alignment vertical="top" wrapText="1"/>
    </xf>
    <xf numFmtId="0" fontId="24" fillId="0" borderId="46" xfId="0" applyFont="1" applyBorder="1" applyAlignment="1">
      <alignment vertical="top" wrapText="1"/>
    </xf>
    <xf numFmtId="0" fontId="4" fillId="0" borderId="69" xfId="0" applyFont="1" applyFill="1" applyBorder="1" applyAlignment="1">
      <alignment vertical="top" wrapText="1"/>
    </xf>
    <xf numFmtId="0" fontId="28" fillId="0" borderId="18" xfId="0" applyFont="1" applyFill="1" applyBorder="1" applyAlignment="1">
      <alignment vertical="top" wrapText="1"/>
    </xf>
    <xf numFmtId="2" fontId="4" fillId="5" borderId="35" xfId="0" applyNumberFormat="1" applyFont="1" applyFill="1" applyBorder="1" applyAlignment="1">
      <alignment horizontal="center" vertical="top"/>
    </xf>
    <xf numFmtId="1" fontId="4" fillId="0" borderId="10" xfId="0" applyNumberFormat="1" applyFont="1" applyBorder="1" applyAlignment="1">
      <alignment horizontal="left" vertical="top" wrapText="1"/>
    </xf>
    <xf numFmtId="1" fontId="4" fillId="0" borderId="58" xfId="0" applyNumberFormat="1" applyFont="1" applyBorder="1" applyAlignment="1">
      <alignment horizontal="center" vertical="top" wrapText="1"/>
    </xf>
    <xf numFmtId="0" fontId="15" fillId="13" borderId="42" xfId="0" applyFont="1" applyFill="1" applyBorder="1" applyAlignment="1">
      <alignment horizontal="center" vertical="center"/>
    </xf>
    <xf numFmtId="2" fontId="4" fillId="5" borderId="44" xfId="0" applyNumberFormat="1" applyFont="1" applyFill="1" applyBorder="1" applyAlignment="1">
      <alignment horizontal="center" vertical="top" wrapText="1"/>
    </xf>
    <xf numFmtId="0" fontId="4" fillId="0" borderId="41" xfId="0" applyFont="1" applyBorder="1" applyAlignment="1">
      <alignment horizontal="left" vertical="top" wrapText="1"/>
    </xf>
    <xf numFmtId="0" fontId="4" fillId="0" borderId="41" xfId="0" applyFont="1" applyFill="1" applyBorder="1" applyAlignment="1">
      <alignment horizontal="left" vertical="top" wrapText="1"/>
    </xf>
    <xf numFmtId="1" fontId="15" fillId="13" borderId="53" xfId="0" applyNumberFormat="1" applyFont="1" applyFill="1" applyBorder="1" applyAlignment="1" applyProtection="1">
      <alignment horizontal="center" vertical="center" wrapText="1"/>
      <protection hidden="1"/>
    </xf>
    <xf numFmtId="2" fontId="15" fillId="13" borderId="53" xfId="0" applyNumberFormat="1" applyFont="1" applyFill="1" applyBorder="1" applyAlignment="1" applyProtection="1">
      <alignment horizontal="center" vertical="center" wrapText="1"/>
      <protection hidden="1"/>
    </xf>
    <xf numFmtId="0" fontId="4" fillId="2" borderId="66" xfId="0" applyFont="1" applyFill="1" applyBorder="1" applyAlignment="1">
      <alignment horizontal="center" vertical="top" wrapText="1"/>
    </xf>
    <xf numFmtId="0" fontId="4" fillId="0" borderId="42" xfId="0" applyFont="1" applyBorder="1" applyAlignment="1">
      <alignment vertical="top" wrapText="1"/>
    </xf>
    <xf numFmtId="0" fontId="4" fillId="2" borderId="54" xfId="0" applyFont="1" applyFill="1" applyBorder="1" applyAlignment="1">
      <alignment horizontal="center" vertical="top" wrapText="1"/>
    </xf>
    <xf numFmtId="0" fontId="4" fillId="0" borderId="11" xfId="0" applyFont="1" applyFill="1" applyBorder="1" applyAlignment="1">
      <alignment horizontal="center" vertical="top" wrapText="1"/>
    </xf>
    <xf numFmtId="0" fontId="4" fillId="0" borderId="75" xfId="0" applyFont="1" applyFill="1" applyBorder="1" applyAlignment="1">
      <alignment vertical="top" wrapText="1"/>
    </xf>
    <xf numFmtId="0" fontId="4" fillId="0" borderId="48" xfId="0" applyFont="1" applyFill="1" applyBorder="1" applyAlignment="1">
      <alignment horizontal="center" vertical="top" wrapText="1"/>
    </xf>
    <xf numFmtId="0" fontId="15" fillId="13" borderId="67" xfId="0" applyFont="1" applyFill="1" applyBorder="1" applyAlignment="1">
      <alignment horizontal="center" vertical="center" wrapText="1"/>
    </xf>
    <xf numFmtId="2" fontId="4" fillId="0" borderId="56" xfId="0" applyNumberFormat="1" applyFont="1" applyFill="1" applyBorder="1" applyAlignment="1">
      <alignment horizontal="right" vertical="center" wrapText="1"/>
    </xf>
    <xf numFmtId="2" fontId="4" fillId="0" borderId="52" xfId="0" applyNumberFormat="1" applyFont="1" applyFill="1" applyBorder="1" applyAlignment="1">
      <alignment horizontal="center" vertical="center" wrapText="1"/>
    </xf>
    <xf numFmtId="1" fontId="4" fillId="0" borderId="15" xfId="0" applyNumberFormat="1" applyFont="1" applyFill="1" applyBorder="1" applyAlignment="1">
      <alignment horizontal="left" vertical="top" wrapText="1"/>
    </xf>
    <xf numFmtId="1" fontId="4" fillId="0" borderId="14" xfId="0" applyNumberFormat="1" applyFont="1" applyFill="1" applyBorder="1" applyAlignment="1">
      <alignment horizontal="left" vertical="top" wrapText="1"/>
    </xf>
    <xf numFmtId="2" fontId="4" fillId="7" borderId="64" xfId="0" applyNumberFormat="1" applyFont="1" applyFill="1" applyBorder="1" applyAlignment="1">
      <alignment horizontal="center" vertical="top"/>
    </xf>
    <xf numFmtId="49" fontId="4" fillId="0" borderId="5" xfId="0" applyNumberFormat="1" applyFont="1" applyFill="1" applyBorder="1" applyAlignment="1">
      <alignment vertical="top" wrapText="1"/>
    </xf>
    <xf numFmtId="49" fontId="4" fillId="0" borderId="45" xfId="0" applyNumberFormat="1" applyFont="1" applyFill="1" applyBorder="1" applyAlignment="1">
      <alignment horizontal="left" vertical="top" wrapText="1"/>
    </xf>
    <xf numFmtId="0" fontId="4" fillId="14" borderId="61" xfId="0" applyFont="1" applyFill="1" applyBorder="1" applyAlignment="1">
      <alignment horizontal="center" vertical="top" wrapText="1"/>
    </xf>
    <xf numFmtId="0" fontId="4" fillId="0" borderId="51" xfId="0" applyFont="1" applyFill="1" applyBorder="1" applyAlignment="1">
      <alignment vertical="top" wrapText="1"/>
    </xf>
    <xf numFmtId="1" fontId="4" fillId="14" borderId="44" xfId="0" applyNumberFormat="1" applyFont="1" applyFill="1" applyBorder="1" applyAlignment="1">
      <alignment horizontal="center" vertical="top"/>
    </xf>
    <xf numFmtId="1" fontId="4" fillId="14" borderId="61" xfId="0" applyNumberFormat="1" applyFont="1" applyFill="1" applyBorder="1" applyAlignment="1">
      <alignment horizontal="center" vertical="top"/>
    </xf>
    <xf numFmtId="1" fontId="4" fillId="2" borderId="54" xfId="0" applyNumberFormat="1" applyFont="1" applyFill="1" applyBorder="1" applyAlignment="1">
      <alignment horizontal="center" vertical="top"/>
    </xf>
    <xf numFmtId="0" fontId="15" fillId="13" borderId="64" xfId="0" applyFont="1" applyFill="1" applyBorder="1" applyAlignment="1">
      <alignment horizontal="center" vertical="center" wrapText="1"/>
    </xf>
    <xf numFmtId="0" fontId="15" fillId="13" borderId="46" xfId="0" applyFont="1" applyFill="1" applyBorder="1" applyAlignment="1">
      <alignment horizontal="center" vertical="center" wrapText="1"/>
    </xf>
    <xf numFmtId="49" fontId="15" fillId="13" borderId="11" xfId="0" applyNumberFormat="1" applyFont="1" applyFill="1" applyBorder="1" applyAlignment="1">
      <alignment horizontal="center" vertical="center" wrapText="1"/>
    </xf>
    <xf numFmtId="49" fontId="15" fillId="13" borderId="0" xfId="0" applyNumberFormat="1" applyFont="1" applyFill="1" applyBorder="1" applyAlignment="1">
      <alignment horizontal="center" vertical="center" wrapText="1"/>
    </xf>
    <xf numFmtId="1" fontId="15" fillId="13" borderId="57" xfId="0" applyNumberFormat="1" applyFont="1" applyFill="1" applyBorder="1" applyAlignment="1" applyProtection="1">
      <alignment horizontal="center" vertical="center" wrapText="1"/>
      <protection hidden="1"/>
    </xf>
    <xf numFmtId="0" fontId="15" fillId="13" borderId="7" xfId="0" applyFont="1" applyFill="1" applyBorder="1" applyAlignment="1" applyProtection="1">
      <alignment horizontal="center" vertical="center" wrapText="1"/>
      <protection hidden="1"/>
    </xf>
    <xf numFmtId="2" fontId="15" fillId="13" borderId="7" xfId="0" applyNumberFormat="1" applyFont="1" applyFill="1" applyBorder="1" applyAlignment="1" applyProtection="1">
      <alignment horizontal="center" vertical="center" wrapText="1"/>
      <protection hidden="1"/>
    </xf>
    <xf numFmtId="0" fontId="4" fillId="0" borderId="75" xfId="0" applyFont="1" applyBorder="1" applyAlignment="1">
      <alignment vertical="top" wrapText="1"/>
    </xf>
    <xf numFmtId="0" fontId="4" fillId="0" borderId="51" xfId="0" applyFont="1" applyBorder="1" applyAlignment="1">
      <alignment vertical="top" wrapText="1"/>
    </xf>
    <xf numFmtId="49" fontId="4" fillId="0" borderId="5" xfId="0" applyNumberFormat="1" applyFont="1" applyBorder="1" applyAlignment="1">
      <alignment vertical="top" wrapText="1"/>
    </xf>
    <xf numFmtId="0" fontId="44" fillId="0" borderId="47" xfId="0" applyFont="1" applyFill="1" applyBorder="1" applyAlignment="1">
      <alignment horizontal="center" vertical="top" wrapText="1"/>
    </xf>
    <xf numFmtId="0" fontId="44" fillId="0" borderId="6" xfId="0" applyFont="1" applyFill="1" applyBorder="1" applyAlignment="1">
      <alignment horizontal="left" vertical="center" wrapText="1"/>
    </xf>
    <xf numFmtId="0" fontId="44" fillId="0" borderId="10" xfId="0" applyFont="1" applyFill="1" applyBorder="1" applyAlignment="1">
      <alignment horizontal="left" vertical="center" wrapText="1"/>
    </xf>
    <xf numFmtId="0" fontId="44" fillId="0" borderId="12" xfId="0" applyFont="1" applyFill="1" applyBorder="1" applyAlignment="1">
      <alignment horizontal="left" vertical="center" wrapText="1"/>
    </xf>
    <xf numFmtId="0" fontId="4" fillId="0" borderId="43" xfId="0" applyFont="1" applyBorder="1" applyAlignment="1">
      <alignment horizontal="left" vertical="top" wrapText="1"/>
    </xf>
    <xf numFmtId="0" fontId="4" fillId="0" borderId="74" xfId="0" applyNumberFormat="1" applyFont="1" applyFill="1" applyBorder="1" applyAlignment="1">
      <alignment vertical="top" wrapText="1"/>
    </xf>
    <xf numFmtId="0" fontId="4" fillId="0" borderId="60" xfId="0" applyNumberFormat="1" applyFont="1" applyFill="1" applyBorder="1" applyAlignment="1">
      <alignment vertical="top" wrapText="1"/>
    </xf>
    <xf numFmtId="0" fontId="4" fillId="0" borderId="54" xfId="0" applyNumberFormat="1" applyFont="1" applyFill="1" applyBorder="1" applyAlignment="1">
      <alignment vertical="top" wrapText="1"/>
    </xf>
    <xf numFmtId="0" fontId="4" fillId="0" borderId="52" xfId="0" applyNumberFormat="1" applyFont="1" applyFill="1" applyBorder="1" applyAlignment="1">
      <alignment horizontal="center" vertical="top" wrapText="1"/>
    </xf>
    <xf numFmtId="0" fontId="4" fillId="0" borderId="58" xfId="0" applyFont="1" applyBorder="1" applyAlignment="1">
      <alignment horizontal="center" vertical="top" wrapText="1"/>
    </xf>
    <xf numFmtId="1" fontId="28" fillId="0" borderId="0" xfId="0" applyNumberFormat="1" applyFont="1" applyBorder="1" applyAlignment="1">
      <alignment horizontal="left" vertical="top" wrapText="1"/>
    </xf>
    <xf numFmtId="1" fontId="28" fillId="0" borderId="13" xfId="0" applyNumberFormat="1" applyFont="1" applyBorder="1" applyAlignment="1">
      <alignment horizontal="center" vertical="top" wrapText="1"/>
    </xf>
    <xf numFmtId="2" fontId="4" fillId="0" borderId="41" xfId="0" applyNumberFormat="1" applyFont="1" applyFill="1" applyBorder="1" applyAlignment="1">
      <alignment vertical="top" wrapText="1"/>
    </xf>
    <xf numFmtId="0" fontId="4" fillId="0" borderId="0" xfId="0" applyFont="1" applyAlignment="1"/>
    <xf numFmtId="1" fontId="4" fillId="0" borderId="41" xfId="0" applyNumberFormat="1" applyFont="1" applyFill="1" applyBorder="1" applyAlignment="1">
      <alignment horizontal="center" vertical="top" wrapText="1"/>
    </xf>
    <xf numFmtId="1" fontId="15" fillId="5" borderId="51" xfId="0" applyNumberFormat="1" applyFont="1" applyFill="1" applyBorder="1" applyAlignment="1">
      <alignment horizontal="center" vertical="center" wrapText="1"/>
    </xf>
    <xf numFmtId="0" fontId="26" fillId="0" borderId="0" xfId="0" applyFont="1" applyBorder="1" applyAlignment="1">
      <alignment wrapText="1"/>
    </xf>
    <xf numFmtId="0" fontId="26" fillId="0" borderId="0" xfId="0" applyFont="1" applyAlignment="1">
      <alignment wrapText="1"/>
    </xf>
    <xf numFmtId="1" fontId="15" fillId="13" borderId="5" xfId="0" applyNumberFormat="1" applyFont="1" applyFill="1" applyBorder="1" applyAlignment="1">
      <alignment horizontal="center" vertical="center" wrapText="1"/>
    </xf>
    <xf numFmtId="0" fontId="26" fillId="0" borderId="0" xfId="0" applyFont="1" applyBorder="1" applyAlignment="1"/>
    <xf numFmtId="0" fontId="4" fillId="0" borderId="5" xfId="0" applyFont="1" applyBorder="1" applyAlignment="1">
      <alignment horizontal="left" vertical="top"/>
    </xf>
    <xf numFmtId="1" fontId="4" fillId="6" borderId="26" xfId="0" applyNumberFormat="1" applyFont="1" applyFill="1" applyBorder="1" applyAlignment="1">
      <alignment vertical="center"/>
    </xf>
    <xf numFmtId="0" fontId="15" fillId="13" borderId="23" xfId="0" applyFont="1" applyFill="1" applyBorder="1" applyAlignment="1">
      <alignment horizontal="center" vertical="center"/>
    </xf>
    <xf numFmtId="2" fontId="28" fillId="5" borderId="5" xfId="0" applyNumberFormat="1" applyFont="1" applyFill="1" applyBorder="1" applyAlignment="1">
      <alignment horizontal="center" vertical="center"/>
    </xf>
    <xf numFmtId="2" fontId="28" fillId="7" borderId="5" xfId="0" applyNumberFormat="1" applyFont="1" applyFill="1" applyBorder="1" applyAlignment="1">
      <alignment horizontal="center" vertical="center"/>
    </xf>
    <xf numFmtId="2" fontId="4" fillId="0" borderId="0" xfId="0" applyNumberFormat="1" applyFont="1" applyBorder="1" applyAlignment="1">
      <alignment horizontal="center" vertical="top"/>
    </xf>
    <xf numFmtId="0" fontId="28" fillId="0" borderId="44" xfId="0" applyFont="1" applyBorder="1" applyAlignment="1">
      <alignment horizontal="center" vertical="top" wrapText="1"/>
    </xf>
    <xf numFmtId="2" fontId="4" fillId="0" borderId="54" xfId="0" applyNumberFormat="1" applyFont="1" applyFill="1" applyBorder="1" applyAlignment="1">
      <alignment vertical="top" wrapText="1"/>
    </xf>
    <xf numFmtId="2" fontId="4" fillId="0" borderId="74" xfId="0" applyNumberFormat="1" applyFont="1" applyFill="1" applyBorder="1" applyAlignment="1">
      <alignment vertical="top" wrapText="1"/>
    </xf>
    <xf numFmtId="2" fontId="4" fillId="0" borderId="60" xfId="0" applyNumberFormat="1" applyFont="1" applyFill="1" applyBorder="1" applyAlignment="1">
      <alignment vertical="top" wrapText="1"/>
    </xf>
    <xf numFmtId="2" fontId="4" fillId="0" borderId="77" xfId="0" applyNumberFormat="1" applyFont="1" applyFill="1" applyBorder="1" applyAlignment="1">
      <alignment vertical="top" wrapText="1"/>
    </xf>
    <xf numFmtId="1" fontId="28" fillId="0" borderId="7" xfId="0" applyNumberFormat="1" applyFont="1" applyBorder="1" applyAlignment="1">
      <alignment horizontal="center" vertical="top" wrapText="1"/>
    </xf>
    <xf numFmtId="2" fontId="24" fillId="6" borderId="39" xfId="0" applyNumberFormat="1" applyFont="1" applyFill="1" applyBorder="1" applyAlignment="1">
      <alignment horizontal="center" vertical="center" wrapText="1"/>
    </xf>
    <xf numFmtId="2" fontId="24" fillId="6" borderId="1" xfId="0" applyNumberFormat="1" applyFont="1" applyFill="1" applyBorder="1" applyAlignment="1">
      <alignment horizontal="center" vertical="center" wrapText="1"/>
    </xf>
    <xf numFmtId="2" fontId="24" fillId="6" borderId="1" xfId="0" applyNumberFormat="1" applyFont="1" applyFill="1" applyBorder="1" applyAlignment="1">
      <alignment horizontal="center" vertical="center"/>
    </xf>
    <xf numFmtId="2" fontId="24" fillId="6" borderId="47" xfId="0" applyNumberFormat="1" applyFont="1" applyFill="1" applyBorder="1" applyAlignment="1">
      <alignment horizontal="center" vertical="center"/>
    </xf>
    <xf numFmtId="2" fontId="24" fillId="5" borderId="5" xfId="0" applyNumberFormat="1" applyFont="1" applyFill="1" applyBorder="1" applyAlignment="1">
      <alignment horizontal="center" vertical="center" wrapText="1"/>
    </xf>
    <xf numFmtId="2" fontId="24" fillId="7" borderId="5" xfId="0" applyNumberFormat="1" applyFont="1" applyFill="1" applyBorder="1" applyAlignment="1">
      <alignment horizontal="center" vertical="center"/>
    </xf>
    <xf numFmtId="0" fontId="15" fillId="0" borderId="0" xfId="0" applyFont="1" applyAlignment="1">
      <alignment vertical="top" wrapText="1"/>
    </xf>
    <xf numFmtId="2" fontId="24" fillId="5" borderId="64" xfId="0" applyNumberFormat="1" applyFont="1" applyFill="1" applyBorder="1" applyAlignment="1">
      <alignment horizontal="center" vertical="top" wrapText="1"/>
    </xf>
    <xf numFmtId="2" fontId="24" fillId="2" borderId="13" xfId="0" applyNumberFormat="1" applyFont="1" applyFill="1" applyBorder="1" applyAlignment="1">
      <alignment horizontal="center" vertical="top" wrapText="1"/>
    </xf>
    <xf numFmtId="2" fontId="24" fillId="5" borderId="68" xfId="0" applyNumberFormat="1" applyFont="1" applyFill="1" applyBorder="1" applyAlignment="1">
      <alignment horizontal="center" vertical="top" wrapText="1"/>
    </xf>
    <xf numFmtId="2" fontId="4" fillId="5" borderId="53" xfId="0" applyNumberFormat="1" applyFont="1" applyFill="1" applyBorder="1" applyAlignment="1">
      <alignment horizontal="center" vertical="top" wrapText="1"/>
    </xf>
    <xf numFmtId="2" fontId="24" fillId="7" borderId="64" xfId="0" applyNumberFormat="1" applyFont="1" applyFill="1" applyBorder="1" applyAlignment="1">
      <alignment horizontal="center" vertical="top"/>
    </xf>
    <xf numFmtId="2" fontId="24" fillId="7" borderId="34" xfId="0" applyNumberFormat="1" applyFont="1" applyFill="1" applyBorder="1" applyAlignment="1">
      <alignment horizontal="center" vertical="top"/>
    </xf>
    <xf numFmtId="0" fontId="24" fillId="0" borderId="41" xfId="0" applyFont="1" applyBorder="1" applyAlignment="1">
      <alignment horizontal="left" vertical="top" wrapText="1"/>
    </xf>
    <xf numFmtId="0" fontId="24" fillId="0" borderId="12" xfId="0" applyFont="1" applyBorder="1" applyAlignment="1">
      <alignment horizontal="left" vertical="top" wrapText="1"/>
    </xf>
    <xf numFmtId="0" fontId="24" fillId="0" borderId="5" xfId="0" applyFont="1" applyBorder="1" applyAlignment="1">
      <alignment horizontal="left" vertical="top" wrapText="1"/>
    </xf>
    <xf numFmtId="49" fontId="15" fillId="13" borderId="34" xfId="0" applyNumberFormat="1" applyFont="1" applyFill="1" applyBorder="1" applyAlignment="1">
      <alignment horizontal="center" vertical="center" wrapText="1"/>
    </xf>
    <xf numFmtId="1" fontId="24" fillId="2" borderId="52" xfId="0" applyNumberFormat="1" applyFont="1" applyFill="1" applyBorder="1" applyAlignment="1">
      <alignment horizontal="center" vertical="top"/>
    </xf>
    <xf numFmtId="1" fontId="24" fillId="2" borderId="7" xfId="0" applyNumberFormat="1" applyFont="1" applyFill="1" applyBorder="1" applyAlignment="1">
      <alignment horizontal="center" vertical="top"/>
    </xf>
    <xf numFmtId="1" fontId="23" fillId="2" borderId="44" xfId="0" applyNumberFormat="1" applyFont="1" applyFill="1" applyBorder="1" applyAlignment="1">
      <alignment horizontal="center" vertical="top" wrapText="1"/>
    </xf>
    <xf numFmtId="1" fontId="23" fillId="2" borderId="44" xfId="0" applyNumberFormat="1" applyFont="1" applyFill="1" applyBorder="1" applyAlignment="1">
      <alignment horizontal="center" vertical="top"/>
    </xf>
    <xf numFmtId="1" fontId="28" fillId="2" borderId="59" xfId="0" applyNumberFormat="1" applyFont="1" applyFill="1" applyBorder="1" applyAlignment="1">
      <alignment horizontal="center" vertical="top" wrapText="1"/>
    </xf>
    <xf numFmtId="2" fontId="28" fillId="15" borderId="34" xfId="0" applyNumberFormat="1" applyFont="1" applyFill="1" applyBorder="1" applyAlignment="1">
      <alignment horizontal="center" vertical="top" wrapText="1"/>
    </xf>
    <xf numFmtId="0" fontId="44" fillId="0" borderId="12" xfId="0" applyNumberFormat="1" applyFont="1" applyFill="1" applyBorder="1" applyAlignment="1">
      <alignment horizontal="left" vertical="top" wrapText="1"/>
    </xf>
    <xf numFmtId="0" fontId="44" fillId="0" borderId="6" xfId="0" applyNumberFormat="1" applyFont="1" applyFill="1" applyBorder="1" applyAlignment="1">
      <alignment horizontal="left" vertical="top" wrapText="1"/>
    </xf>
    <xf numFmtId="2" fontId="28" fillId="0" borderId="45" xfId="0" applyNumberFormat="1" applyFont="1" applyBorder="1" applyAlignment="1">
      <alignment horizontal="right" vertical="top" wrapText="1"/>
    </xf>
    <xf numFmtId="0" fontId="15" fillId="5" borderId="68" xfId="0" applyFont="1" applyFill="1" applyBorder="1" applyAlignment="1">
      <alignment horizontal="center" vertical="center" wrapText="1"/>
    </xf>
    <xf numFmtId="0" fontId="15" fillId="5" borderId="23" xfId="0" applyFont="1" applyFill="1" applyBorder="1" applyAlignment="1">
      <alignment horizontal="center" vertical="center" wrapText="1"/>
    </xf>
    <xf numFmtId="2" fontId="15" fillId="5" borderId="41" xfId="0" applyNumberFormat="1" applyFont="1" applyFill="1" applyBorder="1" applyAlignment="1" applyProtection="1">
      <alignment horizontal="center" vertical="center" wrapText="1"/>
      <protection hidden="1"/>
    </xf>
    <xf numFmtId="0" fontId="4" fillId="0" borderId="22" xfId="0" applyFont="1" applyFill="1" applyBorder="1" applyAlignment="1">
      <alignment vertical="top" wrapText="1"/>
    </xf>
    <xf numFmtId="1" fontId="4" fillId="0" borderId="59" xfId="0" applyNumberFormat="1" applyFont="1" applyFill="1" applyBorder="1" applyAlignment="1">
      <alignment vertical="top" wrapText="1"/>
    </xf>
    <xf numFmtId="1" fontId="4" fillId="0" borderId="0" xfId="0" applyNumberFormat="1" applyFont="1" applyFill="1" applyBorder="1" applyAlignment="1">
      <alignment vertical="top" wrapText="1"/>
    </xf>
    <xf numFmtId="2" fontId="28" fillId="6" borderId="39" xfId="0" applyNumberFormat="1" applyFont="1" applyFill="1" applyBorder="1" applyAlignment="1">
      <alignment horizontal="center" vertical="center" wrapText="1"/>
    </xf>
    <xf numFmtId="2" fontId="28" fillId="6" borderId="1" xfId="0" applyNumberFormat="1" applyFont="1" applyFill="1" applyBorder="1" applyAlignment="1">
      <alignment horizontal="center" vertical="center" wrapText="1"/>
    </xf>
    <xf numFmtId="2" fontId="28" fillId="6" borderId="47" xfId="0" applyNumberFormat="1" applyFont="1" applyFill="1" applyBorder="1" applyAlignment="1">
      <alignment horizontal="center" vertical="center" wrapText="1"/>
    </xf>
    <xf numFmtId="2" fontId="28" fillId="5" borderId="5" xfId="0" applyNumberFormat="1" applyFont="1" applyFill="1" applyBorder="1" applyAlignment="1">
      <alignment horizontal="center" vertical="center" wrapText="1"/>
    </xf>
    <xf numFmtId="2" fontId="28" fillId="7" borderId="5" xfId="0" applyNumberFormat="1" applyFont="1" applyFill="1" applyBorder="1" applyAlignment="1">
      <alignment horizontal="center" vertical="center" wrapText="1"/>
    </xf>
    <xf numFmtId="0" fontId="15" fillId="15" borderId="5" xfId="0" applyFont="1" applyFill="1" applyBorder="1" applyAlignment="1">
      <alignment horizontal="center" vertical="center"/>
    </xf>
    <xf numFmtId="0" fontId="4" fillId="0" borderId="5" xfId="0" applyFont="1" applyFill="1" applyBorder="1">
      <alignment vertical="top"/>
    </xf>
    <xf numFmtId="0" fontId="4" fillId="0" borderId="5" xfId="0" applyNumberFormat="1" applyFont="1" applyFill="1" applyBorder="1">
      <alignment vertical="top"/>
    </xf>
    <xf numFmtId="0" fontId="15" fillId="13" borderId="23" xfId="0" applyFont="1" applyFill="1" applyBorder="1" applyAlignment="1" applyProtection="1">
      <alignment horizontal="center" vertical="center" wrapText="1"/>
      <protection hidden="1"/>
    </xf>
    <xf numFmtId="0" fontId="15" fillId="13" borderId="5" xfId="0" applyFont="1" applyFill="1" applyBorder="1" applyAlignment="1">
      <alignment vertical="center"/>
    </xf>
    <xf numFmtId="0" fontId="28" fillId="0" borderId="41" xfId="0" applyFont="1" applyFill="1" applyBorder="1" applyAlignment="1">
      <alignment horizontal="left" vertical="top" wrapText="1"/>
    </xf>
    <xf numFmtId="0" fontId="28" fillId="0" borderId="12" xfId="0" applyFont="1" applyFill="1" applyBorder="1" applyAlignment="1">
      <alignment horizontal="left" vertical="top" wrapText="1"/>
    </xf>
    <xf numFmtId="0" fontId="28" fillId="0" borderId="6" xfId="0" applyFont="1" applyFill="1" applyBorder="1" applyAlignment="1">
      <alignment horizontal="left" vertical="top" wrapText="1"/>
    </xf>
    <xf numFmtId="2" fontId="28" fillId="15" borderId="35" xfId="0" applyNumberFormat="1" applyFont="1" applyFill="1" applyBorder="1" applyAlignment="1">
      <alignment horizontal="center" vertical="top" wrapText="1"/>
    </xf>
    <xf numFmtId="0" fontId="15" fillId="0" borderId="0" xfId="0" applyFont="1" applyAlignment="1">
      <alignment wrapText="1"/>
    </xf>
    <xf numFmtId="2" fontId="4" fillId="7" borderId="5" xfId="0" applyNumberFormat="1" applyFont="1" applyFill="1" applyBorder="1" applyAlignment="1">
      <alignment horizontal="center" vertical="center" wrapText="1"/>
    </xf>
    <xf numFmtId="0" fontId="15" fillId="13" borderId="5" xfId="0" applyFont="1" applyFill="1" applyBorder="1" applyAlignment="1">
      <alignment vertical="center" wrapText="1"/>
    </xf>
    <xf numFmtId="0" fontId="4" fillId="6" borderId="1" xfId="0" applyFont="1" applyFill="1" applyBorder="1" applyAlignment="1">
      <alignment vertical="center" wrapText="1"/>
    </xf>
    <xf numFmtId="0" fontId="4" fillId="0" borderId="0" xfId="0" applyFont="1" applyFill="1" applyBorder="1" applyAlignment="1">
      <alignment horizontal="left" vertical="top" wrapText="1"/>
    </xf>
    <xf numFmtId="49" fontId="12" fillId="0" borderId="5" xfId="0" applyNumberFormat="1" applyFont="1" applyFill="1" applyBorder="1" applyAlignment="1">
      <alignment horizontal="center" vertical="center" wrapText="1"/>
    </xf>
    <xf numFmtId="0" fontId="5" fillId="0" borderId="68" xfId="0" applyFont="1" applyFill="1" applyBorder="1" applyAlignment="1">
      <alignment horizontal="center" vertical="center" wrapText="1"/>
    </xf>
    <xf numFmtId="0" fontId="4" fillId="0" borderId="19" xfId="0" applyFont="1" applyFill="1" applyBorder="1" applyAlignment="1">
      <alignment vertical="top" wrapText="1"/>
    </xf>
    <xf numFmtId="0" fontId="4" fillId="0" borderId="5" xfId="0" applyFont="1" applyBorder="1">
      <alignment vertical="top"/>
    </xf>
    <xf numFmtId="0" fontId="23" fillId="0" borderId="34" xfId="0" applyFont="1" applyFill="1" applyBorder="1" applyAlignment="1">
      <alignment horizontal="left" vertical="top" wrapText="1"/>
    </xf>
    <xf numFmtId="0" fontId="23" fillId="0" borderId="5" xfId="0" applyFont="1" applyFill="1" applyBorder="1" applyAlignment="1">
      <alignment vertical="top" wrapText="1"/>
    </xf>
    <xf numFmtId="1" fontId="23" fillId="2" borderId="51" xfId="0" applyNumberFormat="1" applyFont="1" applyFill="1" applyBorder="1" applyAlignment="1">
      <alignment horizontal="center" vertical="top"/>
    </xf>
    <xf numFmtId="0" fontId="23" fillId="0" borderId="43" xfId="0" applyFont="1" applyBorder="1" applyAlignment="1">
      <alignment vertical="top" wrapText="1"/>
    </xf>
    <xf numFmtId="0" fontId="23" fillId="0" borderId="77" xfId="0" applyFont="1" applyBorder="1" applyAlignment="1">
      <alignment vertical="top" wrapText="1"/>
    </xf>
    <xf numFmtId="1" fontId="23" fillId="2" borderId="45" xfId="0" applyNumberFormat="1" applyFont="1" applyFill="1" applyBorder="1" applyAlignment="1">
      <alignment horizontal="center" vertical="top" wrapText="1"/>
    </xf>
    <xf numFmtId="0" fontId="30" fillId="0" borderId="59" xfId="0" applyFont="1" applyFill="1" applyBorder="1">
      <alignment vertical="top"/>
    </xf>
    <xf numFmtId="0" fontId="30" fillId="0" borderId="10" xfId="0" applyFont="1" applyFill="1" applyBorder="1">
      <alignment vertical="top"/>
    </xf>
    <xf numFmtId="0" fontId="12" fillId="0" borderId="5" xfId="0" applyFont="1" applyFill="1" applyBorder="1" applyAlignment="1">
      <alignment horizontal="center" vertical="center"/>
    </xf>
    <xf numFmtId="2" fontId="30" fillId="6" borderId="59" xfId="0" applyNumberFormat="1" applyFont="1" applyFill="1" applyBorder="1" applyAlignment="1">
      <alignment horizontal="center" vertical="center"/>
    </xf>
    <xf numFmtId="0" fontId="4" fillId="6" borderId="35" xfId="0" applyFont="1" applyFill="1" applyBorder="1" applyAlignment="1">
      <alignment vertical="center" wrapText="1"/>
    </xf>
    <xf numFmtId="0" fontId="4" fillId="0" borderId="55" xfId="0" applyFont="1" applyFill="1" applyBorder="1" applyAlignment="1">
      <alignment vertical="center"/>
    </xf>
    <xf numFmtId="2" fontId="4" fillId="6" borderId="9" xfId="0" applyNumberFormat="1" applyFont="1" applyFill="1" applyBorder="1" applyAlignment="1">
      <alignment horizontal="center" vertical="center"/>
    </xf>
    <xf numFmtId="0" fontId="4" fillId="6" borderId="8" xfId="0" applyFont="1" applyFill="1" applyBorder="1" applyAlignment="1">
      <alignment vertical="center" wrapText="1"/>
    </xf>
    <xf numFmtId="0" fontId="4" fillId="0" borderId="27" xfId="0" applyFont="1" applyFill="1" applyBorder="1" applyAlignment="1">
      <alignment vertical="center"/>
    </xf>
    <xf numFmtId="2" fontId="30" fillId="6" borderId="9" xfId="0" applyNumberFormat="1" applyFont="1" applyFill="1" applyBorder="1" applyAlignment="1">
      <alignment horizontal="center" vertical="center"/>
    </xf>
    <xf numFmtId="0" fontId="4" fillId="0" borderId="27" xfId="0" applyFont="1" applyFill="1" applyBorder="1" applyAlignment="1">
      <alignment horizontal="left" vertical="center"/>
    </xf>
    <xf numFmtId="2" fontId="30" fillId="6" borderId="48" xfId="0" applyNumberFormat="1" applyFont="1" applyFill="1" applyBorder="1" applyAlignment="1">
      <alignment horizontal="center" vertical="center"/>
    </xf>
    <xf numFmtId="0" fontId="4" fillId="6" borderId="58" xfId="0" applyFont="1" applyFill="1" applyBorder="1" applyAlignment="1">
      <alignment vertical="center" wrapText="1"/>
    </xf>
    <xf numFmtId="0" fontId="4" fillId="0" borderId="40" xfId="0" applyFont="1" applyFill="1" applyBorder="1" applyAlignment="1">
      <alignment vertical="center"/>
    </xf>
    <xf numFmtId="0" fontId="12" fillId="0" borderId="5" xfId="0" applyFont="1" applyFill="1" applyBorder="1" applyAlignment="1">
      <alignment horizontal="center" vertical="center" wrapText="1"/>
    </xf>
    <xf numFmtId="2" fontId="4" fillId="8" borderId="5" xfId="0" applyNumberFormat="1" applyFont="1" applyFill="1" applyBorder="1" applyAlignment="1">
      <alignment horizontal="center" vertical="center" wrapText="1"/>
    </xf>
    <xf numFmtId="0" fontId="15" fillId="8" borderId="5" xfId="0" applyFont="1" applyFill="1" applyBorder="1" applyAlignment="1">
      <alignment horizontal="center" vertical="center" wrapText="1"/>
    </xf>
    <xf numFmtId="49" fontId="15" fillId="21" borderId="53" xfId="0" applyNumberFormat="1" applyFont="1" applyFill="1" applyBorder="1" applyAlignment="1">
      <alignment horizontal="center" vertical="center" wrapText="1"/>
    </xf>
    <xf numFmtId="1" fontId="15" fillId="8" borderId="5" xfId="0" applyNumberFormat="1" applyFont="1" applyFill="1" applyBorder="1" applyAlignment="1">
      <alignment horizontal="center" vertical="center" wrapText="1"/>
    </xf>
    <xf numFmtId="1" fontId="15" fillId="8" borderId="53" xfId="0" applyNumberFormat="1" applyFont="1" applyFill="1" applyBorder="1" applyAlignment="1">
      <alignment horizontal="center" vertical="center" wrapText="1"/>
    </xf>
    <xf numFmtId="0" fontId="4" fillId="0" borderId="17" xfId="0" applyFont="1" applyBorder="1" applyAlignment="1">
      <alignment horizontal="center" vertical="top" wrapText="1"/>
    </xf>
    <xf numFmtId="49" fontId="15" fillId="8" borderId="5" xfId="0" applyNumberFormat="1" applyFont="1" applyFill="1" applyBorder="1" applyAlignment="1">
      <alignment horizontal="center" vertical="center" wrapText="1"/>
    </xf>
    <xf numFmtId="0" fontId="4" fillId="0" borderId="66" xfId="0" applyFont="1" applyBorder="1" applyAlignment="1">
      <alignment vertical="top" wrapText="1"/>
    </xf>
    <xf numFmtId="2" fontId="4" fillId="8" borderId="34" xfId="0" applyNumberFormat="1" applyFont="1" applyFill="1" applyBorder="1" applyAlignment="1">
      <alignment horizontal="center" vertical="top" wrapText="1"/>
    </xf>
    <xf numFmtId="2" fontId="4" fillId="6" borderId="1" xfId="0" applyNumberFormat="1" applyFont="1" applyFill="1" applyBorder="1" applyAlignment="1" applyProtection="1">
      <alignment horizontal="center" vertical="center" wrapText="1"/>
    </xf>
    <xf numFmtId="2" fontId="30" fillId="6" borderId="1" xfId="0" applyNumberFormat="1" applyFont="1" applyFill="1" applyBorder="1" applyAlignment="1" applyProtection="1">
      <alignment horizontal="center" vertical="center" wrapText="1"/>
    </xf>
    <xf numFmtId="2" fontId="4" fillId="6" borderId="39" xfId="0" applyNumberFormat="1" applyFont="1" applyFill="1" applyBorder="1" applyAlignment="1" applyProtection="1">
      <alignment horizontal="center" vertical="center" wrapText="1"/>
    </xf>
    <xf numFmtId="0" fontId="4" fillId="6" borderId="39" xfId="0" applyFont="1" applyFill="1" applyBorder="1" applyAlignment="1">
      <alignment vertical="center" wrapText="1"/>
    </xf>
    <xf numFmtId="0" fontId="4" fillId="0" borderId="55" xfId="0" applyFont="1" applyFill="1" applyBorder="1" applyAlignment="1">
      <alignment vertical="center" wrapText="1"/>
    </xf>
    <xf numFmtId="0" fontId="4" fillId="0" borderId="27" xfId="0" applyFont="1" applyFill="1" applyBorder="1" applyAlignment="1">
      <alignment vertical="center" wrapText="1"/>
    </xf>
    <xf numFmtId="0" fontId="4" fillId="6" borderId="47" xfId="0" applyFont="1" applyFill="1" applyBorder="1" applyAlignment="1">
      <alignment vertical="center" wrapText="1"/>
    </xf>
    <xf numFmtId="0" fontId="4" fillId="0" borderId="40" xfId="0" applyFont="1" applyFill="1" applyBorder="1" applyAlignment="1">
      <alignment vertical="center" wrapText="1"/>
    </xf>
    <xf numFmtId="0" fontId="4" fillId="28" borderId="1" xfId="0" applyFont="1" applyFill="1" applyBorder="1" applyAlignment="1">
      <alignment vertical="center" wrapText="1"/>
    </xf>
    <xf numFmtId="0" fontId="4" fillId="28" borderId="47" xfId="0" applyFont="1" applyFill="1" applyBorder="1" applyAlignment="1">
      <alignment vertical="center" wrapText="1"/>
    </xf>
    <xf numFmtId="2" fontId="30" fillId="6" borderId="1" xfId="0" applyNumberFormat="1" applyFont="1" applyFill="1" applyBorder="1" applyAlignment="1">
      <alignment horizontal="center" vertical="center" wrapText="1"/>
    </xf>
    <xf numFmtId="2" fontId="30" fillId="6" borderId="39" xfId="0" applyNumberFormat="1" applyFont="1" applyFill="1" applyBorder="1" applyAlignment="1">
      <alignment horizontal="center" vertical="center" wrapText="1"/>
    </xf>
    <xf numFmtId="2" fontId="4" fillId="0" borderId="10" xfId="0" applyNumberFormat="1" applyFont="1" applyFill="1" applyBorder="1" applyAlignment="1">
      <alignment horizontal="right" vertical="top" wrapText="1"/>
    </xf>
    <xf numFmtId="2" fontId="4" fillId="6" borderId="39" xfId="0" applyNumberFormat="1" applyFont="1" applyFill="1" applyBorder="1" applyAlignment="1">
      <alignment vertical="center" wrapText="1"/>
    </xf>
    <xf numFmtId="2" fontId="4" fillId="0" borderId="55" xfId="0" applyNumberFormat="1" applyFont="1" applyFill="1" applyBorder="1" applyAlignment="1">
      <alignment vertical="center" wrapText="1"/>
    </xf>
    <xf numFmtId="2" fontId="4" fillId="6" borderId="47" xfId="0" applyNumberFormat="1" applyFont="1" applyFill="1" applyBorder="1" applyAlignment="1">
      <alignment horizontal="center" vertical="top" wrapText="1"/>
    </xf>
    <xf numFmtId="0" fontId="4" fillId="0" borderId="59" xfId="0" applyFont="1" applyFill="1" applyBorder="1" applyAlignment="1">
      <alignment vertical="top"/>
    </xf>
    <xf numFmtId="2" fontId="4" fillId="28" borderId="39" xfId="0" applyNumberFormat="1" applyFont="1" applyFill="1" applyBorder="1" applyAlignment="1">
      <alignment horizontal="center" vertical="center" wrapText="1"/>
    </xf>
    <xf numFmtId="0" fontId="4" fillId="28" borderId="55" xfId="0" applyFont="1" applyFill="1" applyBorder="1" applyAlignment="1">
      <alignment horizontal="left" vertical="center" wrapText="1"/>
    </xf>
    <xf numFmtId="2" fontId="4" fillId="28" borderId="1" xfId="0" applyNumberFormat="1" applyFont="1" applyFill="1" applyBorder="1" applyAlignment="1">
      <alignment horizontal="center" vertical="center" wrapText="1"/>
    </xf>
    <xf numFmtId="0" fontId="4" fillId="28" borderId="27" xfId="0" applyFont="1" applyFill="1" applyBorder="1" applyAlignment="1">
      <alignment horizontal="left" vertical="center" wrapText="1"/>
    </xf>
    <xf numFmtId="2" fontId="4" fillId="28" borderId="47" xfId="0" applyNumberFormat="1" applyFont="1" applyFill="1" applyBorder="1" applyAlignment="1">
      <alignment horizontal="center" vertical="center" wrapText="1"/>
    </xf>
    <xf numFmtId="0" fontId="4" fillId="28" borderId="40" xfId="0" applyFont="1" applyFill="1" applyBorder="1" applyAlignment="1">
      <alignment horizontal="left" vertical="center" wrapText="1"/>
    </xf>
    <xf numFmtId="0" fontId="4" fillId="0" borderId="5" xfId="0" applyFont="1" applyBorder="1" applyAlignment="1">
      <alignment horizontal="left" vertical="center" wrapText="1"/>
    </xf>
    <xf numFmtId="0" fontId="4" fillId="0" borderId="5" xfId="0" applyFont="1" applyFill="1" applyBorder="1" applyAlignment="1">
      <alignment horizontal="left" vertical="center" wrapText="1"/>
    </xf>
    <xf numFmtId="0" fontId="4" fillId="6" borderId="1" xfId="0" applyFont="1" applyFill="1" applyBorder="1" applyAlignment="1">
      <alignment vertical="center" wrapText="1"/>
    </xf>
    <xf numFmtId="0" fontId="4" fillId="6" borderId="1" xfId="0" applyFont="1" applyFill="1" applyBorder="1" applyAlignment="1">
      <alignment vertical="center" wrapText="1"/>
    </xf>
    <xf numFmtId="0" fontId="4" fillId="0" borderId="46" xfId="0" applyFont="1" applyBorder="1" applyAlignment="1">
      <alignment vertical="top" wrapText="1"/>
    </xf>
    <xf numFmtId="0" fontId="4" fillId="0" borderId="42" xfId="0" applyFont="1" applyBorder="1" applyAlignment="1">
      <alignment vertical="top" wrapText="1"/>
    </xf>
    <xf numFmtId="0" fontId="4" fillId="0" borderId="46" xfId="0" applyFont="1" applyBorder="1" applyAlignment="1">
      <alignment horizontal="left" vertical="top" wrapText="1"/>
    </xf>
    <xf numFmtId="0" fontId="4" fillId="0" borderId="71" xfId="0" applyFont="1" applyBorder="1" applyAlignment="1">
      <alignment horizontal="left" vertical="top" wrapText="1"/>
    </xf>
    <xf numFmtId="0" fontId="4" fillId="6" borderId="1" xfId="0" applyFont="1" applyFill="1" applyBorder="1" applyAlignment="1">
      <alignment vertical="center" wrapText="1"/>
    </xf>
    <xf numFmtId="0" fontId="4" fillId="0" borderId="54" xfId="0" applyFont="1" applyBorder="1" applyAlignment="1">
      <alignment vertical="top" wrapText="1"/>
    </xf>
    <xf numFmtId="0" fontId="4" fillId="0" borderId="34" xfId="0" applyFont="1" applyBorder="1" applyAlignment="1">
      <alignment horizontal="left" vertical="top" wrapText="1"/>
    </xf>
    <xf numFmtId="0" fontId="4" fillId="0" borderId="23" xfId="0" applyFont="1" applyFill="1" applyBorder="1" applyAlignment="1">
      <alignment horizontal="left" vertical="top" wrapText="1"/>
    </xf>
    <xf numFmtId="0" fontId="4" fillId="0" borderId="54" xfId="0" applyFont="1" applyBorder="1" applyAlignment="1">
      <alignment vertical="top" wrapText="1"/>
    </xf>
    <xf numFmtId="0" fontId="67" fillId="22" borderId="34" xfId="0" applyFont="1" applyFill="1" applyBorder="1" applyAlignment="1">
      <alignment horizontal="center" wrapText="1"/>
    </xf>
    <xf numFmtId="0" fontId="67" fillId="22" borderId="5" xfId="0" applyFont="1" applyFill="1" applyBorder="1" applyAlignment="1">
      <alignment horizontal="center" wrapText="1"/>
    </xf>
    <xf numFmtId="0" fontId="15" fillId="22" borderId="5" xfId="0" applyNumberFormat="1" applyFont="1" applyFill="1" applyBorder="1" applyAlignment="1">
      <alignment horizontal="center" wrapText="1"/>
    </xf>
    <xf numFmtId="0" fontId="68" fillId="26" borderId="34" xfId="0" applyFont="1" applyFill="1" applyBorder="1" applyAlignment="1">
      <alignment horizontal="center"/>
    </xf>
    <xf numFmtId="0" fontId="67" fillId="26" borderId="5" xfId="0" applyFont="1" applyFill="1" applyBorder="1" applyAlignment="1">
      <alignment horizontal="center"/>
    </xf>
    <xf numFmtId="0" fontId="64" fillId="0" borderId="0" xfId="0" applyFont="1" applyFill="1" applyBorder="1" applyAlignment="1">
      <alignment horizontal="center"/>
    </xf>
    <xf numFmtId="0" fontId="67" fillId="11" borderId="5" xfId="0" applyFont="1" applyFill="1" applyBorder="1" applyAlignment="1">
      <alignment horizontal="center" vertical="top" wrapText="1"/>
    </xf>
    <xf numFmtId="0" fontId="26" fillId="0" borderId="5" xfId="0" applyFont="1" applyFill="1" applyBorder="1" applyAlignment="1">
      <alignment vertical="top" wrapText="1"/>
    </xf>
    <xf numFmtId="0" fontId="4" fillId="0" borderId="45" xfId="0" applyFont="1" applyBorder="1" applyAlignment="1">
      <alignment horizontal="center" vertical="top" wrapText="1"/>
    </xf>
    <xf numFmtId="0" fontId="4" fillId="0" borderId="5" xfId="0" applyFont="1" applyBorder="1" applyAlignment="1">
      <alignment horizontal="center" vertical="top" wrapText="1"/>
    </xf>
    <xf numFmtId="0" fontId="4" fillId="0" borderId="46" xfId="0" applyFont="1" applyFill="1" applyBorder="1" applyAlignment="1">
      <alignment vertical="top" wrapText="1"/>
    </xf>
    <xf numFmtId="0" fontId="4" fillId="0" borderId="33" xfId="0" applyFont="1" applyFill="1" applyBorder="1" applyAlignment="1">
      <alignment horizontal="left" vertical="top" wrapText="1"/>
    </xf>
    <xf numFmtId="0" fontId="4" fillId="0" borderId="42" xfId="0" applyFont="1" applyFill="1" applyBorder="1" applyAlignment="1">
      <alignment vertical="top" wrapText="1"/>
    </xf>
    <xf numFmtId="0" fontId="4" fillId="0" borderId="71" xfId="0" applyFont="1" applyFill="1" applyBorder="1" applyAlignment="1">
      <alignment vertical="top" wrapText="1"/>
    </xf>
    <xf numFmtId="0" fontId="4" fillId="0" borderId="67" xfId="0" applyFont="1" applyBorder="1" applyAlignment="1">
      <alignment horizontal="left" vertical="top" wrapText="1"/>
    </xf>
    <xf numFmtId="0" fontId="4" fillId="6" borderId="1" xfId="0" applyFont="1" applyFill="1" applyBorder="1" applyAlignment="1">
      <alignment vertical="center" wrapText="1"/>
    </xf>
    <xf numFmtId="0" fontId="44" fillId="0" borderId="64" xfId="0" applyNumberFormat="1" applyFont="1" applyFill="1" applyBorder="1" applyAlignment="1">
      <alignment horizontal="left" vertical="top" wrapText="1"/>
    </xf>
    <xf numFmtId="0" fontId="44" fillId="0" borderId="22" xfId="0" applyNumberFormat="1" applyFont="1" applyFill="1" applyBorder="1" applyAlignment="1">
      <alignment horizontal="left" vertical="top" wrapText="1"/>
    </xf>
    <xf numFmtId="0" fontId="4" fillId="0" borderId="33" xfId="0" applyFont="1" applyBorder="1" applyAlignment="1">
      <alignment vertical="top" wrapText="1"/>
    </xf>
    <xf numFmtId="0" fontId="12" fillId="0" borderId="5" xfId="0" applyFont="1" applyBorder="1" applyAlignment="1" applyProtection="1">
      <alignment horizontal="center" vertical="center"/>
      <protection hidden="1"/>
    </xf>
    <xf numFmtId="0" fontId="4" fillId="0" borderId="54"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33" xfId="0" applyFont="1" applyBorder="1" applyAlignment="1">
      <alignment vertical="top" wrapText="1"/>
    </xf>
    <xf numFmtId="0" fontId="4" fillId="0" borderId="54" xfId="0" applyFont="1" applyBorder="1" applyAlignment="1">
      <alignment vertical="top" wrapText="1"/>
    </xf>
    <xf numFmtId="0" fontId="44" fillId="0" borderId="17"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44" fillId="0" borderId="3" xfId="0" applyNumberFormat="1" applyFont="1" applyFill="1" applyBorder="1" applyAlignment="1">
      <alignment horizontal="center" vertical="top" wrapText="1"/>
    </xf>
    <xf numFmtId="0" fontId="4" fillId="0" borderId="4" xfId="0" applyNumberFormat="1" applyFont="1" applyFill="1" applyBorder="1" applyAlignment="1">
      <alignment horizontal="left" vertical="top" wrapText="1"/>
    </xf>
    <xf numFmtId="0" fontId="44" fillId="0" borderId="23" xfId="0" applyNumberFormat="1" applyFont="1" applyFill="1" applyBorder="1" applyAlignment="1">
      <alignment horizontal="left" vertical="top" wrapText="1"/>
    </xf>
    <xf numFmtId="0" fontId="4" fillId="0" borderId="47" xfId="0" applyNumberFormat="1" applyFont="1" applyFill="1" applyBorder="1" applyAlignment="1">
      <alignment horizontal="left" vertical="top" wrapText="1"/>
    </xf>
    <xf numFmtId="0" fontId="4" fillId="0" borderId="47" xfId="0" applyNumberFormat="1" applyFont="1" applyFill="1" applyBorder="1" applyAlignment="1">
      <alignment horizontal="center" vertical="top" wrapText="1"/>
    </xf>
    <xf numFmtId="0" fontId="4" fillId="0" borderId="4" xfId="0" applyNumberFormat="1" applyFont="1" applyFill="1" applyBorder="1" applyAlignment="1">
      <alignment horizontal="center" vertical="top" wrapText="1"/>
    </xf>
    <xf numFmtId="1" fontId="72" fillId="2" borderId="1" xfId="0" applyNumberFormat="1" applyFont="1" applyFill="1" applyBorder="1" applyAlignment="1" applyProtection="1">
      <alignment horizontal="center" vertical="top" wrapText="1"/>
    </xf>
    <xf numFmtId="0" fontId="74" fillId="29" borderId="5" xfId="0" applyFont="1" applyFill="1" applyBorder="1" applyAlignment="1">
      <alignment wrapText="1"/>
    </xf>
    <xf numFmtId="0" fontId="13" fillId="29" borderId="5" xfId="0" applyFont="1" applyFill="1" applyBorder="1" applyAlignment="1">
      <alignment horizontal="center" wrapText="1"/>
    </xf>
    <xf numFmtId="0" fontId="16" fillId="0" borderId="18" xfId="0" applyFont="1" applyBorder="1" applyAlignment="1">
      <alignment vertical="top" wrapText="1"/>
    </xf>
    <xf numFmtId="0" fontId="5" fillId="0" borderId="18" xfId="0" applyFont="1" applyFill="1" applyBorder="1" applyAlignment="1" applyProtection="1">
      <alignment horizontal="center" wrapText="1"/>
      <protection locked="0"/>
    </xf>
    <xf numFmtId="0" fontId="16" fillId="0" borderId="21" xfId="0" applyFont="1" applyBorder="1" applyAlignment="1">
      <alignment vertical="top" wrapText="1"/>
    </xf>
    <xf numFmtId="0" fontId="3" fillId="0" borderId="21" xfId="0" applyFont="1" applyFill="1" applyBorder="1" applyAlignment="1" applyProtection="1">
      <alignment horizontal="center" vertical="top" wrapText="1"/>
      <protection locked="0"/>
    </xf>
    <xf numFmtId="14" fontId="3" fillId="0" borderId="21" xfId="0" applyNumberFormat="1" applyFont="1" applyFill="1" applyBorder="1" applyAlignment="1" applyProtection="1">
      <alignment horizontal="center" vertical="top" wrapText="1"/>
      <protection locked="0"/>
    </xf>
    <xf numFmtId="164" fontId="3" fillId="0" borderId="21" xfId="0" applyNumberFormat="1" applyFont="1" applyBorder="1" applyAlignment="1" applyProtection="1">
      <alignment horizontal="center" vertical="top" wrapText="1"/>
      <protection locked="0"/>
    </xf>
    <xf numFmtId="2" fontId="3" fillId="0" borderId="21" xfId="0" applyNumberFormat="1" applyFont="1" applyBorder="1" applyAlignment="1" applyProtection="1">
      <alignment horizontal="center" vertical="top" wrapText="1"/>
      <protection locked="0"/>
    </xf>
    <xf numFmtId="9" fontId="3" fillId="0" borderId="21" xfId="0" applyNumberFormat="1" applyFont="1" applyBorder="1" applyAlignment="1" applyProtection="1">
      <alignment horizontal="center" vertical="top" wrapText="1"/>
      <protection locked="0"/>
    </xf>
    <xf numFmtId="0" fontId="16" fillId="0" borderId="21" xfId="0" applyFont="1" applyFill="1" applyBorder="1" applyAlignment="1">
      <alignment vertical="top" wrapText="1"/>
    </xf>
    <xf numFmtId="1" fontId="3" fillId="0" borderId="21" xfId="0" applyNumberFormat="1" applyFont="1" applyFill="1" applyBorder="1" applyAlignment="1" applyProtection="1">
      <alignment horizontal="center" vertical="top" wrapText="1"/>
      <protection locked="0"/>
    </xf>
    <xf numFmtId="0" fontId="4" fillId="0" borderId="46"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2" fontId="76" fillId="18" borderId="0" xfId="0" applyNumberFormat="1" applyFont="1" applyFill="1" applyBorder="1" applyAlignment="1" applyProtection="1">
      <alignment horizontal="center" wrapText="1"/>
      <protection hidden="1"/>
    </xf>
    <xf numFmtId="2" fontId="76" fillId="18" borderId="0" xfId="0" applyNumberFormat="1" applyFont="1" applyFill="1" applyBorder="1" applyAlignment="1" applyProtection="1">
      <alignment wrapText="1"/>
      <protection hidden="1"/>
    </xf>
    <xf numFmtId="0" fontId="46" fillId="0" borderId="0" xfId="0" applyFont="1" applyFill="1">
      <alignment vertical="top"/>
    </xf>
    <xf numFmtId="0" fontId="3" fillId="0" borderId="19" xfId="0" applyFont="1" applyFill="1" applyBorder="1" applyAlignment="1" applyProtection="1">
      <alignment vertical="center"/>
    </xf>
    <xf numFmtId="0" fontId="3" fillId="0" borderId="26" xfId="0" applyFont="1" applyFill="1" applyBorder="1" applyAlignment="1" applyProtection="1">
      <alignment vertical="center"/>
    </xf>
    <xf numFmtId="0" fontId="3" fillId="0" borderId="78" xfId="0" applyFont="1" applyFill="1" applyBorder="1" applyAlignment="1" applyProtection="1">
      <alignment vertical="center"/>
    </xf>
    <xf numFmtId="0" fontId="3" fillId="0" borderId="22" xfId="0" applyFont="1" applyFill="1" applyBorder="1" applyAlignment="1">
      <alignment vertical="center"/>
    </xf>
    <xf numFmtId="0" fontId="3" fillId="0" borderId="64" xfId="0" applyFont="1" applyFill="1" applyBorder="1">
      <alignment vertical="top"/>
    </xf>
    <xf numFmtId="0" fontId="13" fillId="0" borderId="34" xfId="0" applyFont="1" applyFill="1" applyBorder="1" applyAlignment="1">
      <alignment horizontal="left"/>
    </xf>
    <xf numFmtId="0" fontId="26" fillId="15" borderId="44" xfId="0" applyFont="1" applyFill="1" applyBorder="1" applyAlignment="1" applyProtection="1">
      <alignment horizontal="center" wrapText="1"/>
    </xf>
    <xf numFmtId="0" fontId="26" fillId="17" borderId="44" xfId="0" applyFont="1" applyFill="1" applyBorder="1" applyAlignment="1" applyProtection="1">
      <alignment horizontal="center" wrapText="1"/>
    </xf>
    <xf numFmtId="0" fontId="26" fillId="30" borderId="61" xfId="0" applyFont="1" applyFill="1" applyBorder="1" applyAlignment="1" applyProtection="1">
      <alignment horizontal="center" wrapText="1"/>
    </xf>
    <xf numFmtId="0" fontId="3" fillId="0" borderId="0" xfId="0" applyFont="1" applyFill="1" applyAlignment="1"/>
    <xf numFmtId="0" fontId="28" fillId="0" borderId="11" xfId="0" applyFont="1" applyBorder="1" applyAlignment="1">
      <alignment vertical="top" wrapText="1"/>
    </xf>
    <xf numFmtId="2" fontId="3" fillId="0" borderId="0" xfId="0" applyNumberFormat="1" applyFont="1" applyFill="1" applyBorder="1" applyAlignment="1" applyProtection="1">
      <alignment horizontal="center" vertical="top" wrapText="1"/>
      <protection locked="0"/>
    </xf>
    <xf numFmtId="2" fontId="3" fillId="0" borderId="0" xfId="0" applyNumberFormat="1" applyFont="1" applyFill="1" applyBorder="1" applyAlignment="1" applyProtection="1">
      <alignment vertical="top" wrapText="1"/>
      <protection locked="0"/>
    </xf>
    <xf numFmtId="2" fontId="3" fillId="0" borderId="0" xfId="0" applyNumberFormat="1" applyFont="1" applyFill="1" applyBorder="1" applyAlignment="1" applyProtection="1">
      <alignment horizontal="left" vertical="top" wrapText="1"/>
      <protection locked="0"/>
    </xf>
    <xf numFmtId="2" fontId="33" fillId="0" borderId="0" xfId="0" applyNumberFormat="1" applyFont="1" applyFill="1" applyBorder="1" applyAlignment="1">
      <alignment horizontal="left" vertical="center" wrapText="1"/>
    </xf>
    <xf numFmtId="2" fontId="33" fillId="0" borderId="0" xfId="0" applyNumberFormat="1" applyFont="1" applyFill="1" applyBorder="1" applyAlignment="1">
      <alignment vertical="center" wrapText="1"/>
    </xf>
    <xf numFmtId="0" fontId="4" fillId="0" borderId="0" xfId="0" applyFont="1" applyAlignment="1">
      <alignment horizontal="center" vertical="top"/>
    </xf>
    <xf numFmtId="2" fontId="15" fillId="15" borderId="44" xfId="0" applyNumberFormat="1" applyFont="1" applyFill="1" applyBorder="1" applyAlignment="1" applyProtection="1">
      <alignment horizontal="center" wrapText="1"/>
    </xf>
    <xf numFmtId="2" fontId="0" fillId="0" borderId="0" xfId="0" applyNumberFormat="1" applyBorder="1" applyAlignment="1" applyProtection="1">
      <alignment horizontal="center" vertical="top" wrapText="1"/>
      <protection locked="0"/>
    </xf>
    <xf numFmtId="2" fontId="33" fillId="0" borderId="13" xfId="0" applyNumberFormat="1" applyFont="1" applyBorder="1" applyAlignment="1">
      <alignment horizontal="left" vertical="center" wrapText="1"/>
    </xf>
    <xf numFmtId="2" fontId="17" fillId="0" borderId="0" xfId="0" applyNumberFormat="1" applyFont="1" applyFill="1" applyBorder="1" applyAlignment="1">
      <alignment horizontal="center" vertical="top" wrapText="1"/>
    </xf>
    <xf numFmtId="2" fontId="15" fillId="17" borderId="44" xfId="0" applyNumberFormat="1" applyFont="1" applyFill="1" applyBorder="1" applyAlignment="1" applyProtection="1">
      <alignment horizontal="center" wrapText="1"/>
    </xf>
    <xf numFmtId="2" fontId="26" fillId="30" borderId="44" xfId="0" applyNumberFormat="1" applyFont="1" applyFill="1" applyBorder="1" applyAlignment="1" applyProtection="1">
      <alignment horizontal="center" wrapText="1"/>
    </xf>
    <xf numFmtId="2" fontId="4" fillId="0" borderId="4" xfId="0" applyNumberFormat="1" applyFont="1" applyBorder="1" applyAlignment="1" applyProtection="1">
      <alignment horizontal="center"/>
    </xf>
    <xf numFmtId="0" fontId="4" fillId="0" borderId="4" xfId="0" applyFont="1" applyFill="1" applyBorder="1" applyAlignment="1" applyProtection="1">
      <alignment horizontal="center" vertical="top"/>
    </xf>
    <xf numFmtId="2" fontId="4" fillId="0" borderId="4" xfId="0" applyNumberFormat="1" applyFont="1" applyBorder="1" applyAlignment="1" applyProtection="1">
      <alignment horizontal="center" vertical="top"/>
    </xf>
    <xf numFmtId="2" fontId="4" fillId="0" borderId="1" xfId="0" applyNumberFormat="1" applyFont="1" applyBorder="1" applyAlignment="1" applyProtection="1">
      <alignment horizontal="center"/>
    </xf>
    <xf numFmtId="0" fontId="4" fillId="0" borderId="1" xfId="0" applyFont="1" applyFill="1" applyBorder="1" applyAlignment="1" applyProtection="1">
      <alignment horizontal="center" vertical="top"/>
    </xf>
    <xf numFmtId="2" fontId="4" fillId="0" borderId="1" xfId="0" applyNumberFormat="1" applyFont="1" applyBorder="1" applyAlignment="1" applyProtection="1">
      <alignment horizontal="center" vertical="top"/>
    </xf>
    <xf numFmtId="2" fontId="3" fillId="0" borderId="1" xfId="0" applyNumberFormat="1" applyFont="1" applyFill="1" applyBorder="1" applyAlignment="1" applyProtection="1">
      <alignment horizontal="center" vertical="top"/>
    </xf>
    <xf numFmtId="2" fontId="3" fillId="4" borderId="1" xfId="0" applyNumberFormat="1" applyFont="1" applyFill="1" applyBorder="1" applyAlignment="1" applyProtection="1">
      <alignment horizontal="center" vertical="top"/>
    </xf>
    <xf numFmtId="2" fontId="4" fillId="0" borderId="1" xfId="0" applyNumberFormat="1" applyFont="1" applyFill="1" applyBorder="1" applyAlignment="1" applyProtection="1">
      <alignment horizontal="center"/>
    </xf>
    <xf numFmtId="2" fontId="4" fillId="0" borderId="1" xfId="0" applyNumberFormat="1" applyFont="1" applyFill="1" applyBorder="1" applyAlignment="1" applyProtection="1">
      <alignment horizontal="center" vertical="top"/>
    </xf>
    <xf numFmtId="0" fontId="67" fillId="11" borderId="5" xfId="0" applyFont="1" applyFill="1" applyBorder="1" applyAlignment="1" applyProtection="1">
      <alignment horizontal="center" vertical="top" wrapText="1"/>
      <protection locked="0"/>
    </xf>
    <xf numFmtId="0" fontId="67" fillId="22" borderId="5" xfId="0" applyFont="1" applyFill="1" applyBorder="1" applyAlignment="1" applyProtection="1">
      <alignment horizontal="center" wrapText="1"/>
      <protection locked="0"/>
    </xf>
    <xf numFmtId="0" fontId="55" fillId="26" borderId="5" xfId="0" applyFont="1" applyFill="1" applyBorder="1" applyAlignment="1" applyProtection="1">
      <alignment horizontal="center" vertical="top"/>
      <protection locked="0"/>
    </xf>
    <xf numFmtId="0" fontId="55" fillId="26" borderId="5" xfId="0" applyFont="1" applyFill="1" applyBorder="1" applyAlignment="1" applyProtection="1">
      <alignment horizontal="center"/>
      <protection locked="0"/>
    </xf>
    <xf numFmtId="0" fontId="4" fillId="0" borderId="10" xfId="0" applyFont="1" applyBorder="1" applyAlignment="1">
      <alignment horizontal="left" vertical="top" wrapText="1"/>
    </xf>
    <xf numFmtId="0" fontId="4" fillId="4" borderId="18" xfId="0" applyFont="1" applyFill="1" applyBorder="1" applyAlignment="1" applyProtection="1">
      <alignment horizontal="center" vertical="top" wrapText="1"/>
      <protection locked="0"/>
    </xf>
    <xf numFmtId="0" fontId="4" fillId="0" borderId="31" xfId="0" applyFont="1" applyFill="1" applyBorder="1" applyAlignment="1" applyProtection="1">
      <alignment horizontal="center" vertical="top" wrapText="1"/>
      <protection locked="0"/>
    </xf>
    <xf numFmtId="0" fontId="4" fillId="0" borderId="37" xfId="0" applyFont="1" applyFill="1" applyBorder="1" applyAlignment="1" applyProtection="1">
      <alignment horizontal="center" vertical="top" wrapText="1"/>
      <protection locked="0"/>
    </xf>
    <xf numFmtId="0" fontId="4" fillId="4" borderId="29" xfId="0" applyFont="1" applyFill="1" applyBorder="1" applyAlignment="1" applyProtection="1">
      <alignment horizontal="center" vertical="top" wrapText="1"/>
      <protection locked="0"/>
    </xf>
    <xf numFmtId="0" fontId="4" fillId="0" borderId="32" xfId="0" applyFont="1" applyFill="1" applyBorder="1" applyAlignment="1" applyProtection="1">
      <alignment horizontal="center" vertical="top" wrapText="1"/>
      <protection locked="0"/>
    </xf>
    <xf numFmtId="0" fontId="4" fillId="0" borderId="61" xfId="0" applyFont="1" applyFill="1" applyBorder="1" applyAlignment="1" applyProtection="1">
      <alignment horizontal="center" vertical="top" wrapText="1"/>
      <protection locked="0"/>
    </xf>
    <xf numFmtId="0" fontId="4" fillId="0" borderId="41" xfId="0" applyFont="1" applyFill="1" applyBorder="1" applyAlignment="1" applyProtection="1">
      <alignment horizontal="center" vertical="top" wrapText="1"/>
      <protection locked="0"/>
    </xf>
    <xf numFmtId="0" fontId="4" fillId="4" borderId="21" xfId="0" applyFont="1" applyFill="1" applyBorder="1" applyAlignment="1" applyProtection="1">
      <alignment horizontal="center" vertical="top" wrapText="1"/>
      <protection locked="0"/>
    </xf>
    <xf numFmtId="0" fontId="4" fillId="0" borderId="79" xfId="0" applyFont="1" applyFill="1" applyBorder="1" applyAlignment="1" applyProtection="1">
      <alignment horizontal="center" vertical="top"/>
      <protection locked="0"/>
    </xf>
    <xf numFmtId="0" fontId="4" fillId="0" borderId="31" xfId="0" applyFont="1" applyFill="1" applyBorder="1" applyAlignment="1" applyProtection="1">
      <alignment horizontal="center" vertical="top"/>
      <protection locked="0"/>
    </xf>
    <xf numFmtId="0" fontId="4" fillId="0" borderId="37" xfId="0" applyFont="1" applyFill="1" applyBorder="1" applyAlignment="1" applyProtection="1">
      <alignment horizontal="center" vertical="top"/>
      <protection locked="0"/>
    </xf>
    <xf numFmtId="0" fontId="4" fillId="0" borderId="32" xfId="0" applyFont="1" applyFill="1" applyBorder="1" applyAlignment="1" applyProtection="1">
      <alignment horizontal="center" vertical="top"/>
      <protection locked="0"/>
    </xf>
    <xf numFmtId="0" fontId="4" fillId="31" borderId="63" xfId="0" applyFont="1" applyFill="1" applyBorder="1" applyAlignment="1" applyProtection="1">
      <alignment horizontal="center" vertical="top" wrapText="1"/>
      <protection locked="0"/>
    </xf>
    <xf numFmtId="0" fontId="4" fillId="0" borderId="15" xfId="0" applyFont="1" applyFill="1" applyBorder="1" applyAlignment="1" applyProtection="1">
      <alignment horizontal="center" vertical="top"/>
      <protection locked="0"/>
    </xf>
    <xf numFmtId="0" fontId="4" fillId="0" borderId="36" xfId="0" applyFont="1" applyFill="1" applyBorder="1" applyAlignment="1" applyProtection="1">
      <alignment horizontal="center" vertical="top"/>
      <protection locked="0"/>
    </xf>
    <xf numFmtId="0" fontId="4" fillId="31" borderId="14" xfId="0" applyFont="1" applyFill="1" applyBorder="1" applyAlignment="1" applyProtection="1">
      <alignment horizontal="center" vertical="top" wrapText="1"/>
      <protection locked="0"/>
    </xf>
    <xf numFmtId="0" fontId="4" fillId="0" borderId="16" xfId="0" applyFont="1" applyFill="1" applyBorder="1" applyAlignment="1" applyProtection="1">
      <alignment horizontal="center" vertical="top"/>
      <protection locked="0"/>
    </xf>
    <xf numFmtId="1" fontId="4" fillId="0" borderId="15" xfId="0" applyNumberFormat="1" applyFont="1" applyFill="1" applyBorder="1" applyAlignment="1" applyProtection="1">
      <alignment horizontal="center" vertical="top" wrapText="1"/>
      <protection locked="0"/>
    </xf>
    <xf numFmtId="1" fontId="4" fillId="0" borderId="16" xfId="0" applyNumberFormat="1" applyFont="1" applyFill="1" applyBorder="1" applyAlignment="1" applyProtection="1">
      <alignment horizontal="center" vertical="top" wrapText="1"/>
      <protection locked="0"/>
    </xf>
    <xf numFmtId="0" fontId="4" fillId="0" borderId="15" xfId="0" applyFont="1" applyFill="1" applyBorder="1" applyAlignment="1" applyProtection="1">
      <alignment horizontal="center" vertical="top" wrapText="1"/>
      <protection locked="0"/>
    </xf>
    <xf numFmtId="1" fontId="4" fillId="0" borderId="36" xfId="0" applyNumberFormat="1" applyFont="1" applyFill="1" applyBorder="1" applyAlignment="1" applyProtection="1">
      <alignment horizontal="center" vertical="top" wrapText="1"/>
      <protection locked="0"/>
    </xf>
    <xf numFmtId="1" fontId="4" fillId="0" borderId="15" xfId="0" applyNumberFormat="1" applyFont="1" applyFill="1" applyBorder="1" applyAlignment="1" applyProtection="1">
      <alignment horizontal="center" vertical="top"/>
      <protection locked="0"/>
    </xf>
    <xf numFmtId="1" fontId="4" fillId="0" borderId="36" xfId="0" applyNumberFormat="1" applyFont="1" applyFill="1" applyBorder="1" applyAlignment="1" applyProtection="1">
      <alignment horizontal="center" vertical="top"/>
      <protection locked="0"/>
    </xf>
    <xf numFmtId="0" fontId="4" fillId="0" borderId="16" xfId="0" applyFont="1" applyFill="1" applyBorder="1" applyAlignment="1" applyProtection="1">
      <alignment horizontal="center" vertical="top" wrapText="1"/>
      <protection locked="0"/>
    </xf>
    <xf numFmtId="1" fontId="4" fillId="0" borderId="38" xfId="0" applyNumberFormat="1" applyFont="1" applyFill="1" applyBorder="1" applyAlignment="1" applyProtection="1">
      <alignment horizontal="center" vertical="top" wrapText="1"/>
      <protection locked="0"/>
    </xf>
    <xf numFmtId="0" fontId="4" fillId="0" borderId="61" xfId="0" applyFont="1" applyFill="1" applyBorder="1" applyAlignment="1" applyProtection="1">
      <alignment horizontal="center" vertical="top"/>
      <protection locked="0"/>
    </xf>
    <xf numFmtId="1" fontId="4" fillId="0" borderId="61" xfId="0" applyNumberFormat="1" applyFont="1" applyFill="1" applyBorder="1" applyAlignment="1" applyProtection="1">
      <alignment horizontal="center" vertical="top" wrapText="1"/>
      <protection locked="0"/>
    </xf>
    <xf numFmtId="0" fontId="4" fillId="31" borderId="59" xfId="0" applyFont="1" applyFill="1" applyBorder="1" applyAlignment="1" applyProtection="1">
      <alignment horizontal="center" vertical="top" wrapText="1"/>
      <protection locked="0"/>
    </xf>
    <xf numFmtId="0" fontId="4" fillId="0" borderId="53" xfId="0" applyFont="1" applyFill="1" applyBorder="1" applyAlignment="1" applyProtection="1">
      <alignment horizontal="center" vertical="top" wrapText="1"/>
      <protection locked="0"/>
    </xf>
    <xf numFmtId="0" fontId="4" fillId="0" borderId="38" xfId="0" applyFont="1" applyFill="1" applyBorder="1" applyAlignment="1" applyProtection="1">
      <alignment horizontal="center" vertical="top"/>
      <protection locked="0"/>
    </xf>
    <xf numFmtId="0" fontId="4" fillId="0" borderId="0" xfId="0" applyFont="1" applyFill="1" applyBorder="1" applyAlignment="1" applyProtection="1">
      <alignment horizontal="center" vertical="top" wrapText="1"/>
      <protection locked="0"/>
    </xf>
    <xf numFmtId="0" fontId="46" fillId="0" borderId="27" xfId="0" applyFont="1" applyBorder="1" applyAlignment="1" applyProtection="1">
      <alignment horizontal="center" vertical="top"/>
      <protection locked="0"/>
    </xf>
    <xf numFmtId="0" fontId="46" fillId="0" borderId="2" xfId="0" applyFont="1" applyBorder="1" applyAlignment="1" applyProtection="1">
      <alignment horizontal="center" vertical="top"/>
      <protection locked="0"/>
    </xf>
    <xf numFmtId="0" fontId="46" fillId="11" borderId="62" xfId="0" applyFont="1" applyFill="1" applyBorder="1" applyAlignment="1" applyProtection="1">
      <alignment horizontal="center" vertical="top"/>
      <protection locked="0"/>
    </xf>
    <xf numFmtId="0" fontId="46" fillId="0" borderId="2" xfId="0" applyFont="1" applyFill="1" applyBorder="1" applyAlignment="1" applyProtection="1">
      <alignment horizontal="center" vertical="top"/>
      <protection locked="0"/>
    </xf>
    <xf numFmtId="1" fontId="46" fillId="11" borderId="2" xfId="0" applyNumberFormat="1" applyFont="1" applyFill="1" applyBorder="1" applyAlignment="1" applyProtection="1">
      <alignment horizontal="center" vertical="top"/>
      <protection locked="0"/>
    </xf>
    <xf numFmtId="0" fontId="4" fillId="0" borderId="38" xfId="0" applyFont="1" applyFill="1" applyBorder="1" applyAlignment="1" applyProtection="1">
      <alignment horizontal="center" vertical="top" wrapText="1"/>
      <protection locked="0"/>
    </xf>
    <xf numFmtId="0" fontId="4" fillId="0" borderId="36" xfId="0" applyFont="1" applyFill="1" applyBorder="1" applyAlignment="1" applyProtection="1">
      <alignment horizontal="center" vertical="top" wrapText="1"/>
      <protection locked="0"/>
    </xf>
    <xf numFmtId="0" fontId="46" fillId="0" borderId="15" xfId="0" applyFont="1" applyFill="1" applyBorder="1" applyAlignment="1" applyProtection="1">
      <alignment horizontal="center" vertical="top" wrapText="1"/>
      <protection locked="0"/>
    </xf>
    <xf numFmtId="0" fontId="46" fillId="0" borderId="16" xfId="0" applyFont="1" applyFill="1" applyBorder="1" applyAlignment="1" applyProtection="1">
      <alignment horizontal="center" vertical="top" wrapText="1"/>
      <protection locked="0"/>
    </xf>
    <xf numFmtId="0" fontId="4" fillId="4" borderId="14" xfId="0" applyFont="1" applyFill="1" applyBorder="1" applyAlignment="1" applyProtection="1">
      <alignment horizontal="center" vertical="top" wrapText="1"/>
      <protection locked="0"/>
    </xf>
    <xf numFmtId="49" fontId="4" fillId="0" borderId="1" xfId="1" applyNumberFormat="1" applyFont="1" applyBorder="1" applyAlignment="1" applyProtection="1">
      <alignment horizontal="center" vertical="center" wrapText="1"/>
      <protection locked="0"/>
    </xf>
    <xf numFmtId="1" fontId="51" fillId="20" borderId="38" xfId="1" applyNumberFormat="1" applyFont="1" applyFill="1" applyBorder="1" applyAlignment="1">
      <alignment horizontal="center" vertical="center"/>
    </xf>
    <xf numFmtId="49" fontId="4" fillId="19" borderId="12" xfId="1" applyNumberFormat="1" applyFont="1" applyFill="1" applyBorder="1" applyAlignment="1" applyProtection="1">
      <alignment horizontal="center" vertical="center" wrapText="1"/>
      <protection locked="0"/>
    </xf>
    <xf numFmtId="49" fontId="4" fillId="0" borderId="1" xfId="1" applyNumberFormat="1" applyFont="1" applyBorder="1" applyAlignment="1" applyProtection="1">
      <alignment horizontal="center" vertical="top" wrapText="1"/>
      <protection locked="0"/>
    </xf>
    <xf numFmtId="49" fontId="4" fillId="19" borderId="2" xfId="1" applyNumberFormat="1" applyFont="1" applyFill="1" applyBorder="1" applyAlignment="1" applyProtection="1">
      <alignment horizontal="center" vertical="center" wrapText="1"/>
      <protection locked="0"/>
    </xf>
    <xf numFmtId="1" fontId="4" fillId="0" borderId="1" xfId="1" applyNumberFormat="1" applyFont="1" applyBorder="1" applyAlignment="1" applyProtection="1">
      <alignment horizontal="center" vertical="center"/>
      <protection locked="0"/>
    </xf>
    <xf numFmtId="49" fontId="4" fillId="0" borderId="1" xfId="1" applyNumberFormat="1" applyFont="1" applyFill="1" applyBorder="1" applyAlignment="1" applyProtection="1">
      <alignment horizontal="center" vertical="center" wrapText="1"/>
      <protection locked="0"/>
    </xf>
    <xf numFmtId="2" fontId="52" fillId="19" borderId="5" xfId="1" applyNumberFormat="1" applyFont="1" applyFill="1" applyBorder="1" applyAlignment="1">
      <alignment horizontal="center" vertical="center"/>
    </xf>
    <xf numFmtId="0" fontId="50" fillId="21" borderId="23" xfId="0" applyFont="1" applyFill="1" applyBorder="1" applyAlignment="1"/>
    <xf numFmtId="0" fontId="46" fillId="0" borderId="15" xfId="0" applyFont="1" applyFill="1" applyBorder="1" applyAlignment="1" applyProtection="1">
      <alignment horizontal="center" vertical="top"/>
      <protection locked="0"/>
    </xf>
    <xf numFmtId="0" fontId="46" fillId="0" borderId="36" xfId="0" applyFont="1" applyFill="1" applyBorder="1" applyAlignment="1" applyProtection="1">
      <alignment horizontal="center" vertical="top"/>
      <protection locked="0"/>
    </xf>
    <xf numFmtId="0" fontId="4" fillId="0" borderId="61" xfId="0" applyFont="1" applyFill="1" applyBorder="1" applyAlignment="1" applyProtection="1">
      <alignment horizontal="left" vertical="top"/>
      <protection locked="0"/>
    </xf>
    <xf numFmtId="1" fontId="46" fillId="11" borderId="40" xfId="0" applyNumberFormat="1" applyFont="1" applyFill="1" applyBorder="1" applyAlignment="1" applyProtection="1">
      <alignment horizontal="center" vertical="top"/>
      <protection locked="0"/>
    </xf>
    <xf numFmtId="0" fontId="46" fillId="0" borderId="5" xfId="0" applyFont="1" applyFill="1" applyBorder="1" applyAlignment="1" applyProtection="1">
      <alignment horizontal="center" vertical="top" wrapText="1"/>
      <protection locked="0"/>
    </xf>
    <xf numFmtId="0" fontId="4" fillId="0" borderId="79" xfId="0" applyFont="1" applyBorder="1" applyAlignment="1" applyProtection="1">
      <alignment horizontal="center" vertical="top" wrapText="1"/>
      <protection locked="0"/>
    </xf>
    <xf numFmtId="0" fontId="4" fillId="0" borderId="31" xfId="0" applyFont="1" applyBorder="1" applyAlignment="1" applyProtection="1">
      <alignment horizontal="center" vertical="top" wrapText="1"/>
      <protection locked="0"/>
    </xf>
    <xf numFmtId="0" fontId="4" fillId="0" borderId="37" xfId="0" applyFont="1" applyBorder="1" applyAlignment="1" applyProtection="1">
      <alignment horizontal="center" vertical="top" wrapText="1"/>
      <protection locked="0"/>
    </xf>
    <xf numFmtId="0" fontId="4" fillId="0" borderId="61" xfId="0" applyFont="1" applyBorder="1" applyAlignment="1" applyProtection="1">
      <alignment horizontal="center" vertical="top" wrapText="1"/>
      <protection locked="0"/>
    </xf>
    <xf numFmtId="0" fontId="4" fillId="0" borderId="41" xfId="0" applyFont="1" applyBorder="1" applyAlignment="1" applyProtection="1">
      <alignment horizontal="center" vertical="top"/>
      <protection locked="0"/>
    </xf>
    <xf numFmtId="0" fontId="4" fillId="0" borderId="61" xfId="0" applyFont="1" applyBorder="1" applyAlignment="1" applyProtection="1">
      <alignment horizontal="center" vertical="top"/>
      <protection locked="0"/>
    </xf>
    <xf numFmtId="0" fontId="4" fillId="0" borderId="31" xfId="0" applyFont="1" applyBorder="1" applyAlignment="1" applyProtection="1">
      <alignment horizontal="center" vertical="top"/>
      <protection locked="0"/>
    </xf>
    <xf numFmtId="0" fontId="4" fillId="0" borderId="37" xfId="0" applyFont="1" applyBorder="1" applyAlignment="1" applyProtection="1">
      <alignment horizontal="center" vertical="top"/>
      <protection locked="0"/>
    </xf>
    <xf numFmtId="0" fontId="4" fillId="0" borderId="32" xfId="0" applyFont="1" applyBorder="1" applyAlignment="1" applyProtection="1">
      <alignment horizontal="center" vertical="top"/>
      <protection locked="0"/>
    </xf>
    <xf numFmtId="0" fontId="4" fillId="0" borderId="69" xfId="0" applyFont="1" applyBorder="1" applyAlignment="1" applyProtection="1">
      <alignment horizontal="center" vertical="top"/>
      <protection locked="0"/>
    </xf>
    <xf numFmtId="0" fontId="5" fillId="0" borderId="5" xfId="0" applyFont="1" applyFill="1" applyBorder="1" applyAlignment="1" applyProtection="1">
      <alignment horizontal="left" vertical="top" wrapText="1"/>
      <protection locked="0"/>
    </xf>
    <xf numFmtId="0" fontId="5" fillId="18" borderId="5" xfId="0" applyFont="1" applyFill="1" applyBorder="1" applyAlignment="1" applyProtection="1">
      <alignment horizontal="left" vertical="top" wrapText="1"/>
      <protection locked="0"/>
    </xf>
    <xf numFmtId="0" fontId="53" fillId="0" borderId="34" xfId="1" applyFont="1" applyFill="1" applyBorder="1" applyAlignment="1" applyProtection="1">
      <alignment vertical="top"/>
      <protection locked="0"/>
    </xf>
    <xf numFmtId="0" fontId="53" fillId="0" borderId="0" xfId="1" applyFont="1" applyAlignment="1" applyProtection="1">
      <alignment vertical="top"/>
      <protection locked="0"/>
    </xf>
    <xf numFmtId="0" fontId="0" fillId="0" borderId="0" xfId="0" applyProtection="1">
      <alignment vertical="top"/>
      <protection locked="0"/>
    </xf>
    <xf numFmtId="2" fontId="77" fillId="0" borderId="0" xfId="0" applyNumberFormat="1" applyFont="1" applyFill="1" applyAlignment="1">
      <alignment horizontal="center" vertical="top" wrapText="1"/>
    </xf>
    <xf numFmtId="0" fontId="3" fillId="0" borderId="78" xfId="0" applyFont="1" applyFill="1" applyBorder="1">
      <alignment vertical="top"/>
    </xf>
    <xf numFmtId="2" fontId="4" fillId="0" borderId="3" xfId="0" applyNumberFormat="1" applyFont="1" applyBorder="1" applyAlignment="1" applyProtection="1">
      <alignment horizontal="center"/>
    </xf>
    <xf numFmtId="0" fontId="4" fillId="0" borderId="3" xfId="0" applyFont="1" applyFill="1" applyBorder="1" applyAlignment="1" applyProtection="1">
      <alignment horizontal="center" vertical="top"/>
    </xf>
    <xf numFmtId="2" fontId="4" fillId="0" borderId="3" xfId="0" applyNumberFormat="1" applyFont="1" applyBorder="1" applyAlignment="1" applyProtection="1">
      <alignment horizontal="center" vertical="top"/>
    </xf>
    <xf numFmtId="0" fontId="3" fillId="0" borderId="19" xfId="0" applyFont="1" applyFill="1" applyBorder="1">
      <alignment vertical="top"/>
    </xf>
    <xf numFmtId="2" fontId="3" fillId="4" borderId="4" xfId="0" applyNumberFormat="1" applyFont="1" applyFill="1" applyBorder="1" applyAlignment="1" applyProtection="1">
      <alignment horizontal="center" vertical="top"/>
    </xf>
    <xf numFmtId="2" fontId="4" fillId="0" borderId="39" xfId="0" applyNumberFormat="1" applyFont="1" applyBorder="1" applyAlignment="1" applyProtection="1">
      <alignment horizontal="center"/>
    </xf>
    <xf numFmtId="0" fontId="4" fillId="0" borderId="39" xfId="0" applyFont="1" applyFill="1" applyBorder="1" applyAlignment="1" applyProtection="1">
      <alignment horizontal="center" vertical="top"/>
    </xf>
    <xf numFmtId="2" fontId="4" fillId="0" borderId="39" xfId="0" applyNumberFormat="1" applyFont="1" applyBorder="1" applyAlignment="1" applyProtection="1">
      <alignment horizontal="center" vertical="top"/>
    </xf>
    <xf numFmtId="2" fontId="3" fillId="0" borderId="39" xfId="0" applyNumberFormat="1" applyFont="1" applyFill="1" applyBorder="1" applyAlignment="1" applyProtection="1">
      <alignment horizontal="center" vertical="top"/>
    </xf>
    <xf numFmtId="2" fontId="4" fillId="0" borderId="47" xfId="0" applyNumberFormat="1" applyFont="1" applyBorder="1" applyAlignment="1" applyProtection="1">
      <alignment horizontal="center"/>
    </xf>
    <xf numFmtId="0" fontId="4" fillId="0" borderId="47" xfId="0" applyFont="1" applyFill="1" applyBorder="1" applyAlignment="1" applyProtection="1">
      <alignment horizontal="center" vertical="top"/>
    </xf>
    <xf numFmtId="2" fontId="4" fillId="0" borderId="47" xfId="0" applyNumberFormat="1" applyFont="1" applyBorder="1" applyAlignment="1" applyProtection="1">
      <alignment horizontal="center" vertical="top"/>
    </xf>
    <xf numFmtId="2" fontId="3" fillId="4" borderId="3" xfId="0" applyNumberFormat="1" applyFont="1" applyFill="1" applyBorder="1" applyAlignment="1" applyProtection="1">
      <alignment horizontal="center" vertical="top"/>
    </xf>
    <xf numFmtId="2" fontId="3" fillId="4" borderId="43" xfId="0" applyNumberFormat="1" applyFont="1" applyFill="1" applyBorder="1" applyAlignment="1" applyProtection="1">
      <alignment horizontal="center" vertical="top"/>
    </xf>
    <xf numFmtId="2" fontId="3" fillId="4" borderId="44" xfId="0" applyNumberFormat="1" applyFont="1" applyFill="1" applyBorder="1" applyAlignment="1" applyProtection="1">
      <alignment horizontal="center" vertical="top"/>
    </xf>
    <xf numFmtId="2" fontId="4" fillId="0" borderId="44" xfId="0" applyNumberFormat="1" applyFont="1" applyBorder="1" applyAlignment="1" applyProtection="1">
      <alignment horizontal="center" vertical="top"/>
    </xf>
    <xf numFmtId="0" fontId="4" fillId="0" borderId="44" xfId="0" applyFont="1" applyFill="1" applyBorder="1" applyAlignment="1" applyProtection="1">
      <alignment horizontal="center" vertical="top"/>
    </xf>
    <xf numFmtId="2" fontId="3" fillId="4" borderId="54" xfId="0" applyNumberFormat="1" applyFont="1" applyFill="1" applyBorder="1" applyAlignment="1" applyProtection="1">
      <alignment horizontal="center" vertical="top"/>
    </xf>
    <xf numFmtId="2" fontId="3" fillId="4" borderId="39" xfId="0" applyNumberFormat="1" applyFont="1" applyFill="1" applyBorder="1" applyAlignment="1" applyProtection="1">
      <alignment horizontal="center" vertical="top"/>
    </xf>
    <xf numFmtId="2" fontId="3" fillId="4" borderId="33" xfId="0" applyNumberFormat="1" applyFont="1" applyFill="1" applyBorder="1" applyAlignment="1" applyProtection="1">
      <alignment horizontal="center" vertical="top"/>
    </xf>
    <xf numFmtId="2" fontId="3" fillId="4" borderId="60" xfId="0" applyNumberFormat="1" applyFont="1" applyFill="1" applyBorder="1" applyAlignment="1" applyProtection="1">
      <alignment horizontal="center" vertical="top"/>
    </xf>
    <xf numFmtId="2" fontId="3" fillId="4" borderId="47" xfId="0" applyNumberFormat="1" applyFont="1" applyFill="1" applyBorder="1" applyAlignment="1" applyProtection="1">
      <alignment horizontal="center" vertical="top"/>
    </xf>
    <xf numFmtId="0" fontId="4" fillId="0" borderId="10" xfId="0" applyFont="1" applyFill="1" applyBorder="1" applyAlignment="1">
      <alignment horizontal="left" vertical="top" wrapText="1"/>
    </xf>
    <xf numFmtId="0" fontId="44" fillId="0" borderId="42" xfId="0" applyNumberFormat="1" applyFont="1" applyFill="1" applyBorder="1" applyAlignment="1">
      <alignment horizontal="left" vertical="top" wrapText="1"/>
    </xf>
    <xf numFmtId="0" fontId="4" fillId="0" borderId="54" xfId="0" applyFont="1" applyBorder="1" applyAlignment="1">
      <alignment vertical="top" wrapText="1"/>
    </xf>
    <xf numFmtId="0" fontId="3" fillId="0" borderId="0" xfId="0" applyFont="1" applyFill="1" applyAlignment="1">
      <alignment vertical="top"/>
    </xf>
    <xf numFmtId="2" fontId="76" fillId="18" borderId="0" xfId="0" applyNumberFormat="1" applyFont="1" applyFill="1" applyBorder="1" applyAlignment="1" applyProtection="1">
      <alignment horizontal="center" vertical="top" wrapText="1"/>
      <protection hidden="1"/>
    </xf>
    <xf numFmtId="2" fontId="78" fillId="27" borderId="16" xfId="0" applyNumberFormat="1" applyFont="1" applyFill="1" applyBorder="1" applyAlignment="1" applyProtection="1">
      <alignment horizontal="center" vertical="top" wrapText="1"/>
    </xf>
    <xf numFmtId="2" fontId="78" fillId="27" borderId="17" xfId="0" applyNumberFormat="1" applyFont="1" applyFill="1" applyBorder="1" applyAlignment="1" applyProtection="1">
      <alignment horizontal="center" vertical="top" wrapText="1"/>
    </xf>
    <xf numFmtId="2" fontId="79" fillId="27" borderId="0" xfId="0" applyNumberFormat="1" applyFont="1" applyFill="1" applyAlignment="1">
      <alignment horizontal="right" vertical="top"/>
    </xf>
    <xf numFmtId="2" fontId="78" fillId="27" borderId="0" xfId="0" applyNumberFormat="1" applyFont="1" applyFill="1" applyBorder="1" applyAlignment="1" applyProtection="1">
      <alignment horizontal="right" vertical="top" wrapText="1"/>
      <protection hidden="1"/>
    </xf>
    <xf numFmtId="2" fontId="80" fillId="27" borderId="0" xfId="0" applyNumberFormat="1" applyFont="1" applyFill="1" applyAlignment="1">
      <alignment horizontal="right" vertical="top"/>
    </xf>
    <xf numFmtId="2" fontId="78" fillId="27" borderId="0" xfId="0" applyNumberFormat="1" applyFont="1" applyFill="1" applyBorder="1" applyAlignment="1" applyProtection="1">
      <alignment horizontal="right" vertical="top" wrapText="1"/>
    </xf>
    <xf numFmtId="2" fontId="79" fillId="27" borderId="0" xfId="0" applyNumberFormat="1" applyFont="1" applyFill="1" applyAlignment="1">
      <alignment horizontal="right"/>
    </xf>
    <xf numFmtId="2" fontId="80" fillId="27" borderId="0" xfId="0" applyNumberFormat="1" applyFont="1" applyFill="1" applyBorder="1" applyAlignment="1">
      <alignment horizontal="right" vertical="top"/>
    </xf>
    <xf numFmtId="2" fontId="79" fillId="27" borderId="0" xfId="0" applyNumberFormat="1" applyFont="1" applyFill="1" applyBorder="1" applyAlignment="1">
      <alignment horizontal="right" vertical="top"/>
    </xf>
    <xf numFmtId="0" fontId="28" fillId="0" borderId="17" xfId="0" applyFont="1" applyFill="1" applyBorder="1" applyAlignment="1">
      <alignment horizontal="center" vertical="top" wrapText="1"/>
    </xf>
    <xf numFmtId="0" fontId="28" fillId="0" borderId="6" xfId="0" applyFont="1" applyFill="1" applyBorder="1" applyAlignment="1">
      <alignment horizontal="center" vertical="top" wrapText="1"/>
    </xf>
    <xf numFmtId="2" fontId="4" fillId="0" borderId="3" xfId="0" applyNumberFormat="1" applyFont="1" applyFill="1" applyBorder="1" applyAlignment="1" applyProtection="1">
      <alignment horizontal="center"/>
    </xf>
    <xf numFmtId="2" fontId="4" fillId="0" borderId="3" xfId="0" applyNumberFormat="1" applyFont="1" applyFill="1" applyBorder="1" applyAlignment="1" applyProtection="1">
      <alignment horizontal="center" vertical="top"/>
    </xf>
    <xf numFmtId="0" fontId="3" fillId="0" borderId="25" xfId="0" applyFont="1" applyFill="1" applyBorder="1" applyAlignment="1">
      <alignment vertical="center"/>
    </xf>
    <xf numFmtId="2" fontId="4" fillId="0" borderId="47" xfId="0" applyNumberFormat="1" applyFont="1" applyFill="1" applyBorder="1" applyAlignment="1" applyProtection="1">
      <alignment horizontal="center" vertical="top"/>
    </xf>
    <xf numFmtId="2" fontId="3" fillId="14" borderId="4" xfId="0" applyNumberFormat="1" applyFont="1" applyFill="1" applyBorder="1" applyAlignment="1" applyProtection="1">
      <alignment horizontal="center" vertical="top"/>
    </xf>
    <xf numFmtId="2" fontId="3" fillId="14" borderId="1" xfId="0" applyNumberFormat="1" applyFont="1" applyFill="1" applyBorder="1" applyAlignment="1" applyProtection="1">
      <alignment horizontal="center" vertical="top"/>
    </xf>
    <xf numFmtId="2" fontId="3" fillId="14" borderId="3" xfId="0" applyNumberFormat="1" applyFont="1" applyFill="1" applyBorder="1" applyAlignment="1" applyProtection="1">
      <alignment horizontal="center" vertical="top"/>
    </xf>
    <xf numFmtId="2" fontId="3" fillId="14" borderId="39" xfId="0" applyNumberFormat="1" applyFont="1" applyFill="1" applyBorder="1" applyAlignment="1" applyProtection="1">
      <alignment horizontal="center" vertical="top"/>
    </xf>
    <xf numFmtId="2" fontId="3" fillId="14" borderId="55" xfId="0" applyNumberFormat="1" applyFont="1" applyFill="1" applyBorder="1" applyAlignment="1" applyProtection="1">
      <alignment horizontal="center" vertical="top"/>
    </xf>
    <xf numFmtId="2" fontId="3" fillId="14" borderId="27" xfId="0" applyNumberFormat="1" applyFont="1" applyFill="1" applyBorder="1" applyAlignment="1" applyProtection="1">
      <alignment horizontal="center" vertical="top"/>
    </xf>
    <xf numFmtId="2" fontId="3" fillId="14" borderId="47" xfId="0" applyNumberFormat="1" applyFont="1" applyFill="1" applyBorder="1" applyAlignment="1" applyProtection="1">
      <alignment horizontal="center" vertical="top"/>
    </xf>
    <xf numFmtId="2" fontId="3" fillId="14" borderId="40" xfId="0" applyNumberFormat="1" applyFont="1" applyFill="1" applyBorder="1" applyAlignment="1" applyProtection="1">
      <alignment horizontal="center" vertical="top"/>
    </xf>
    <xf numFmtId="2" fontId="3" fillId="14" borderId="61" xfId="0" applyNumberFormat="1" applyFont="1" applyFill="1" applyBorder="1" applyAlignment="1" applyProtection="1">
      <alignment horizontal="center" vertical="top"/>
    </xf>
    <xf numFmtId="0" fontId="64" fillId="11" borderId="34" xfId="0" applyFont="1" applyFill="1" applyBorder="1" applyAlignment="1">
      <alignment horizontal="left" vertical="top" wrapText="1"/>
    </xf>
    <xf numFmtId="0" fontId="64" fillId="11" borderId="53" xfId="0" applyFont="1" applyFill="1" applyBorder="1" applyAlignment="1">
      <alignment horizontal="left" vertical="top" wrapText="1"/>
    </xf>
    <xf numFmtId="0" fontId="64" fillId="11" borderId="41" xfId="0" applyFont="1" applyFill="1" applyBorder="1" applyAlignment="1">
      <alignment horizontal="left" vertical="top" wrapText="1"/>
    </xf>
    <xf numFmtId="1" fontId="4" fillId="0" borderId="64" xfId="0" applyNumberFormat="1" applyFont="1" applyFill="1" applyBorder="1" applyAlignment="1">
      <alignment horizontal="left" vertical="top" wrapText="1"/>
    </xf>
    <xf numFmtId="0" fontId="4" fillId="0" borderId="46" xfId="0" applyFont="1" applyFill="1" applyBorder="1" applyAlignment="1">
      <alignment horizontal="left" vertical="top" wrapText="1"/>
    </xf>
    <xf numFmtId="0" fontId="28" fillId="0" borderId="46" xfId="0" applyFont="1" applyFill="1" applyBorder="1" applyAlignment="1">
      <alignment horizontal="left" vertical="top" wrapText="1"/>
    </xf>
    <xf numFmtId="0" fontId="4" fillId="0" borderId="23"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68" xfId="0" applyFont="1" applyFill="1" applyBorder="1" applyAlignment="1">
      <alignment horizontal="left" vertical="top" wrapText="1"/>
    </xf>
    <xf numFmtId="0" fontId="4" fillId="0" borderId="64" xfId="0" applyFont="1" applyFill="1" applyBorder="1" applyAlignment="1">
      <alignment horizontal="left" vertical="top" wrapText="1"/>
    </xf>
    <xf numFmtId="0" fontId="4" fillId="0" borderId="22" xfId="0" applyFont="1" applyFill="1" applyBorder="1" applyAlignment="1">
      <alignment horizontal="left" vertical="top" wrapText="1"/>
    </xf>
    <xf numFmtId="0" fontId="28" fillId="0" borderId="42" xfId="0" applyFont="1" applyFill="1" applyBorder="1" applyAlignment="1">
      <alignment horizontal="left" vertical="top" wrapText="1"/>
    </xf>
    <xf numFmtId="0" fontId="28" fillId="0" borderId="23" xfId="0" applyFont="1" applyFill="1" applyBorder="1" applyAlignment="1">
      <alignment horizontal="left" vertical="top" wrapText="1"/>
    </xf>
    <xf numFmtId="1" fontId="4" fillId="0" borderId="68" xfId="0" applyNumberFormat="1" applyFont="1" applyFill="1" applyBorder="1" applyAlignment="1">
      <alignment horizontal="left" vertical="top" wrapText="1"/>
    </xf>
    <xf numFmtId="1" fontId="28" fillId="0" borderId="64" xfId="0" applyNumberFormat="1" applyFont="1" applyFill="1" applyBorder="1" applyAlignment="1">
      <alignment horizontal="left" vertical="top" wrapText="1"/>
    </xf>
    <xf numFmtId="1" fontId="28" fillId="0" borderId="22" xfId="0" applyNumberFormat="1" applyFont="1" applyFill="1" applyBorder="1" applyAlignment="1">
      <alignment horizontal="left" vertical="top" wrapText="1"/>
    </xf>
    <xf numFmtId="0" fontId="4" fillId="0" borderId="18" xfId="0" applyFont="1" applyFill="1" applyBorder="1" applyAlignment="1">
      <alignment horizontal="left" vertical="top" wrapText="1"/>
    </xf>
    <xf numFmtId="0" fontId="4" fillId="0" borderId="21" xfId="0" applyFont="1" applyFill="1" applyBorder="1" applyAlignment="1">
      <alignment horizontal="left" vertical="top" wrapText="1"/>
    </xf>
    <xf numFmtId="0" fontId="4" fillId="0" borderId="72" xfId="0" applyFont="1" applyFill="1" applyBorder="1" applyAlignment="1">
      <alignment horizontal="left" vertical="top" wrapText="1"/>
    </xf>
    <xf numFmtId="0" fontId="28" fillId="0" borderId="64" xfId="0" applyFont="1" applyFill="1" applyBorder="1" applyAlignment="1">
      <alignment horizontal="left" vertical="top" wrapText="1"/>
    </xf>
    <xf numFmtId="0" fontId="28" fillId="0" borderId="22" xfId="0" applyFont="1" applyFill="1" applyBorder="1" applyAlignment="1">
      <alignment horizontal="left" vertical="top" wrapText="1"/>
    </xf>
    <xf numFmtId="1" fontId="4" fillId="0" borderId="22" xfId="0" applyNumberFormat="1" applyFont="1" applyFill="1" applyBorder="1" applyAlignment="1">
      <alignment horizontal="left" vertical="top" wrapText="1"/>
    </xf>
    <xf numFmtId="0" fontId="28" fillId="0" borderId="21" xfId="0" applyFont="1" applyFill="1" applyBorder="1" applyAlignment="1">
      <alignment horizontal="left" vertical="top" wrapText="1"/>
    </xf>
    <xf numFmtId="0" fontId="28" fillId="0" borderId="72" xfId="0" applyFont="1" applyFill="1" applyBorder="1" applyAlignment="1">
      <alignment horizontal="left" vertical="top" wrapText="1"/>
    </xf>
    <xf numFmtId="0" fontId="5" fillId="0" borderId="34" xfId="0" applyFont="1" applyBorder="1" applyAlignment="1" applyProtection="1">
      <alignment horizontal="left" vertical="top"/>
      <protection locked="0"/>
    </xf>
    <xf numFmtId="0" fontId="5" fillId="0" borderId="41" xfId="0" applyFont="1" applyBorder="1" applyAlignment="1" applyProtection="1">
      <alignment horizontal="left" vertical="top"/>
      <protection locked="0"/>
    </xf>
    <xf numFmtId="0" fontId="5" fillId="0" borderId="34" xfId="0" applyFont="1" applyFill="1" applyBorder="1" applyAlignment="1" applyProtection="1">
      <alignment horizontal="left" vertical="top" wrapText="1"/>
      <protection locked="0"/>
    </xf>
    <xf numFmtId="0" fontId="5" fillId="0" borderId="41" xfId="0" applyFont="1" applyFill="1" applyBorder="1" applyAlignment="1" applyProtection="1">
      <alignment horizontal="left" vertical="top" wrapText="1"/>
      <protection locked="0"/>
    </xf>
    <xf numFmtId="0" fontId="64" fillId="11" borderId="68" xfId="0" applyFont="1" applyFill="1" applyBorder="1" applyAlignment="1">
      <alignment horizontal="left" vertical="top" wrapText="1"/>
    </xf>
    <xf numFmtId="0" fontId="64" fillId="11" borderId="59" xfId="0" applyFont="1" applyFill="1" applyBorder="1" applyAlignment="1">
      <alignment horizontal="left" vertical="top" wrapText="1"/>
    </xf>
    <xf numFmtId="0" fontId="64" fillId="11" borderId="30" xfId="0" applyFont="1" applyFill="1" applyBorder="1" applyAlignment="1">
      <alignment horizontal="left" vertical="top" wrapText="1"/>
    </xf>
    <xf numFmtId="0" fontId="0" fillId="0" borderId="64" xfId="0" applyBorder="1" applyAlignment="1">
      <alignment vertical="top"/>
    </xf>
    <xf numFmtId="0" fontId="4" fillId="18" borderId="68" xfId="0" applyFont="1" applyFill="1" applyBorder="1" applyAlignment="1">
      <alignment horizontal="left" vertical="top" wrapText="1"/>
    </xf>
    <xf numFmtId="0" fontId="0" fillId="0" borderId="22" xfId="0" applyBorder="1" applyAlignment="1">
      <alignment vertical="top"/>
    </xf>
    <xf numFmtId="0" fontId="26" fillId="18" borderId="23" xfId="0" applyFont="1" applyFill="1" applyBorder="1" applyAlignment="1">
      <alignment horizontal="left" vertical="top" wrapText="1"/>
    </xf>
    <xf numFmtId="0" fontId="0" fillId="0" borderId="46" xfId="0" applyBorder="1" applyAlignment="1">
      <alignment vertical="top"/>
    </xf>
    <xf numFmtId="0" fontId="0" fillId="0" borderId="42" xfId="0" applyBorder="1" applyAlignment="1">
      <alignment vertical="top"/>
    </xf>
    <xf numFmtId="0" fontId="26" fillId="0" borderId="46" xfId="0" applyFont="1" applyFill="1" applyBorder="1" applyAlignment="1">
      <alignment horizontal="left" vertical="top" wrapText="1"/>
    </xf>
    <xf numFmtId="0" fontId="4" fillId="0" borderId="64" xfId="0" applyFont="1" applyBorder="1" applyAlignment="1">
      <alignment horizontal="left" vertical="top" wrapText="1"/>
    </xf>
    <xf numFmtId="0" fontId="4" fillId="0" borderId="68" xfId="0" applyFont="1" applyBorder="1" applyAlignment="1">
      <alignment horizontal="left" vertical="top" wrapText="1"/>
    </xf>
    <xf numFmtId="0" fontId="4" fillId="0" borderId="68" xfId="0" applyFont="1" applyBorder="1" applyAlignment="1">
      <alignment vertical="top" wrapText="1"/>
    </xf>
    <xf numFmtId="0" fontId="4" fillId="0" borderId="64" xfId="0" applyFont="1" applyBorder="1" applyAlignment="1">
      <alignment vertical="top" wrapText="1"/>
    </xf>
    <xf numFmtId="0" fontId="4" fillId="0" borderId="22" xfId="0" applyFont="1" applyBorder="1" applyAlignment="1">
      <alignment vertical="top" wrapText="1"/>
    </xf>
    <xf numFmtId="0" fontId="26" fillId="0" borderId="23" xfId="0" applyFont="1" applyBorder="1" applyAlignment="1">
      <alignment vertical="top" wrapText="1"/>
    </xf>
    <xf numFmtId="0" fontId="26" fillId="0" borderId="23" xfId="0" applyFont="1" applyBorder="1" applyAlignment="1">
      <alignment horizontal="left" vertical="top" wrapText="1"/>
    </xf>
    <xf numFmtId="0" fontId="4" fillId="0" borderId="22" xfId="0" applyFont="1" applyBorder="1" applyAlignment="1">
      <alignment horizontal="left" vertical="top" wrapText="1"/>
    </xf>
    <xf numFmtId="0" fontId="26" fillId="0" borderId="46" xfId="0" applyFont="1" applyBorder="1" applyAlignment="1">
      <alignment vertical="top" wrapText="1"/>
    </xf>
    <xf numFmtId="0" fontId="4" fillId="0" borderId="68" xfId="0" applyFont="1" applyFill="1" applyBorder="1" applyAlignment="1" applyProtection="1">
      <alignment horizontal="left" vertical="top" wrapText="1"/>
    </xf>
    <xf numFmtId="0" fontId="4" fillId="0" borderId="64" xfId="0" applyFont="1" applyFill="1" applyBorder="1" applyAlignment="1" applyProtection="1">
      <alignment horizontal="left" vertical="top" wrapText="1"/>
    </xf>
    <xf numFmtId="0" fontId="4" fillId="0" borderId="22" xfId="0" applyFont="1" applyFill="1" applyBorder="1" applyAlignment="1" applyProtection="1">
      <alignment horizontal="left" vertical="top" wrapText="1"/>
    </xf>
    <xf numFmtId="0" fontId="26" fillId="0" borderId="23" xfId="0" applyFont="1" applyFill="1" applyBorder="1" applyAlignment="1" applyProtection="1">
      <alignment horizontal="left" vertical="top" wrapText="1"/>
    </xf>
    <xf numFmtId="0" fontId="26" fillId="0" borderId="46" xfId="0" applyFont="1" applyFill="1" applyBorder="1" applyAlignment="1">
      <alignment vertical="top" wrapText="1"/>
    </xf>
    <xf numFmtId="0" fontId="26" fillId="0" borderId="46" xfId="0" applyFont="1" applyBorder="1" applyAlignment="1">
      <alignment horizontal="left" vertical="top" wrapText="1"/>
    </xf>
    <xf numFmtId="0" fontId="4" fillId="0" borderId="68" xfId="0" applyFont="1" applyBorder="1" applyAlignment="1">
      <alignment vertical="top"/>
    </xf>
    <xf numFmtId="0" fontId="4" fillId="0" borderId="64" xfId="0" applyFont="1" applyBorder="1" applyAlignment="1">
      <alignment vertical="top"/>
    </xf>
    <xf numFmtId="0" fontId="4" fillId="0" borderId="22" xfId="0" applyFont="1" applyBorder="1" applyAlignment="1">
      <alignment vertical="top"/>
    </xf>
    <xf numFmtId="0" fontId="26" fillId="0" borderId="23" xfId="0" applyFont="1" applyFill="1" applyBorder="1" applyAlignment="1">
      <alignment vertical="top" wrapText="1"/>
    </xf>
    <xf numFmtId="0" fontId="4" fillId="0" borderId="64" xfId="0" applyFont="1" applyBorder="1" applyAlignment="1">
      <alignment horizontal="left" vertical="top"/>
    </xf>
    <xf numFmtId="0" fontId="26" fillId="0" borderId="42" xfId="0" applyFont="1" applyBorder="1" applyAlignment="1">
      <alignment vertical="top" wrapText="1"/>
    </xf>
    <xf numFmtId="0" fontId="4" fillId="0" borderId="64" xfId="0" applyFont="1" applyFill="1" applyBorder="1" applyAlignment="1">
      <alignment vertical="top" wrapText="1"/>
    </xf>
    <xf numFmtId="0" fontId="9" fillId="11" borderId="34" xfId="0" applyFont="1" applyFill="1" applyBorder="1" applyAlignment="1">
      <alignment horizontal="center" vertical="top"/>
    </xf>
    <xf numFmtId="0" fontId="9" fillId="11" borderId="53" xfId="0" applyFont="1" applyFill="1" applyBorder="1" applyAlignment="1">
      <alignment horizontal="center" vertical="top"/>
    </xf>
    <xf numFmtId="0" fontId="4" fillId="18" borderId="23" xfId="0" applyFont="1" applyFill="1" applyBorder="1" applyAlignment="1">
      <alignment horizontal="left" vertical="top" wrapText="1"/>
    </xf>
    <xf numFmtId="0" fontId="9" fillId="0" borderId="46" xfId="0" applyFont="1" applyBorder="1" applyAlignment="1">
      <alignment vertical="top"/>
    </xf>
    <xf numFmtId="0" fontId="9" fillId="0" borderId="42" xfId="0" applyFont="1" applyBorder="1" applyAlignment="1">
      <alignment vertical="top"/>
    </xf>
    <xf numFmtId="0" fontId="4" fillId="0" borderId="23" xfId="0" applyFont="1" applyFill="1" applyBorder="1" applyAlignment="1" applyProtection="1">
      <alignment horizontal="left" vertical="top" wrapText="1"/>
    </xf>
    <xf numFmtId="0" fontId="4" fillId="0" borderId="46" xfId="0" applyFont="1" applyBorder="1" applyAlignment="1">
      <alignment vertical="top" wrapText="1"/>
    </xf>
    <xf numFmtId="0" fontId="4" fillId="0" borderId="23" xfId="0" applyFont="1" applyBorder="1" applyAlignment="1">
      <alignment vertical="top" wrapText="1"/>
    </xf>
    <xf numFmtId="0" fontId="4" fillId="0" borderId="42" xfId="0" applyFont="1" applyBorder="1" applyAlignment="1">
      <alignment vertical="top" wrapText="1"/>
    </xf>
    <xf numFmtId="0" fontId="4" fillId="0" borderId="46" xfId="0" applyFont="1" applyFill="1" applyBorder="1" applyAlignment="1">
      <alignment vertical="top" wrapText="1"/>
    </xf>
    <xf numFmtId="0" fontId="4" fillId="0" borderId="23" xfId="0" applyFont="1" applyBorder="1" applyAlignment="1">
      <alignment horizontal="left" vertical="top" wrapText="1"/>
    </xf>
    <xf numFmtId="0" fontId="4" fillId="0" borderId="46" xfId="0" applyFont="1" applyBorder="1" applyAlignment="1">
      <alignment horizontal="left" vertical="top" wrapText="1"/>
    </xf>
    <xf numFmtId="0" fontId="5" fillId="0" borderId="34" xfId="0" applyFont="1" applyFill="1" applyBorder="1" applyAlignment="1" applyProtection="1">
      <alignment horizontal="left" vertical="top"/>
      <protection locked="0"/>
    </xf>
    <xf numFmtId="0" fontId="5" fillId="0" borderId="41" xfId="0" applyFont="1" applyFill="1" applyBorder="1" applyAlignment="1" applyProtection="1">
      <alignment horizontal="left" vertical="top"/>
      <protection locked="0"/>
    </xf>
    <xf numFmtId="0" fontId="5" fillId="18" borderId="34" xfId="0" applyFont="1" applyFill="1" applyBorder="1" applyAlignment="1" applyProtection="1">
      <alignment horizontal="left" vertical="top"/>
      <protection locked="0"/>
    </xf>
    <xf numFmtId="0" fontId="5" fillId="18" borderId="41" xfId="0" applyFont="1" applyFill="1" applyBorder="1" applyAlignment="1" applyProtection="1">
      <alignment horizontal="left" vertical="top"/>
      <protection locked="0"/>
    </xf>
    <xf numFmtId="0" fontId="4" fillId="0" borderId="23" xfId="0" applyFont="1" applyFill="1" applyBorder="1" applyAlignment="1">
      <alignment vertical="top" wrapText="1"/>
    </xf>
    <xf numFmtId="2" fontId="54" fillId="0" borderId="10" xfId="1" applyNumberFormat="1" applyFont="1" applyFill="1" applyBorder="1" applyAlignment="1">
      <alignment horizontal="right" vertical="center" wrapText="1"/>
    </xf>
    <xf numFmtId="2" fontId="53" fillId="0" borderId="10" xfId="0" applyNumberFormat="1" applyFont="1" applyFill="1" applyBorder="1" applyAlignment="1">
      <alignment horizontal="right" vertical="center" wrapText="1"/>
    </xf>
    <xf numFmtId="0" fontId="4" fillId="0" borderId="26" xfId="1" applyFont="1" applyFill="1" applyBorder="1" applyAlignment="1">
      <alignment vertical="center" wrapText="1"/>
    </xf>
    <xf numFmtId="0" fontId="0" fillId="0" borderId="15" xfId="0" applyFill="1" applyBorder="1" applyAlignment="1">
      <alignment vertical="center" wrapText="1"/>
    </xf>
    <xf numFmtId="0" fontId="0" fillId="0" borderId="6" xfId="0" applyFill="1" applyBorder="1" applyAlignment="1">
      <alignment vertical="center" wrapText="1"/>
    </xf>
    <xf numFmtId="0" fontId="11" fillId="0" borderId="53" xfId="1" applyFont="1" applyFill="1" applyBorder="1" applyAlignment="1">
      <alignment vertical="center" wrapText="1"/>
    </xf>
    <xf numFmtId="0" fontId="39" fillId="0" borderId="53" xfId="0" applyFont="1" applyFill="1" applyBorder="1" applyAlignment="1">
      <alignment vertical="center" wrapText="1"/>
    </xf>
    <xf numFmtId="0" fontId="4" fillId="0" borderId="25" xfId="1" applyFont="1" applyFill="1" applyBorder="1" applyAlignment="1">
      <alignment vertical="center" wrapText="1"/>
    </xf>
    <xf numFmtId="0" fontId="0" fillId="0" borderId="63" xfId="0" applyFill="1" applyBorder="1" applyAlignment="1">
      <alignment vertical="center" wrapText="1"/>
    </xf>
    <xf numFmtId="0" fontId="0" fillId="0" borderId="66" xfId="0" applyFill="1" applyBorder="1" applyAlignment="1">
      <alignment vertical="center" wrapText="1"/>
    </xf>
    <xf numFmtId="0" fontId="13" fillId="0" borderId="53" xfId="1" applyFont="1" applyFill="1" applyBorder="1" applyAlignment="1">
      <alignment vertical="center" wrapText="1"/>
    </xf>
    <xf numFmtId="0" fontId="0" fillId="0" borderId="53" xfId="0" applyFill="1" applyBorder="1" applyAlignment="1">
      <alignment vertical="center" wrapText="1"/>
    </xf>
    <xf numFmtId="49" fontId="54" fillId="0" borderId="15" xfId="1" applyNumberFormat="1" applyFont="1" applyFill="1" applyBorder="1" applyAlignment="1">
      <alignment horizontal="right" vertical="center" wrapText="1"/>
    </xf>
    <xf numFmtId="49" fontId="54" fillId="0" borderId="16" xfId="1" applyNumberFormat="1" applyFont="1" applyFill="1" applyBorder="1" applyAlignment="1">
      <alignment horizontal="right" vertical="center" wrapText="1"/>
    </xf>
    <xf numFmtId="0" fontId="4" fillId="0" borderId="20" xfId="1" applyFont="1" applyFill="1" applyBorder="1" applyAlignment="1">
      <alignment vertical="center" wrapText="1"/>
    </xf>
    <xf numFmtId="0" fontId="0" fillId="0" borderId="36" xfId="0" applyFill="1" applyBorder="1" applyAlignment="1">
      <alignment vertical="center" wrapText="1"/>
    </xf>
    <xf numFmtId="0" fontId="0" fillId="0" borderId="50" xfId="0" applyFill="1" applyBorder="1" applyAlignment="1">
      <alignment vertical="center" wrapText="1"/>
    </xf>
    <xf numFmtId="0" fontId="4" fillId="0" borderId="23" xfId="1" applyFont="1" applyBorder="1" applyAlignment="1">
      <alignment vertical="top" wrapText="1"/>
    </xf>
    <xf numFmtId="0" fontId="0" fillId="0" borderId="46" xfId="0" applyBorder="1" applyAlignment="1">
      <alignment vertical="top" wrapText="1"/>
    </xf>
    <xf numFmtId="0" fontId="0" fillId="0" borderId="42" xfId="0" applyBorder="1" applyAlignment="1">
      <alignment vertical="top" wrapText="1"/>
    </xf>
    <xf numFmtId="49" fontId="54" fillId="0" borderId="26" xfId="1" applyNumberFormat="1" applyFont="1" applyFill="1" applyBorder="1" applyAlignment="1">
      <alignment horizontal="right" vertical="center" wrapText="1"/>
    </xf>
    <xf numFmtId="49" fontId="54" fillId="0" borderId="17" xfId="1" applyNumberFormat="1" applyFont="1" applyFill="1" applyBorder="1" applyAlignment="1">
      <alignment horizontal="right" vertical="center" wrapText="1"/>
    </xf>
    <xf numFmtId="49" fontId="54" fillId="0" borderId="14" xfId="1" applyNumberFormat="1" applyFont="1" applyFill="1" applyBorder="1" applyAlignment="1">
      <alignment horizontal="right" vertical="center" wrapText="1"/>
    </xf>
    <xf numFmtId="49" fontId="54" fillId="0" borderId="0" xfId="1" applyNumberFormat="1" applyFont="1" applyFill="1" applyBorder="1" applyAlignment="1">
      <alignment horizontal="right" vertical="center" wrapText="1"/>
    </xf>
    <xf numFmtId="0" fontId="13" fillId="0" borderId="53" xfId="1" applyFont="1" applyFill="1" applyBorder="1" applyAlignment="1">
      <alignment horizontal="left" vertical="center" wrapText="1"/>
    </xf>
    <xf numFmtId="2" fontId="1" fillId="0" borderId="10" xfId="1" applyNumberFormat="1" applyFont="1" applyFill="1" applyBorder="1" applyAlignment="1">
      <alignment horizontal="right" vertical="center" wrapText="1"/>
    </xf>
    <xf numFmtId="2" fontId="0" fillId="0" borderId="10" xfId="0" applyNumberFormat="1" applyFill="1" applyBorder="1" applyAlignment="1">
      <alignment horizontal="right" vertical="center" wrapText="1"/>
    </xf>
    <xf numFmtId="0" fontId="3" fillId="0" borderId="53" xfId="0" applyFont="1" applyFill="1" applyBorder="1" applyAlignment="1">
      <alignment vertical="center" wrapText="1"/>
    </xf>
    <xf numFmtId="0" fontId="39" fillId="0" borderId="53" xfId="1" applyFont="1" applyFill="1" applyBorder="1" applyAlignment="1">
      <alignment vertical="center" wrapText="1"/>
    </xf>
    <xf numFmtId="2" fontId="54" fillId="0" borderId="64" xfId="1" applyNumberFormat="1" applyFont="1" applyFill="1" applyBorder="1" applyAlignment="1">
      <alignment horizontal="right" vertical="center" wrapText="1"/>
    </xf>
    <xf numFmtId="2" fontId="53" fillId="0" borderId="0" xfId="0" applyNumberFormat="1" applyFont="1" applyFill="1" applyBorder="1" applyAlignment="1">
      <alignment horizontal="right" vertical="center" wrapText="1"/>
    </xf>
    <xf numFmtId="0" fontId="4" fillId="0" borderId="26" xfId="1" applyFont="1" applyFill="1" applyBorder="1" applyAlignment="1">
      <alignment vertical="top" wrapText="1"/>
    </xf>
    <xf numFmtId="0" fontId="4" fillId="0" borderId="15" xfId="0" applyFont="1" applyFill="1" applyBorder="1" applyAlignment="1">
      <alignment vertical="top" wrapText="1"/>
    </xf>
    <xf numFmtId="0" fontId="4" fillId="0" borderId="6" xfId="0" applyFont="1" applyFill="1" applyBorder="1" applyAlignment="1">
      <alignment vertical="top" wrapText="1"/>
    </xf>
    <xf numFmtId="0" fontId="4" fillId="0" borderId="54" xfId="1" applyFont="1" applyFill="1" applyBorder="1" applyAlignment="1">
      <alignment vertical="center" wrapText="1"/>
    </xf>
    <xf numFmtId="0" fontId="0" fillId="0" borderId="39" xfId="0" applyFill="1" applyBorder="1" applyAlignment="1">
      <alignment vertical="center" wrapText="1"/>
    </xf>
    <xf numFmtId="0" fontId="11" fillId="0" borderId="53" xfId="1" applyFont="1" applyFill="1" applyBorder="1" applyAlignment="1" applyProtection="1">
      <alignment vertical="top" wrapText="1"/>
    </xf>
    <xf numFmtId="0" fontId="39" fillId="0" borderId="53" xfId="0" applyFont="1" applyFill="1" applyBorder="1" applyAlignment="1" applyProtection="1">
      <alignment vertical="top" wrapText="1"/>
    </xf>
    <xf numFmtId="0" fontId="4" fillId="0" borderId="26" xfId="1" applyFont="1" applyFill="1" applyBorder="1" applyAlignment="1">
      <alignment horizontal="left" vertical="center" wrapText="1"/>
    </xf>
    <xf numFmtId="0" fontId="4" fillId="0" borderId="15" xfId="1" applyFont="1" applyFill="1" applyBorder="1" applyAlignment="1">
      <alignment horizontal="left" vertical="center" wrapText="1"/>
    </xf>
    <xf numFmtId="0" fontId="4" fillId="0" borderId="6" xfId="1" applyFont="1" applyFill="1" applyBorder="1" applyAlignment="1">
      <alignment horizontal="left" vertical="center" wrapText="1"/>
    </xf>
    <xf numFmtId="49" fontId="22" fillId="0" borderId="15" xfId="1" applyNumberFormat="1" applyFont="1" applyFill="1" applyBorder="1" applyAlignment="1">
      <alignment horizontal="left" vertical="center" wrapText="1"/>
    </xf>
    <xf numFmtId="0" fontId="4" fillId="0" borderId="63" xfId="1" applyFont="1" applyFill="1" applyBorder="1" applyAlignment="1">
      <alignment vertical="center" wrapText="1"/>
    </xf>
    <xf numFmtId="0" fontId="4" fillId="0" borderId="66" xfId="1" applyFont="1" applyFill="1" applyBorder="1" applyAlignment="1">
      <alignment vertical="center" wrapText="1"/>
    </xf>
    <xf numFmtId="0" fontId="4" fillId="0" borderId="23" xfId="1" applyFont="1" applyFill="1" applyBorder="1" applyAlignment="1">
      <alignment vertical="top" wrapText="1"/>
    </xf>
    <xf numFmtId="0" fontId="0" fillId="0" borderId="46" xfId="0" applyFill="1" applyBorder="1" applyAlignment="1">
      <alignment vertical="top" wrapText="1"/>
    </xf>
    <xf numFmtId="0" fontId="0" fillId="0" borderId="42" xfId="0" applyFill="1" applyBorder="1" applyAlignment="1">
      <alignment vertical="top" wrapText="1"/>
    </xf>
    <xf numFmtId="0" fontId="13" fillId="0" borderId="34" xfId="1" applyFont="1" applyFill="1" applyBorder="1" applyAlignment="1">
      <alignment vertical="center" wrapText="1"/>
    </xf>
    <xf numFmtId="0" fontId="0" fillId="0" borderId="41" xfId="0" applyFill="1" applyBorder="1" applyAlignment="1">
      <alignment vertical="center" wrapText="1"/>
    </xf>
    <xf numFmtId="0" fontId="11" fillId="0" borderId="45" xfId="1" applyFont="1" applyFill="1" applyBorder="1" applyAlignment="1">
      <alignment vertical="top" wrapText="1"/>
    </xf>
    <xf numFmtId="0" fontId="39" fillId="0" borderId="44" xfId="0" applyFont="1" applyFill="1" applyBorder="1" applyAlignment="1">
      <alignment vertical="top" wrapText="1"/>
    </xf>
    <xf numFmtId="0" fontId="39" fillId="0" borderId="51" xfId="0" applyFont="1" applyFill="1" applyBorder="1" applyAlignment="1">
      <alignment vertical="top" wrapText="1"/>
    </xf>
    <xf numFmtId="0" fontId="0" fillId="0" borderId="15" xfId="0" applyFill="1" applyBorder="1" applyAlignment="1">
      <alignment vertical="top" wrapText="1"/>
    </xf>
    <xf numFmtId="0" fontId="0" fillId="0" borderId="6" xfId="0" applyFill="1" applyBorder="1" applyAlignment="1">
      <alignment vertical="top" wrapText="1"/>
    </xf>
    <xf numFmtId="49" fontId="22" fillId="21" borderId="15" xfId="1" applyNumberFormat="1" applyFont="1" applyFill="1" applyBorder="1" applyAlignment="1">
      <alignment horizontal="left" vertical="center" wrapText="1"/>
    </xf>
    <xf numFmtId="49" fontId="22" fillId="21" borderId="0" xfId="1" applyNumberFormat="1" applyFont="1" applyFill="1" applyBorder="1" applyAlignment="1">
      <alignment horizontal="left" vertical="center" wrapText="1"/>
    </xf>
    <xf numFmtId="2" fontId="54" fillId="0" borderId="10" xfId="1" applyNumberFormat="1" applyFont="1" applyFill="1" applyBorder="1" applyAlignment="1">
      <alignment horizontal="right" vertical="top" wrapText="1"/>
    </xf>
    <xf numFmtId="2" fontId="53" fillId="0" borderId="10" xfId="0" applyNumberFormat="1" applyFont="1" applyFill="1" applyBorder="1" applyAlignment="1">
      <alignment horizontal="right" vertical="top" wrapText="1"/>
    </xf>
    <xf numFmtId="0" fontId="69" fillId="21" borderId="10" xfId="1" applyFont="1" applyFill="1" applyBorder="1" applyAlignment="1">
      <alignment horizontal="left" vertical="center" wrapText="1"/>
    </xf>
    <xf numFmtId="0" fontId="69" fillId="21" borderId="71" xfId="1" applyFont="1" applyFill="1" applyBorder="1" applyAlignment="1">
      <alignment horizontal="left" vertical="center" wrapText="1"/>
    </xf>
    <xf numFmtId="0" fontId="4" fillId="0" borderId="23" xfId="1" applyFont="1" applyBorder="1" applyAlignment="1">
      <alignment horizontal="left" vertical="top" wrapText="1"/>
    </xf>
    <xf numFmtId="0" fontId="4" fillId="0" borderId="46" xfId="1" applyFont="1" applyBorder="1" applyAlignment="1">
      <alignment horizontal="left" vertical="top" wrapText="1"/>
    </xf>
    <xf numFmtId="0" fontId="4" fillId="0" borderId="42" xfId="1" applyFont="1" applyBorder="1" applyAlignment="1">
      <alignment horizontal="left" vertical="top" wrapText="1"/>
    </xf>
    <xf numFmtId="0" fontId="5" fillId="0" borderId="34" xfId="1" applyFont="1" applyBorder="1" applyAlignment="1" applyProtection="1">
      <alignment horizontal="left" vertical="top"/>
      <protection locked="0"/>
    </xf>
    <xf numFmtId="0" fontId="5" fillId="0" borderId="41" xfId="1" applyFont="1" applyBorder="1" applyAlignment="1" applyProtection="1">
      <alignment horizontal="left" vertical="top"/>
      <protection locked="0"/>
    </xf>
    <xf numFmtId="0" fontId="53" fillId="0" borderId="34" xfId="1" applyFont="1" applyFill="1" applyBorder="1" applyAlignment="1" applyProtection="1">
      <alignment horizontal="left" vertical="top"/>
      <protection locked="0"/>
    </xf>
    <xf numFmtId="0" fontId="53" fillId="0" borderId="41" xfId="1" applyFont="1" applyFill="1" applyBorder="1" applyAlignment="1" applyProtection="1">
      <alignment horizontal="left" vertical="top"/>
      <protection locked="0"/>
    </xf>
    <xf numFmtId="0" fontId="13" fillId="0" borderId="34" xfId="1" applyFont="1" applyFill="1" applyBorder="1" applyAlignment="1">
      <alignment horizontal="left" vertical="top" wrapText="1"/>
    </xf>
    <xf numFmtId="0" fontId="13" fillId="0" borderId="53" xfId="1" applyFont="1" applyFill="1" applyBorder="1" applyAlignment="1">
      <alignment horizontal="left" vertical="top" wrapText="1"/>
    </xf>
    <xf numFmtId="0" fontId="13" fillId="0" borderId="45" xfId="1" applyFont="1" applyFill="1" applyBorder="1" applyAlignment="1">
      <alignment horizontal="left" vertical="top" wrapText="1"/>
    </xf>
    <xf numFmtId="0" fontId="4" fillId="0" borderId="25" xfId="1" applyFont="1" applyFill="1" applyBorder="1" applyAlignment="1">
      <alignment vertical="top" wrapText="1"/>
    </xf>
    <xf numFmtId="0" fontId="0" fillId="0" borderId="63" xfId="0" applyFill="1" applyBorder="1" applyAlignment="1">
      <alignment vertical="top" wrapText="1"/>
    </xf>
    <xf numFmtId="0" fontId="0" fillId="0" borderId="66" xfId="0" applyFill="1" applyBorder="1" applyAlignment="1">
      <alignment vertical="top" wrapText="1"/>
    </xf>
    <xf numFmtId="0" fontId="11" fillId="21" borderId="53" xfId="1" applyFont="1" applyFill="1" applyBorder="1" applyAlignment="1">
      <alignment vertical="center" wrapText="1"/>
    </xf>
    <xf numFmtId="0" fontId="39" fillId="21" borderId="53" xfId="0" applyFont="1" applyFill="1" applyBorder="1" applyAlignment="1">
      <alignment vertical="center" wrapText="1"/>
    </xf>
    <xf numFmtId="0" fontId="4" fillId="0" borderId="60" xfId="1" applyFont="1" applyFill="1" applyBorder="1" applyAlignment="1">
      <alignment vertical="top" wrapText="1"/>
    </xf>
    <xf numFmtId="0" fontId="0" fillId="0" borderId="47" xfId="0" applyFill="1" applyBorder="1" applyAlignment="1">
      <alignment vertical="top" wrapText="1"/>
    </xf>
    <xf numFmtId="2" fontId="3" fillId="0" borderId="0" xfId="0" applyNumberFormat="1" applyFont="1" applyFill="1" applyBorder="1" applyAlignment="1">
      <alignment horizontal="left" vertical="top" wrapText="1"/>
    </xf>
    <xf numFmtId="0" fontId="11" fillId="0" borderId="0" xfId="0" applyFont="1" applyFill="1" applyBorder="1" applyAlignment="1">
      <alignment horizontal="center" vertical="top" wrapText="1"/>
    </xf>
    <xf numFmtId="0" fontId="33" fillId="0" borderId="1" xfId="0" applyFont="1" applyBorder="1" applyAlignment="1">
      <alignment horizontal="left" vertical="center" wrapText="1"/>
    </xf>
    <xf numFmtId="0" fontId="33" fillId="0" borderId="2" xfId="0" applyFont="1" applyBorder="1" applyAlignment="1">
      <alignment horizontal="left" vertical="center" wrapText="1"/>
    </xf>
    <xf numFmtId="2" fontId="3" fillId="0" borderId="54" xfId="0" applyNumberFormat="1" applyFont="1" applyFill="1" applyBorder="1" applyAlignment="1" applyProtection="1">
      <alignment horizontal="center" vertical="top" wrapText="1"/>
      <protection locked="0"/>
    </xf>
    <xf numFmtId="2" fontId="3" fillId="0" borderId="39" xfId="0" applyNumberFormat="1" applyFont="1" applyFill="1" applyBorder="1" applyAlignment="1" applyProtection="1">
      <alignment horizontal="center" vertical="top" wrapText="1"/>
      <protection locked="0"/>
    </xf>
    <xf numFmtId="2" fontId="3" fillId="0" borderId="55" xfId="0" applyNumberFormat="1" applyFont="1" applyFill="1" applyBorder="1" applyAlignment="1" applyProtection="1">
      <alignment horizontal="center" vertical="top" wrapText="1"/>
      <protection locked="0"/>
    </xf>
    <xf numFmtId="2" fontId="3" fillId="0" borderId="33" xfId="0" applyNumberFormat="1" applyFont="1" applyFill="1" applyBorder="1" applyAlignment="1" applyProtection="1">
      <alignment horizontal="center" vertical="top" wrapText="1"/>
      <protection locked="0"/>
    </xf>
    <xf numFmtId="2" fontId="3" fillId="0" borderId="1" xfId="0" applyNumberFormat="1" applyFont="1" applyFill="1" applyBorder="1" applyAlignment="1" applyProtection="1">
      <alignment horizontal="center" vertical="top" wrapText="1"/>
      <protection locked="0"/>
    </xf>
    <xf numFmtId="2" fontId="3" fillId="0" borderId="27" xfId="0" applyNumberFormat="1" applyFont="1" applyFill="1" applyBorder="1" applyAlignment="1" applyProtection="1">
      <alignment horizontal="center" vertical="top" wrapText="1"/>
      <protection locked="0"/>
    </xf>
    <xf numFmtId="2" fontId="3" fillId="0" borderId="60" xfId="0" applyNumberFormat="1" applyFont="1" applyFill="1" applyBorder="1" applyAlignment="1" applyProtection="1">
      <alignment horizontal="center" vertical="top" wrapText="1"/>
      <protection locked="0"/>
    </xf>
    <xf numFmtId="2" fontId="3" fillId="0" borderId="47" xfId="0" applyNumberFormat="1" applyFont="1" applyFill="1" applyBorder="1" applyAlignment="1" applyProtection="1">
      <alignment horizontal="center" vertical="top" wrapText="1"/>
      <protection locked="0"/>
    </xf>
    <xf numFmtId="2" fontId="3" fillId="0" borderId="40" xfId="0" applyNumberFormat="1" applyFont="1" applyFill="1" applyBorder="1" applyAlignment="1" applyProtection="1">
      <alignment horizontal="center" vertical="top" wrapText="1"/>
      <protection locked="0"/>
    </xf>
    <xf numFmtId="0" fontId="17" fillId="0" borderId="76" xfId="0" applyFont="1" applyFill="1" applyBorder="1" applyAlignment="1">
      <alignment horizontal="center" vertical="top" wrapText="1"/>
    </xf>
    <xf numFmtId="0" fontId="17" fillId="0" borderId="57" xfId="0" applyFont="1" applyFill="1" applyBorder="1" applyAlignment="1">
      <alignment horizontal="center" vertical="top" wrapText="1"/>
    </xf>
    <xf numFmtId="0" fontId="17" fillId="0" borderId="67" xfId="0" applyFont="1" applyFill="1" applyBorder="1" applyAlignment="1">
      <alignment horizontal="center" vertical="top" wrapText="1"/>
    </xf>
    <xf numFmtId="2" fontId="33" fillId="0" borderId="0" xfId="0" applyNumberFormat="1" applyFont="1" applyFill="1" applyBorder="1" applyAlignment="1">
      <alignment horizontal="center" vertical="top" wrapText="1"/>
    </xf>
    <xf numFmtId="0" fontId="30" fillId="0" borderId="68" xfId="0" applyFont="1" applyBorder="1" applyAlignment="1">
      <alignment horizontal="left" vertical="top" wrapText="1"/>
    </xf>
    <xf numFmtId="0" fontId="30" fillId="0" borderId="64" xfId="0" applyFont="1" applyBorder="1" applyAlignment="1">
      <alignment horizontal="left" vertical="top" wrapText="1"/>
    </xf>
    <xf numFmtId="0" fontId="30" fillId="0" borderId="22" xfId="0" applyFont="1" applyBorder="1" applyAlignment="1">
      <alignment horizontal="left" vertical="top" wrapText="1"/>
    </xf>
    <xf numFmtId="0" fontId="4" fillId="0" borderId="68" xfId="0" applyFont="1" applyFill="1" applyBorder="1" applyAlignment="1">
      <alignment vertical="top" wrapText="1"/>
    </xf>
    <xf numFmtId="0" fontId="4" fillId="0" borderId="22" xfId="0" applyFont="1" applyFill="1" applyBorder="1" applyAlignment="1">
      <alignment vertical="top" wrapText="1"/>
    </xf>
    <xf numFmtId="0" fontId="4" fillId="0" borderId="29" xfId="0" applyFont="1" applyBorder="1" applyAlignment="1">
      <alignment horizontal="left" vertical="top" wrapText="1"/>
    </xf>
    <xf numFmtId="0" fontId="4" fillId="0" borderId="21" xfId="0" applyFont="1" applyBorder="1" applyAlignment="1">
      <alignment horizontal="left" vertical="top" wrapText="1"/>
    </xf>
    <xf numFmtId="0" fontId="4" fillId="0" borderId="72" xfId="0" applyFont="1" applyBorder="1" applyAlignment="1">
      <alignment horizontal="left" vertical="top" wrapText="1"/>
    </xf>
    <xf numFmtId="0" fontId="4" fillId="0" borderId="18" xfId="0" applyFont="1" applyBorder="1" applyAlignment="1">
      <alignment horizontal="left" vertical="top" wrapText="1"/>
    </xf>
    <xf numFmtId="0" fontId="4" fillId="0" borderId="24" xfId="0" applyFont="1" applyBorder="1" applyAlignment="1">
      <alignment horizontal="left" vertical="top" wrapText="1"/>
    </xf>
    <xf numFmtId="0" fontId="30" fillId="0" borderId="23" xfId="0" applyFont="1" applyBorder="1" applyAlignment="1">
      <alignment horizontal="left" vertical="top" wrapText="1"/>
    </xf>
    <xf numFmtId="1" fontId="30" fillId="0" borderId="23" xfId="0" applyNumberFormat="1" applyFont="1" applyBorder="1" applyAlignment="1">
      <alignment horizontal="left" vertical="top" wrapText="1"/>
    </xf>
    <xf numFmtId="1" fontId="30" fillId="0" borderId="46" xfId="0" applyNumberFormat="1" applyFont="1" applyBorder="1" applyAlignment="1">
      <alignment horizontal="left" vertical="top" wrapText="1"/>
    </xf>
    <xf numFmtId="1" fontId="30" fillId="0" borderId="42" xfId="0" applyNumberFormat="1" applyFont="1" applyBorder="1" applyAlignment="1">
      <alignment horizontal="left" vertical="top" wrapText="1"/>
    </xf>
    <xf numFmtId="0" fontId="30" fillId="0" borderId="13" xfId="0" applyFont="1" applyBorder="1" applyAlignment="1">
      <alignment horizontal="left" vertical="top" wrapText="1"/>
    </xf>
    <xf numFmtId="1" fontId="30" fillId="0" borderId="68" xfId="0" applyNumberFormat="1" applyFont="1" applyFill="1" applyBorder="1" applyAlignment="1">
      <alignment horizontal="left" vertical="top" wrapText="1"/>
    </xf>
    <xf numFmtId="0" fontId="30" fillId="0" borderId="64" xfId="0" applyFont="1" applyFill="1" applyBorder="1" applyAlignment="1">
      <alignment horizontal="left" vertical="top" wrapText="1"/>
    </xf>
    <xf numFmtId="0" fontId="30" fillId="0" borderId="22" xfId="0" applyFont="1" applyFill="1" applyBorder="1" applyAlignment="1">
      <alignment horizontal="left" vertical="top" wrapText="1"/>
    </xf>
    <xf numFmtId="49" fontId="31" fillId="0" borderId="34" xfId="0" applyNumberFormat="1" applyFont="1" applyBorder="1" applyAlignment="1">
      <alignment horizontal="left" vertical="center" wrapText="1"/>
    </xf>
    <xf numFmtId="49" fontId="31" fillId="0" borderId="53" xfId="0" applyNumberFormat="1" applyFont="1" applyBorder="1" applyAlignment="1">
      <alignment horizontal="left" vertical="center" wrapText="1"/>
    </xf>
    <xf numFmtId="49" fontId="31" fillId="0" borderId="41" xfId="0" applyNumberFormat="1" applyFont="1" applyBorder="1" applyAlignment="1">
      <alignment horizontal="left" vertical="center" wrapText="1"/>
    </xf>
    <xf numFmtId="0" fontId="4" fillId="6" borderId="54" xfId="0" applyFont="1" applyFill="1" applyBorder="1" applyAlignment="1" applyProtection="1">
      <alignment horizontal="left" vertical="center" wrapText="1"/>
      <protection hidden="1"/>
    </xf>
    <xf numFmtId="0" fontId="4" fillId="6" borderId="39" xfId="0" applyFont="1" applyFill="1" applyBorder="1" applyAlignment="1" applyProtection="1">
      <alignment horizontal="left" vertical="center" wrapText="1"/>
      <protection hidden="1"/>
    </xf>
    <xf numFmtId="0" fontId="30" fillId="0" borderId="46" xfId="0" applyFont="1" applyBorder="1" applyAlignment="1">
      <alignment horizontal="left" vertical="top" wrapText="1"/>
    </xf>
    <xf numFmtId="0" fontId="30" fillId="0" borderId="42" xfId="0" applyFont="1" applyBorder="1" applyAlignment="1">
      <alignment horizontal="left" vertical="top" wrapText="1"/>
    </xf>
    <xf numFmtId="0" fontId="4" fillId="6" borderId="33" xfId="0" applyFont="1" applyFill="1" applyBorder="1" applyAlignment="1" applyProtection="1">
      <alignment horizontal="left" vertical="center" wrapText="1"/>
      <protection hidden="1"/>
    </xf>
    <xf numFmtId="0" fontId="4" fillId="6" borderId="1" xfId="0" applyFont="1" applyFill="1" applyBorder="1" applyAlignment="1" applyProtection="1">
      <alignment horizontal="left" vertical="center" wrapText="1"/>
      <protection hidden="1"/>
    </xf>
    <xf numFmtId="0" fontId="30" fillId="0" borderId="23" xfId="0" applyFont="1" applyFill="1" applyBorder="1" applyAlignment="1">
      <alignment horizontal="left" vertical="top" wrapText="1"/>
    </xf>
    <xf numFmtId="0" fontId="30" fillId="0" borderId="46" xfId="0" applyFont="1" applyFill="1" applyBorder="1" applyAlignment="1">
      <alignment horizontal="left" vertical="top" wrapText="1"/>
    </xf>
    <xf numFmtId="0" fontId="30" fillId="0" borderId="42" xfId="0" applyFont="1" applyFill="1" applyBorder="1" applyAlignment="1">
      <alignment horizontal="left" vertical="top" wrapText="1"/>
    </xf>
    <xf numFmtId="0" fontId="30" fillId="0" borderId="68" xfId="0" applyFont="1" applyFill="1" applyBorder="1" applyAlignment="1">
      <alignment horizontal="left" vertical="top" wrapText="1"/>
    </xf>
    <xf numFmtId="0" fontId="4" fillId="28" borderId="33" xfId="0" applyFont="1" applyFill="1" applyBorder="1" applyAlignment="1" applyProtection="1">
      <alignment horizontal="left" vertical="center" wrapText="1"/>
      <protection hidden="1"/>
    </xf>
    <xf numFmtId="0" fontId="4" fillId="28" borderId="1" xfId="0" applyFont="1" applyFill="1" applyBorder="1" applyAlignment="1" applyProtection="1">
      <alignment horizontal="left" vertical="center" wrapText="1"/>
      <protection hidden="1"/>
    </xf>
    <xf numFmtId="0" fontId="4" fillId="6" borderId="60" xfId="0" applyFont="1" applyFill="1" applyBorder="1" applyAlignment="1" applyProtection="1">
      <alignment horizontal="left" vertical="center" wrapText="1"/>
      <protection hidden="1"/>
    </xf>
    <xf numFmtId="0" fontId="4" fillId="6" borderId="47" xfId="0" applyFont="1" applyFill="1" applyBorder="1" applyAlignment="1" applyProtection="1">
      <alignment horizontal="left" vertical="center" wrapText="1"/>
      <protection hidden="1"/>
    </xf>
    <xf numFmtId="1" fontId="30" fillId="0" borderId="13" xfId="0" applyNumberFormat="1" applyFont="1" applyBorder="1" applyAlignment="1">
      <alignment horizontal="left" vertical="top" wrapText="1"/>
    </xf>
    <xf numFmtId="1" fontId="30" fillId="0" borderId="34" xfId="0" applyNumberFormat="1" applyFont="1" applyBorder="1" applyAlignment="1" applyProtection="1">
      <alignment horizontal="left" vertical="top" wrapText="1"/>
      <protection hidden="1"/>
    </xf>
    <xf numFmtId="1" fontId="30" fillId="0" borderId="53" xfId="0" applyNumberFormat="1" applyFont="1" applyBorder="1" applyAlignment="1" applyProtection="1">
      <alignment horizontal="left" vertical="top" wrapText="1"/>
      <protection hidden="1"/>
    </xf>
    <xf numFmtId="0" fontId="4" fillId="18" borderId="68" xfId="0" applyFont="1" applyFill="1" applyBorder="1" applyAlignment="1">
      <alignment vertical="top" wrapText="1"/>
    </xf>
    <xf numFmtId="0" fontId="4" fillId="18" borderId="64" xfId="0" applyFont="1" applyFill="1" applyBorder="1" applyAlignment="1">
      <alignment vertical="top" wrapText="1"/>
    </xf>
    <xf numFmtId="0" fontId="4" fillId="18" borderId="22" xfId="0" applyFont="1" applyFill="1" applyBorder="1" applyAlignment="1">
      <alignment vertical="top" wrapText="1"/>
    </xf>
    <xf numFmtId="0" fontId="69" fillId="11" borderId="68" xfId="0" applyFont="1" applyFill="1" applyBorder="1" applyAlignment="1">
      <alignment horizontal="center" vertical="top" wrapText="1"/>
    </xf>
    <xf numFmtId="0" fontId="69" fillId="11" borderId="30" xfId="0" applyFont="1" applyFill="1" applyBorder="1" applyAlignment="1">
      <alignment horizontal="center" vertical="top" wrapText="1"/>
    </xf>
    <xf numFmtId="0" fontId="7" fillId="0" borderId="43" xfId="0" applyFont="1" applyBorder="1" applyAlignment="1">
      <alignment horizontal="center" vertical="center" wrapText="1"/>
    </xf>
    <xf numFmtId="0" fontId="7" fillId="0" borderId="61" xfId="0" applyFont="1" applyBorder="1" applyAlignment="1">
      <alignment horizontal="center" vertical="center" wrapText="1"/>
    </xf>
    <xf numFmtId="0" fontId="4" fillId="0" borderId="73" xfId="0" applyFont="1" applyBorder="1" applyAlignment="1">
      <alignment horizontal="left" vertical="top" wrapText="1"/>
    </xf>
    <xf numFmtId="0" fontId="4" fillId="0" borderId="28" xfId="0" applyFont="1" applyBorder="1" applyAlignment="1">
      <alignment horizontal="left" vertical="top" wrapText="1"/>
    </xf>
    <xf numFmtId="0" fontId="4" fillId="0" borderId="59" xfId="0" applyFont="1" applyFill="1" applyBorder="1" applyAlignment="1">
      <alignment horizontal="left" vertical="top" wrapText="1"/>
    </xf>
    <xf numFmtId="0" fontId="4" fillId="0" borderId="13" xfId="0" applyFont="1" applyFill="1" applyBorder="1" applyAlignment="1">
      <alignment horizontal="left" vertical="top" wrapText="1"/>
    </xf>
    <xf numFmtId="0" fontId="4" fillId="0" borderId="58" xfId="0" applyFont="1" applyFill="1" applyBorder="1" applyAlignment="1">
      <alignment horizontal="left" vertical="top" wrapText="1"/>
    </xf>
    <xf numFmtId="0" fontId="4" fillId="0" borderId="34"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22" xfId="0" applyFont="1" applyFill="1" applyBorder="1" applyAlignment="1">
      <alignment horizontal="left" vertical="center" wrapText="1"/>
    </xf>
    <xf numFmtId="0" fontId="4" fillId="0" borderId="71" xfId="0" applyFont="1" applyFill="1" applyBorder="1" applyAlignment="1">
      <alignment horizontal="left" vertical="center" wrapText="1"/>
    </xf>
    <xf numFmtId="0" fontId="4" fillId="0" borderId="33" xfId="0" applyFont="1" applyBorder="1" applyAlignment="1">
      <alignment horizontal="left" vertical="top" wrapText="1"/>
    </xf>
    <xf numFmtId="0" fontId="4" fillId="0" borderId="27" xfId="0" applyFont="1" applyBorder="1" applyAlignment="1">
      <alignment horizontal="left" vertical="top" wrapText="1"/>
    </xf>
    <xf numFmtId="0" fontId="4" fillId="0" borderId="60" xfId="0" applyFont="1" applyBorder="1" applyAlignment="1">
      <alignment horizontal="left" vertical="top" wrapText="1"/>
    </xf>
    <xf numFmtId="0" fontId="4" fillId="0" borderId="40" xfId="0" applyFont="1" applyBorder="1" applyAlignment="1">
      <alignment horizontal="left" vertical="top" wrapText="1"/>
    </xf>
    <xf numFmtId="0" fontId="46" fillId="0" borderId="33" xfId="0" applyFont="1" applyFill="1" applyBorder="1" applyAlignment="1">
      <alignment horizontal="left" vertical="top" wrapText="1"/>
    </xf>
    <xf numFmtId="0" fontId="46" fillId="0" borderId="27" xfId="0" applyFont="1" applyFill="1" applyBorder="1" applyAlignment="1">
      <alignment horizontal="left" vertical="top" wrapText="1"/>
    </xf>
    <xf numFmtId="0" fontId="4" fillId="0" borderId="33" xfId="0" applyFont="1" applyFill="1" applyBorder="1" applyAlignment="1">
      <alignment horizontal="left" vertical="top" wrapText="1"/>
    </xf>
    <xf numFmtId="0" fontId="4" fillId="0" borderId="27" xfId="0" applyFont="1" applyFill="1" applyBorder="1" applyAlignment="1">
      <alignment horizontal="left" vertical="top" wrapText="1"/>
    </xf>
    <xf numFmtId="0" fontId="4" fillId="0" borderId="22" xfId="0" applyFont="1" applyBorder="1" applyAlignment="1">
      <alignment horizontal="left" vertical="center" wrapText="1"/>
    </xf>
    <xf numFmtId="0" fontId="4" fillId="0" borderId="10" xfId="0" applyFont="1" applyBorder="1" applyAlignment="1">
      <alignment horizontal="left" vertical="center" wrapText="1"/>
    </xf>
    <xf numFmtId="0" fontId="4" fillId="0" borderId="42" xfId="0" applyFont="1" applyBorder="1" applyAlignment="1">
      <alignment horizontal="left" vertical="top" wrapText="1"/>
    </xf>
    <xf numFmtId="0" fontId="46" fillId="0" borderId="1" xfId="0" applyFont="1" applyFill="1" applyBorder="1" applyAlignment="1">
      <alignment horizontal="left" vertical="top" wrapText="1"/>
    </xf>
    <xf numFmtId="0" fontId="4" fillId="0" borderId="59" xfId="0" applyFont="1" applyBorder="1" applyAlignment="1">
      <alignment horizontal="center" vertical="top" wrapText="1"/>
    </xf>
    <xf numFmtId="0" fontId="4" fillId="0" borderId="1" xfId="0" applyNumberFormat="1" applyFont="1" applyBorder="1" applyAlignment="1">
      <alignment horizontal="left" vertical="top" wrapText="1"/>
    </xf>
    <xf numFmtId="0" fontId="7" fillId="0" borderId="34" xfId="0" applyFont="1" applyBorder="1" applyAlignment="1">
      <alignment horizontal="center" vertical="center" wrapText="1"/>
    </xf>
    <xf numFmtId="0" fontId="7" fillId="0" borderId="41" xfId="0" applyFont="1" applyBorder="1" applyAlignment="1">
      <alignment horizontal="center" vertical="center" wrapText="1"/>
    </xf>
    <xf numFmtId="0" fontId="4" fillId="0" borderId="30" xfId="0" applyFont="1" applyBorder="1" applyAlignment="1">
      <alignment horizontal="left" vertical="top" wrapText="1"/>
    </xf>
    <xf numFmtId="0" fontId="4" fillId="0" borderId="1" xfId="0" applyFont="1" applyBorder="1" applyAlignment="1">
      <alignment horizontal="left" vertical="top" wrapText="1"/>
    </xf>
    <xf numFmtId="0" fontId="4" fillId="0" borderId="1" xfId="0" applyFont="1" applyFill="1" applyBorder="1" applyAlignment="1">
      <alignment horizontal="left" vertical="top" wrapText="1"/>
    </xf>
    <xf numFmtId="0" fontId="69" fillId="11" borderId="48" xfId="0" applyFont="1" applyFill="1" applyBorder="1" applyAlignment="1">
      <alignment horizontal="center" vertical="top" wrapText="1"/>
    </xf>
    <xf numFmtId="0" fontId="69" fillId="11" borderId="32" xfId="0" applyFont="1" applyFill="1" applyBorder="1" applyAlignment="1">
      <alignment horizontal="center" vertical="top" wrapText="1"/>
    </xf>
    <xf numFmtId="0" fontId="4" fillId="0" borderId="13" xfId="0" applyFont="1" applyBorder="1" applyAlignment="1">
      <alignment horizontal="left" vertical="top" wrapText="1"/>
    </xf>
    <xf numFmtId="0" fontId="4" fillId="0" borderId="67" xfId="0" applyFont="1" applyFill="1" applyBorder="1" applyAlignment="1">
      <alignment horizontal="left" vertical="top" wrapText="1"/>
    </xf>
    <xf numFmtId="0" fontId="4" fillId="0" borderId="38" xfId="0" applyFont="1" applyFill="1" applyBorder="1" applyAlignment="1">
      <alignment horizontal="left" vertical="top" wrapText="1"/>
    </xf>
    <xf numFmtId="0" fontId="4" fillId="0" borderId="70" xfId="0" applyFont="1" applyFill="1" applyBorder="1" applyAlignment="1">
      <alignment horizontal="left" vertical="top" wrapText="1"/>
    </xf>
    <xf numFmtId="0" fontId="4" fillId="0" borderId="64" xfId="0" applyFont="1" applyBorder="1" applyAlignment="1">
      <alignment horizontal="center" vertical="top" wrapText="1"/>
    </xf>
    <xf numFmtId="0" fontId="4" fillId="0" borderId="22" xfId="0" applyFont="1" applyBorder="1" applyAlignment="1">
      <alignment horizontal="center" vertical="top" wrapText="1"/>
    </xf>
    <xf numFmtId="49" fontId="5" fillId="0" borderId="34" xfId="0" applyNumberFormat="1" applyFont="1" applyBorder="1" applyAlignment="1">
      <alignment horizontal="left" vertical="center" wrapText="1"/>
    </xf>
    <xf numFmtId="49" fontId="5" fillId="0" borderId="53" xfId="0" applyNumberFormat="1" applyFont="1" applyBorder="1" applyAlignment="1">
      <alignment horizontal="left" vertical="center" wrapText="1"/>
    </xf>
    <xf numFmtId="49" fontId="5" fillId="0" borderId="41" xfId="0" applyNumberFormat="1" applyFont="1" applyBorder="1" applyAlignment="1">
      <alignment horizontal="left" vertical="center" wrapText="1"/>
    </xf>
    <xf numFmtId="0" fontId="4" fillId="0" borderId="0" xfId="0" applyFont="1" applyBorder="1" applyAlignment="1">
      <alignment horizontal="center" vertical="top" wrapText="1"/>
    </xf>
    <xf numFmtId="0" fontId="30" fillId="0" borderId="0" xfId="0" applyNumberFormat="1" applyFont="1" applyBorder="1" applyAlignment="1">
      <alignment horizontal="center" vertical="top" wrapText="1"/>
    </xf>
    <xf numFmtId="0" fontId="30" fillId="0" borderId="69" xfId="0" applyNumberFormat="1" applyFont="1" applyBorder="1" applyAlignment="1">
      <alignment horizontal="center" vertical="top" wrapText="1"/>
    </xf>
    <xf numFmtId="0" fontId="4" fillId="6" borderId="60" xfId="0" applyFont="1" applyFill="1" applyBorder="1" applyAlignment="1">
      <alignment horizontal="left" vertical="center" wrapText="1"/>
    </xf>
    <xf numFmtId="0" fontId="4" fillId="6" borderId="47" xfId="0" applyFont="1" applyFill="1" applyBorder="1" applyAlignment="1">
      <alignment horizontal="left" vertical="center" wrapText="1"/>
    </xf>
    <xf numFmtId="0" fontId="4" fillId="6" borderId="54" xfId="0" applyFont="1" applyFill="1" applyBorder="1" applyAlignment="1">
      <alignment horizontal="left" vertical="center" wrapText="1"/>
    </xf>
    <xf numFmtId="0" fontId="4" fillId="6" borderId="39" xfId="0" applyFont="1" applyFill="1" applyBorder="1" applyAlignment="1">
      <alignment horizontal="left" vertical="center" wrapText="1"/>
    </xf>
    <xf numFmtId="0" fontId="4" fillId="6" borderId="26" xfId="0" applyFont="1" applyFill="1" applyBorder="1" applyAlignment="1">
      <alignment horizontal="left" vertical="center" wrapText="1"/>
    </xf>
    <xf numFmtId="0" fontId="4" fillId="6" borderId="15" xfId="0" applyFont="1" applyFill="1" applyBorder="1" applyAlignment="1">
      <alignment horizontal="left" vertical="center" wrapText="1"/>
    </xf>
    <xf numFmtId="0" fontId="4" fillId="6" borderId="6" xfId="0" applyFont="1" applyFill="1" applyBorder="1" applyAlignment="1">
      <alignment horizontal="left" vertical="center" wrapText="1"/>
    </xf>
    <xf numFmtId="0" fontId="4" fillId="0" borderId="60"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68" xfId="0" applyFont="1" applyFill="1" applyBorder="1" applyAlignment="1">
      <alignment horizontal="left" vertical="center" wrapText="1"/>
    </xf>
    <xf numFmtId="0" fontId="4" fillId="0" borderId="30" xfId="0" applyFont="1" applyFill="1" applyBorder="1" applyAlignment="1">
      <alignment horizontal="left" vertical="center" wrapText="1"/>
    </xf>
    <xf numFmtId="0" fontId="4" fillId="0" borderId="23" xfId="0" applyFont="1" applyFill="1" applyBorder="1" applyAlignment="1">
      <alignment horizontal="left" vertical="top"/>
    </xf>
    <xf numFmtId="0" fontId="4" fillId="0" borderId="46" xfId="0" applyFont="1" applyFill="1" applyBorder="1" applyAlignment="1">
      <alignment horizontal="left" vertical="top"/>
    </xf>
    <xf numFmtId="0" fontId="4" fillId="0" borderId="42" xfId="0" applyFont="1" applyFill="1" applyBorder="1" applyAlignment="1">
      <alignment horizontal="left" vertical="top"/>
    </xf>
    <xf numFmtId="1" fontId="4" fillId="0" borderId="22" xfId="0" applyNumberFormat="1" applyFont="1" applyBorder="1" applyAlignment="1">
      <alignment horizontal="left" vertical="center"/>
    </xf>
    <xf numFmtId="1" fontId="4" fillId="0" borderId="10" xfId="0" applyNumberFormat="1" applyFont="1" applyBorder="1" applyAlignment="1">
      <alignment horizontal="left" vertical="center"/>
    </xf>
    <xf numFmtId="0" fontId="34" fillId="0" borderId="34" xfId="0" applyFont="1" applyFill="1" applyBorder="1" applyAlignment="1">
      <alignment horizontal="center" vertical="center" wrapText="1"/>
    </xf>
    <xf numFmtId="0" fontId="34" fillId="0" borderId="41" xfId="0" applyFont="1" applyFill="1" applyBorder="1" applyAlignment="1">
      <alignment horizontal="center" vertical="center" wrapText="1"/>
    </xf>
    <xf numFmtId="0" fontId="69" fillId="11" borderId="34" xfId="0" applyFont="1" applyFill="1" applyBorder="1" applyAlignment="1">
      <alignment horizontal="center" vertical="top" wrapText="1"/>
    </xf>
    <xf numFmtId="0" fontId="69" fillId="11" borderId="41" xfId="0" applyFont="1" applyFill="1" applyBorder="1" applyAlignment="1">
      <alignment horizontal="center" vertical="top" wrapText="1"/>
    </xf>
    <xf numFmtId="0" fontId="4" fillId="0" borderId="42" xfId="0" applyFont="1" applyFill="1" applyBorder="1" applyAlignment="1">
      <alignment vertical="top" wrapText="1"/>
    </xf>
    <xf numFmtId="1" fontId="4" fillId="0" borderId="68" xfId="0" applyNumberFormat="1" applyFont="1" applyBorder="1" applyAlignment="1">
      <alignment horizontal="left" vertical="top" wrapText="1"/>
    </xf>
    <xf numFmtId="1" fontId="4" fillId="0" borderId="64" xfId="0" applyNumberFormat="1" applyFont="1" applyBorder="1" applyAlignment="1">
      <alignment horizontal="left" vertical="top" wrapText="1"/>
    </xf>
    <xf numFmtId="1" fontId="4" fillId="0" borderId="22" xfId="0" applyNumberFormat="1" applyFont="1" applyBorder="1" applyAlignment="1">
      <alignment horizontal="left" vertical="top" wrapText="1"/>
    </xf>
    <xf numFmtId="0" fontId="44" fillId="0" borderId="23" xfId="0" applyFont="1" applyFill="1" applyBorder="1" applyAlignment="1">
      <alignment horizontal="left" vertical="top" wrapText="1"/>
    </xf>
    <xf numFmtId="0" fontId="44" fillId="0" borderId="46" xfId="0" applyFont="1" applyFill="1" applyBorder="1" applyAlignment="1">
      <alignment horizontal="left" vertical="top" wrapText="1"/>
    </xf>
    <xf numFmtId="0" fontId="44" fillId="0" borderId="76" xfId="0" applyFont="1" applyFill="1" applyBorder="1" applyAlignment="1">
      <alignment horizontal="left" vertical="top" wrapText="1"/>
    </xf>
    <xf numFmtId="0" fontId="44" fillId="0" borderId="74" xfId="0" applyFont="1" applyFill="1" applyBorder="1" applyAlignment="1">
      <alignment horizontal="left" vertical="top" wrapText="1"/>
    </xf>
    <xf numFmtId="0" fontId="4" fillId="0" borderId="8" xfId="0" applyFont="1" applyBorder="1" applyAlignment="1">
      <alignment horizontal="left" vertical="top" wrapText="1"/>
    </xf>
    <xf numFmtId="0" fontId="4" fillId="0" borderId="0" xfId="0" applyFont="1" applyAlignment="1">
      <alignment horizontal="center" vertical="top"/>
    </xf>
    <xf numFmtId="0" fontId="4" fillId="0" borderId="69" xfId="0" applyFont="1" applyBorder="1" applyAlignment="1">
      <alignment horizontal="center" vertical="top" wrapText="1"/>
    </xf>
    <xf numFmtId="1" fontId="4" fillId="0" borderId="13" xfId="0" applyNumberFormat="1" applyFont="1" applyFill="1" applyBorder="1" applyAlignment="1">
      <alignment horizontal="left" vertical="top" wrapText="1"/>
    </xf>
    <xf numFmtId="1" fontId="4" fillId="0" borderId="46" xfId="0" applyNumberFormat="1" applyFont="1" applyFill="1" applyBorder="1" applyAlignment="1">
      <alignment horizontal="left" vertical="top" wrapText="1"/>
    </xf>
    <xf numFmtId="0" fontId="43" fillId="11" borderId="41" xfId="0" applyFont="1" applyFill="1" applyBorder="1" applyAlignment="1">
      <alignment horizontal="center" vertical="top" wrapText="1"/>
    </xf>
    <xf numFmtId="1" fontId="30" fillId="0" borderId="68" xfId="0" applyNumberFormat="1" applyFont="1" applyBorder="1" applyAlignment="1">
      <alignment horizontal="left" vertical="top" wrapText="1"/>
    </xf>
    <xf numFmtId="1" fontId="30" fillId="0" borderId="64" xfId="0" applyNumberFormat="1" applyFont="1" applyBorder="1" applyAlignment="1">
      <alignment horizontal="left" vertical="top" wrapText="1"/>
    </xf>
    <xf numFmtId="1" fontId="30" fillId="0" borderId="22" xfId="0" applyNumberFormat="1" applyFont="1" applyBorder="1" applyAlignment="1">
      <alignment horizontal="left" vertical="top" wrapText="1"/>
    </xf>
    <xf numFmtId="0" fontId="30" fillId="0" borderId="13" xfId="0" applyFont="1" applyFill="1" applyBorder="1" applyAlignment="1">
      <alignment horizontal="left" vertical="top" wrapText="1"/>
    </xf>
    <xf numFmtId="1" fontId="30" fillId="0" borderId="23" xfId="0" applyNumberFormat="1" applyFont="1" applyFill="1" applyBorder="1" applyAlignment="1">
      <alignment horizontal="left" vertical="top" wrapText="1"/>
    </xf>
    <xf numFmtId="1" fontId="30" fillId="0" borderId="18" xfId="0" applyNumberFormat="1" applyFont="1" applyFill="1" applyBorder="1" applyAlignment="1">
      <alignment horizontal="left" vertical="top" wrapText="1"/>
    </xf>
    <xf numFmtId="0" fontId="30" fillId="0" borderId="21" xfId="0" applyFont="1" applyFill="1" applyBorder="1" applyAlignment="1">
      <alignment horizontal="left" vertical="top" wrapText="1"/>
    </xf>
    <xf numFmtId="0" fontId="30" fillId="0" borderId="72" xfId="0" applyFont="1" applyFill="1" applyBorder="1" applyAlignment="1">
      <alignment horizontal="left" vertical="top" wrapText="1"/>
    </xf>
    <xf numFmtId="0" fontId="30" fillId="0" borderId="46" xfId="0" applyFont="1" applyFill="1" applyBorder="1" applyAlignment="1">
      <alignment vertical="top" wrapText="1"/>
    </xf>
    <xf numFmtId="0" fontId="30" fillId="0" borderId="13" xfId="0" applyFont="1" applyFill="1" applyBorder="1" applyAlignment="1">
      <alignment vertical="top" wrapText="1"/>
    </xf>
    <xf numFmtId="1" fontId="30" fillId="0" borderId="29" xfId="0" applyNumberFormat="1" applyFont="1" applyFill="1" applyBorder="1" applyAlignment="1">
      <alignment horizontal="left" vertical="top" wrapText="1"/>
    </xf>
    <xf numFmtId="0" fontId="30" fillId="0" borderId="24" xfId="0" applyFont="1" applyFill="1" applyBorder="1" applyAlignment="1">
      <alignment horizontal="left" vertical="top" wrapText="1"/>
    </xf>
    <xf numFmtId="0" fontId="30" fillId="0" borderId="67" xfId="0" applyFont="1" applyFill="1" applyBorder="1" applyAlignment="1">
      <alignment horizontal="left" vertical="top" wrapText="1"/>
    </xf>
    <xf numFmtId="0" fontId="30" fillId="0" borderId="38" xfId="0" applyFont="1" applyFill="1" applyBorder="1" applyAlignment="1">
      <alignment horizontal="left" vertical="top" wrapText="1"/>
    </xf>
    <xf numFmtId="0" fontId="30" fillId="0" borderId="70" xfId="0" applyFont="1" applyFill="1" applyBorder="1" applyAlignment="1">
      <alignment horizontal="left" vertical="top" wrapText="1"/>
    </xf>
    <xf numFmtId="1" fontId="30" fillId="0" borderId="64" xfId="0" applyNumberFormat="1" applyFont="1" applyFill="1" applyBorder="1" applyAlignment="1">
      <alignment horizontal="left" vertical="top" wrapText="1"/>
    </xf>
    <xf numFmtId="1" fontId="30" fillId="0" borderId="22" xfId="0" applyNumberFormat="1" applyFont="1" applyFill="1" applyBorder="1" applyAlignment="1">
      <alignment horizontal="left" vertical="top" wrapText="1"/>
    </xf>
    <xf numFmtId="0" fontId="30" fillId="0" borderId="23" xfId="0" applyFont="1" applyFill="1" applyBorder="1" applyAlignment="1">
      <alignment vertical="top" wrapText="1"/>
    </xf>
    <xf numFmtId="0" fontId="30" fillId="0" borderId="46" xfId="0" applyFont="1" applyBorder="1" applyAlignment="1">
      <alignment vertical="top" wrapText="1"/>
    </xf>
    <xf numFmtId="0" fontId="30" fillId="0" borderId="42" xfId="0" applyFont="1" applyBorder="1" applyAlignment="1">
      <alignment vertical="top" wrapText="1"/>
    </xf>
    <xf numFmtId="1" fontId="30" fillId="0" borderId="46" xfId="0" applyNumberFormat="1" applyFont="1" applyFill="1" applyBorder="1" applyAlignment="1">
      <alignment horizontal="left" vertical="top" wrapText="1"/>
    </xf>
    <xf numFmtId="1" fontId="30" fillId="0" borderId="42" xfId="0" applyNumberFormat="1" applyFont="1" applyFill="1" applyBorder="1" applyAlignment="1">
      <alignment horizontal="left" vertical="top" wrapText="1"/>
    </xf>
    <xf numFmtId="1" fontId="4" fillId="6" borderId="54" xfId="0" applyNumberFormat="1" applyFont="1" applyFill="1" applyBorder="1" applyAlignment="1">
      <alignment vertical="center" wrapText="1"/>
    </xf>
    <xf numFmtId="1" fontId="4" fillId="6" borderId="39" xfId="0" applyNumberFormat="1" applyFont="1" applyFill="1" applyBorder="1" applyAlignment="1">
      <alignment vertical="center" wrapText="1"/>
    </xf>
    <xf numFmtId="1" fontId="4" fillId="6" borderId="33" xfId="0" applyNumberFormat="1" applyFont="1" applyFill="1" applyBorder="1" applyAlignment="1">
      <alignment vertical="center" wrapText="1"/>
    </xf>
    <xf numFmtId="1" fontId="4" fillId="6" borderId="1" xfId="0" applyNumberFormat="1" applyFont="1" applyFill="1" applyBorder="1" applyAlignment="1">
      <alignment vertical="center" wrapText="1"/>
    </xf>
    <xf numFmtId="0" fontId="30" fillId="0" borderId="42" xfId="0" applyFont="1" applyFill="1" applyBorder="1" applyAlignment="1">
      <alignment vertical="top" wrapText="1"/>
    </xf>
    <xf numFmtId="1" fontId="34" fillId="0" borderId="22" xfId="0" applyNumberFormat="1" applyFont="1" applyBorder="1" applyAlignment="1">
      <alignment horizontal="center" vertical="center" wrapText="1"/>
    </xf>
    <xf numFmtId="1" fontId="34" fillId="0" borderId="10" xfId="0" applyNumberFormat="1" applyFont="1" applyBorder="1" applyAlignment="1">
      <alignment horizontal="center" vertical="center" wrapText="1"/>
    </xf>
    <xf numFmtId="0" fontId="30" fillId="0" borderId="0" xfId="0" applyFont="1" applyFill="1" applyBorder="1" applyAlignment="1">
      <alignment horizontal="center" vertical="top" wrapText="1"/>
    </xf>
    <xf numFmtId="0" fontId="30" fillId="0" borderId="69" xfId="0" applyFont="1" applyFill="1" applyBorder="1" applyAlignment="1">
      <alignment horizontal="center" vertical="top" wrapText="1"/>
    </xf>
    <xf numFmtId="1" fontId="4" fillId="6" borderId="60" xfId="0" applyNumberFormat="1" applyFont="1" applyFill="1" applyBorder="1" applyAlignment="1">
      <alignment vertical="center" wrapText="1"/>
    </xf>
    <xf numFmtId="1" fontId="4" fillId="6" borderId="47" xfId="0" applyNumberFormat="1" applyFont="1" applyFill="1" applyBorder="1" applyAlignment="1">
      <alignment vertical="center" wrapText="1"/>
    </xf>
    <xf numFmtId="0" fontId="30" fillId="0" borderId="59" xfId="0" applyFont="1" applyFill="1" applyBorder="1" applyAlignment="1">
      <alignment horizontal="center" vertical="top" wrapText="1"/>
    </xf>
    <xf numFmtId="0" fontId="5" fillId="0" borderId="34" xfId="0" applyFont="1" applyFill="1" applyBorder="1" applyAlignment="1">
      <alignment horizontal="center" vertical="center" wrapText="1"/>
    </xf>
    <xf numFmtId="0" fontId="5" fillId="0" borderId="41" xfId="0" applyFont="1" applyFill="1" applyBorder="1" applyAlignment="1">
      <alignment horizontal="center" vertical="center" wrapText="1"/>
    </xf>
    <xf numFmtId="0" fontId="69" fillId="11" borderId="9" xfId="0" applyFont="1" applyFill="1" applyBorder="1" applyAlignment="1">
      <alignment horizontal="center" vertical="top" wrapText="1"/>
    </xf>
    <xf numFmtId="0" fontId="69" fillId="11" borderId="16" xfId="0" applyFont="1" applyFill="1" applyBorder="1" applyAlignment="1">
      <alignment horizontal="center" vertical="top" wrapText="1"/>
    </xf>
    <xf numFmtId="0" fontId="30" fillId="0" borderId="68" xfId="0" applyFont="1" applyBorder="1" applyAlignment="1">
      <alignment vertical="top" wrapText="1"/>
    </xf>
    <xf numFmtId="0" fontId="30" fillId="0" borderId="64" xfId="0" applyFont="1" applyBorder="1" applyAlignment="1">
      <alignment vertical="top" wrapText="1"/>
    </xf>
    <xf numFmtId="0" fontId="30" fillId="0" borderId="22" xfId="0" applyFont="1" applyBorder="1" applyAlignment="1">
      <alignment vertical="top" wrapText="1"/>
    </xf>
    <xf numFmtId="0" fontId="30" fillId="0" borderId="64" xfId="0" applyFont="1" applyFill="1" applyBorder="1" applyAlignment="1">
      <alignment vertical="top" wrapText="1"/>
    </xf>
    <xf numFmtId="0" fontId="30" fillId="0" borderId="22" xfId="0" applyFont="1" applyFill="1" applyBorder="1" applyAlignment="1">
      <alignment vertical="top" wrapText="1"/>
    </xf>
    <xf numFmtId="1" fontId="34" fillId="0" borderId="64" xfId="0" applyNumberFormat="1" applyFont="1" applyBorder="1" applyAlignment="1">
      <alignment horizontal="center" vertical="center" wrapText="1"/>
    </xf>
    <xf numFmtId="1" fontId="34" fillId="0" borderId="0" xfId="0" applyNumberFormat="1" applyFont="1" applyBorder="1" applyAlignment="1">
      <alignment horizontal="center" vertical="center" wrapText="1"/>
    </xf>
    <xf numFmtId="0" fontId="30" fillId="0" borderId="68" xfId="0" applyFont="1" applyFill="1" applyBorder="1" applyAlignment="1">
      <alignment vertical="top" wrapText="1"/>
    </xf>
    <xf numFmtId="1" fontId="30" fillId="0" borderId="68" xfId="0" applyNumberFormat="1" applyFont="1" applyFill="1" applyBorder="1" applyAlignment="1">
      <alignment vertical="top" wrapText="1"/>
    </xf>
    <xf numFmtId="0" fontId="4" fillId="0" borderId="23" xfId="0" applyFont="1" applyBorder="1" applyAlignment="1">
      <alignment horizontal="center" vertical="top" wrapText="1"/>
    </xf>
    <xf numFmtId="0" fontId="4" fillId="0" borderId="46" xfId="0" applyFont="1" applyBorder="1" applyAlignment="1">
      <alignment horizontal="center" vertical="top" wrapText="1"/>
    </xf>
    <xf numFmtId="0" fontId="4" fillId="0" borderId="42" xfId="0" applyFont="1" applyBorder="1" applyAlignment="1">
      <alignment horizontal="center" vertical="top" wrapText="1"/>
    </xf>
    <xf numFmtId="0" fontId="4" fillId="6" borderId="33" xfId="0" applyFont="1" applyFill="1" applyBorder="1" applyAlignment="1">
      <alignment horizontal="left" vertical="center" wrapText="1"/>
    </xf>
    <xf numFmtId="0" fontId="4" fillId="6" borderId="1" xfId="0" applyFont="1" applyFill="1" applyBorder="1" applyAlignment="1">
      <alignment horizontal="left" vertical="center" wrapText="1"/>
    </xf>
    <xf numFmtId="0" fontId="30" fillId="0" borderId="59" xfId="0" applyFont="1" applyBorder="1" applyAlignment="1">
      <alignment horizontal="center" vertical="top" wrapText="1"/>
    </xf>
    <xf numFmtId="0" fontId="30" fillId="0" borderId="0" xfId="0" applyFont="1" applyAlignment="1">
      <alignment horizontal="center" vertical="top" wrapText="1"/>
    </xf>
    <xf numFmtId="0" fontId="30" fillId="0" borderId="0" xfId="0" applyFont="1" applyBorder="1" applyAlignment="1">
      <alignment horizontal="center" vertical="top" wrapText="1"/>
    </xf>
    <xf numFmtId="0" fontId="4" fillId="0" borderId="71" xfId="0" applyFont="1" applyFill="1" applyBorder="1" applyAlignment="1">
      <alignment vertical="top" wrapText="1"/>
    </xf>
    <xf numFmtId="0" fontId="4" fillId="0" borderId="69" xfId="0" applyFont="1" applyBorder="1" applyAlignment="1">
      <alignment horizontal="left" vertical="top" wrapText="1"/>
    </xf>
    <xf numFmtId="0" fontId="4" fillId="0" borderId="30" xfId="0" applyFont="1" applyFill="1" applyBorder="1" applyAlignment="1">
      <alignment horizontal="left" vertical="top" wrapText="1"/>
    </xf>
    <xf numFmtId="0" fontId="4" fillId="0" borderId="69" xfId="0" applyFont="1" applyFill="1" applyBorder="1" applyAlignment="1">
      <alignment horizontal="left" vertical="top" wrapText="1"/>
    </xf>
    <xf numFmtId="0" fontId="4" fillId="0" borderId="71" xfId="0" applyFont="1" applyFill="1" applyBorder="1" applyAlignment="1">
      <alignment horizontal="left" vertical="top" wrapText="1"/>
    </xf>
    <xf numFmtId="0" fontId="4" fillId="0" borderId="25" xfId="0" applyFont="1" applyBorder="1" applyAlignment="1">
      <alignment horizontal="left" vertical="top" wrapText="1"/>
    </xf>
    <xf numFmtId="0" fontId="4" fillId="0" borderId="26" xfId="0" applyFont="1" applyBorder="1" applyAlignment="1">
      <alignment horizontal="left" vertical="top" wrapText="1"/>
    </xf>
    <xf numFmtId="0" fontId="4" fillId="0" borderId="20" xfId="0" applyFont="1" applyBorder="1" applyAlignment="1">
      <alignment horizontal="left" vertical="top" wrapText="1"/>
    </xf>
    <xf numFmtId="0" fontId="51" fillId="0" borderId="54" xfId="0" applyFont="1" applyBorder="1" applyAlignment="1">
      <alignment horizontal="left" vertical="top" wrapText="1"/>
    </xf>
    <xf numFmtId="0" fontId="51" fillId="0" borderId="55" xfId="0" applyFont="1" applyBorder="1" applyAlignment="1">
      <alignment horizontal="left" vertical="top" wrapText="1"/>
    </xf>
    <xf numFmtId="0" fontId="51" fillId="0" borderId="33" xfId="0" applyFont="1" applyBorder="1" applyAlignment="1">
      <alignment horizontal="left" vertical="top" wrapText="1"/>
    </xf>
    <xf numFmtId="0" fontId="51" fillId="0" borderId="27" xfId="0" applyFont="1" applyBorder="1" applyAlignment="1">
      <alignment horizontal="left" vertical="top" wrapText="1"/>
    </xf>
    <xf numFmtId="0" fontId="7" fillId="0" borderId="68" xfId="0" applyFont="1" applyBorder="1" applyAlignment="1">
      <alignment horizontal="center" vertical="center" wrapText="1"/>
    </xf>
    <xf numFmtId="0" fontId="7" fillId="0" borderId="30" xfId="0" applyFont="1" applyBorder="1" applyAlignment="1">
      <alignment horizontal="center" vertical="center" wrapText="1"/>
    </xf>
    <xf numFmtId="0" fontId="30" fillId="0" borderId="69" xfId="0" applyFont="1" applyBorder="1" applyAlignment="1">
      <alignment horizontal="center" vertical="top" wrapText="1"/>
    </xf>
    <xf numFmtId="0" fontId="51" fillId="0" borderId="33" xfId="0" applyFont="1" applyFill="1" applyBorder="1" applyAlignment="1">
      <alignment horizontal="left" vertical="top" wrapText="1"/>
    </xf>
    <xf numFmtId="0" fontId="51" fillId="0" borderId="27" xfId="0" applyFont="1" applyFill="1" applyBorder="1" applyAlignment="1">
      <alignment horizontal="left" vertical="top" wrapText="1"/>
    </xf>
    <xf numFmtId="0" fontId="51" fillId="0" borderId="60" xfId="0" applyFont="1" applyBorder="1" applyAlignment="1">
      <alignment horizontal="left" vertical="top" wrapText="1"/>
    </xf>
    <xf numFmtId="0" fontId="51" fillId="0" borderId="40" xfId="0" applyFont="1" applyBorder="1" applyAlignment="1">
      <alignment horizontal="left" vertical="top" wrapText="1"/>
    </xf>
    <xf numFmtId="0" fontId="51" fillId="0" borderId="33" xfId="0" applyNumberFormat="1" applyFont="1" applyFill="1" applyBorder="1" applyAlignment="1">
      <alignment horizontal="left" vertical="top" wrapText="1"/>
    </xf>
    <xf numFmtId="0" fontId="51" fillId="0" borderId="27" xfId="0" applyNumberFormat="1" applyFont="1" applyFill="1" applyBorder="1" applyAlignment="1">
      <alignment horizontal="left" vertical="top" wrapText="1"/>
    </xf>
    <xf numFmtId="0" fontId="4" fillId="0" borderId="74" xfId="0" applyFont="1" applyFill="1" applyBorder="1" applyAlignment="1">
      <alignment horizontal="left" vertical="top" wrapText="1"/>
    </xf>
    <xf numFmtId="0" fontId="4" fillId="0" borderId="75" xfId="0" applyFont="1" applyFill="1" applyBorder="1" applyAlignment="1">
      <alignment horizontal="left" vertical="top" wrapText="1"/>
    </xf>
    <xf numFmtId="0" fontId="4" fillId="0" borderId="76" xfId="0" applyFont="1" applyFill="1" applyBorder="1" applyAlignment="1">
      <alignment horizontal="left" vertical="top" wrapText="1"/>
    </xf>
    <xf numFmtId="0" fontId="4" fillId="0" borderId="9" xfId="0" applyFont="1" applyBorder="1" applyAlignment="1">
      <alignment horizontal="left" vertical="top" wrapText="1"/>
    </xf>
    <xf numFmtId="0" fontId="4" fillId="0" borderId="29" xfId="0" applyFont="1" applyFill="1" applyBorder="1" applyAlignment="1">
      <alignment horizontal="left" vertical="top" wrapText="1"/>
    </xf>
    <xf numFmtId="0" fontId="4" fillId="0" borderId="24" xfId="0" applyFont="1" applyFill="1" applyBorder="1" applyAlignment="1">
      <alignment horizontal="left" vertical="top" wrapText="1"/>
    </xf>
    <xf numFmtId="0" fontId="4" fillId="0" borderId="38" xfId="0" applyFont="1" applyBorder="1" applyAlignment="1">
      <alignment horizontal="left" vertical="top" wrapText="1"/>
    </xf>
    <xf numFmtId="0" fontId="4" fillId="0" borderId="70" xfId="0" applyFont="1" applyBorder="1" applyAlignment="1">
      <alignment horizontal="left" vertical="top" wrapText="1"/>
    </xf>
    <xf numFmtId="1" fontId="4" fillId="0" borderId="29" xfId="0" applyNumberFormat="1" applyFont="1" applyFill="1" applyBorder="1" applyAlignment="1">
      <alignment horizontal="left" vertical="top" wrapText="1"/>
    </xf>
    <xf numFmtId="0" fontId="4" fillId="0" borderId="23" xfId="0" applyNumberFormat="1" applyFont="1" applyFill="1" applyBorder="1" applyAlignment="1">
      <alignment horizontal="left" vertical="top" wrapText="1"/>
    </xf>
    <xf numFmtId="0" fontId="4" fillId="0" borderId="46" xfId="0" applyNumberFormat="1" applyFont="1" applyFill="1" applyBorder="1" applyAlignment="1">
      <alignment horizontal="left" vertical="top" wrapText="1"/>
    </xf>
    <xf numFmtId="0" fontId="4" fillId="0" borderId="42" xfId="0" applyNumberFormat="1" applyFont="1" applyFill="1" applyBorder="1" applyAlignment="1">
      <alignment horizontal="left" vertical="top" wrapText="1"/>
    </xf>
    <xf numFmtId="0" fontId="4" fillId="0" borderId="13" xfId="0" applyFont="1" applyBorder="1" applyAlignment="1">
      <alignment vertical="top" wrapText="1"/>
    </xf>
    <xf numFmtId="1" fontId="4" fillId="0" borderId="23" xfId="0" applyNumberFormat="1" applyFont="1" applyBorder="1" applyAlignment="1">
      <alignment horizontal="left" vertical="top" wrapText="1"/>
    </xf>
    <xf numFmtId="1" fontId="4" fillId="0" borderId="46" xfId="0" applyNumberFormat="1" applyFont="1" applyBorder="1" applyAlignment="1">
      <alignment horizontal="left" vertical="top" wrapText="1"/>
    </xf>
    <xf numFmtId="1" fontId="4" fillId="0" borderId="42" xfId="0" applyNumberFormat="1" applyFont="1" applyBorder="1" applyAlignment="1">
      <alignment horizontal="left" vertical="top" wrapText="1"/>
    </xf>
    <xf numFmtId="49" fontId="5" fillId="0" borderId="34" xfId="0" applyNumberFormat="1" applyFont="1" applyBorder="1" applyAlignment="1">
      <alignment vertical="center" wrapText="1"/>
    </xf>
    <xf numFmtId="49" fontId="5" fillId="0" borderId="53" xfId="0" applyNumberFormat="1" applyFont="1" applyBorder="1" applyAlignment="1">
      <alignment vertical="center" wrapText="1"/>
    </xf>
    <xf numFmtId="49" fontId="5" fillId="0" borderId="41" xfId="0" applyNumberFormat="1" applyFont="1" applyBorder="1" applyAlignment="1">
      <alignment vertical="center" wrapText="1"/>
    </xf>
    <xf numFmtId="1" fontId="4" fillId="6" borderId="54" xfId="0" applyNumberFormat="1" applyFont="1" applyFill="1" applyBorder="1" applyAlignment="1">
      <alignment horizontal="left" vertical="center" wrapText="1"/>
    </xf>
    <xf numFmtId="1" fontId="4" fillId="6" borderId="39" xfId="0" applyNumberFormat="1" applyFont="1" applyFill="1" applyBorder="1" applyAlignment="1">
      <alignment horizontal="left" vertical="center" wrapText="1"/>
    </xf>
    <xf numFmtId="1" fontId="4" fillId="6" borderId="33" xfId="0" applyNumberFormat="1" applyFont="1" applyFill="1" applyBorder="1" applyAlignment="1">
      <alignment horizontal="left" vertical="center" wrapText="1"/>
    </xf>
    <xf numFmtId="1" fontId="4" fillId="6" borderId="1" xfId="0" applyNumberFormat="1" applyFont="1" applyFill="1" applyBorder="1" applyAlignment="1">
      <alignment horizontal="left" vertical="center" wrapText="1"/>
    </xf>
    <xf numFmtId="1" fontId="4" fillId="6" borderId="60" xfId="0" applyNumberFormat="1" applyFont="1" applyFill="1" applyBorder="1" applyAlignment="1">
      <alignment horizontal="left" vertical="center" wrapText="1"/>
    </xf>
    <xf numFmtId="1" fontId="4" fillId="6" borderId="47" xfId="0" applyNumberFormat="1" applyFont="1" applyFill="1" applyBorder="1" applyAlignment="1">
      <alignment horizontal="left" vertical="center" wrapText="1"/>
    </xf>
    <xf numFmtId="0" fontId="4" fillId="0" borderId="2" xfId="0" applyFont="1" applyBorder="1" applyAlignment="1">
      <alignment horizontal="left" vertical="top" wrapText="1"/>
    </xf>
    <xf numFmtId="0" fontId="4" fillId="0" borderId="0" xfId="0" applyFont="1" applyAlignment="1">
      <alignment horizontal="center" vertical="top" wrapText="1"/>
    </xf>
    <xf numFmtId="0" fontId="4" fillId="0" borderId="68" xfId="0" applyNumberFormat="1" applyFont="1" applyFill="1" applyBorder="1" applyAlignment="1">
      <alignment horizontal="left" vertical="top" wrapText="1"/>
    </xf>
    <xf numFmtId="0" fontId="4" fillId="0" borderId="64" xfId="0" applyNumberFormat="1" applyFont="1" applyFill="1" applyBorder="1" applyAlignment="1">
      <alignment horizontal="left" vertical="top" wrapText="1"/>
    </xf>
    <xf numFmtId="0" fontId="4" fillId="0" borderId="22" xfId="0" applyNumberFormat="1" applyFont="1" applyFill="1" applyBorder="1" applyAlignment="1">
      <alignment horizontal="left" vertical="top" wrapText="1"/>
    </xf>
    <xf numFmtId="0" fontId="4" fillId="0" borderId="71" xfId="0" applyFont="1" applyBorder="1" applyAlignment="1">
      <alignment horizontal="left" vertical="top" wrapText="1"/>
    </xf>
    <xf numFmtId="0" fontId="4" fillId="0" borderId="18" xfId="0" applyFont="1" applyBorder="1" applyAlignment="1">
      <alignment vertical="top" wrapText="1"/>
    </xf>
    <xf numFmtId="0" fontId="4" fillId="0" borderId="21" xfId="0" applyFont="1" applyBorder="1" applyAlignment="1">
      <alignment vertical="top" wrapText="1"/>
    </xf>
    <xf numFmtId="0" fontId="4" fillId="0" borderId="72" xfId="0" applyFont="1" applyBorder="1" applyAlignment="1">
      <alignment vertical="top" wrapText="1"/>
    </xf>
    <xf numFmtId="2" fontId="4" fillId="0" borderId="34" xfId="0" applyNumberFormat="1" applyFont="1" applyBorder="1" applyAlignment="1">
      <alignment horizontal="left" vertical="center" wrapText="1"/>
    </xf>
    <xf numFmtId="2" fontId="4" fillId="0" borderId="41" xfId="0" applyNumberFormat="1" applyFont="1" applyBorder="1" applyAlignment="1">
      <alignment horizontal="left" vertical="center" wrapText="1"/>
    </xf>
    <xf numFmtId="0" fontId="4" fillId="0" borderId="23" xfId="0" applyFont="1" applyBorder="1" applyAlignment="1">
      <alignment horizontal="left" vertical="center" wrapText="1"/>
    </xf>
    <xf numFmtId="0" fontId="4" fillId="0" borderId="46" xfId="0" applyFont="1" applyBorder="1" applyAlignment="1">
      <alignment horizontal="left" vertical="center" wrapText="1"/>
    </xf>
    <xf numFmtId="0" fontId="4" fillId="0" borderId="42" xfId="0" applyFont="1" applyBorder="1" applyAlignment="1">
      <alignment horizontal="left" vertical="center" wrapText="1"/>
    </xf>
    <xf numFmtId="0" fontId="46" fillId="0" borderId="33" xfId="0" applyFont="1" applyBorder="1" applyAlignment="1">
      <alignment horizontal="left" vertical="top" wrapText="1"/>
    </xf>
    <xf numFmtId="0" fontId="46" fillId="0" borderId="27" xfId="0" applyFont="1" applyBorder="1" applyAlignment="1">
      <alignment horizontal="left" vertical="top" wrapText="1"/>
    </xf>
    <xf numFmtId="0" fontId="4" fillId="0" borderId="33" xfId="0" applyNumberFormat="1" applyFont="1" applyFill="1" applyBorder="1" applyAlignment="1">
      <alignment horizontal="left" vertical="top" wrapText="1"/>
    </xf>
    <xf numFmtId="0" fontId="4" fillId="0" borderId="27" xfId="0" applyNumberFormat="1" applyFont="1" applyFill="1" applyBorder="1" applyAlignment="1">
      <alignment horizontal="left" vertical="top" wrapText="1"/>
    </xf>
    <xf numFmtId="0" fontId="4" fillId="0" borderId="33" xfId="0" applyNumberFormat="1" applyFont="1" applyBorder="1" applyAlignment="1">
      <alignment horizontal="left" vertical="top" wrapText="1"/>
    </xf>
    <xf numFmtId="0" fontId="4" fillId="0" borderId="27" xfId="0" applyNumberFormat="1" applyFont="1" applyBorder="1" applyAlignment="1">
      <alignment horizontal="left" vertical="top" wrapText="1"/>
    </xf>
    <xf numFmtId="0" fontId="7" fillId="0" borderId="34" xfId="0" applyFont="1" applyFill="1" applyBorder="1" applyAlignment="1">
      <alignment horizontal="center" vertical="center" wrapText="1"/>
    </xf>
    <xf numFmtId="0" fontId="7" fillId="0" borderId="41" xfId="0" applyFont="1" applyFill="1" applyBorder="1" applyAlignment="1">
      <alignment horizontal="center" vertical="center" wrapText="1"/>
    </xf>
    <xf numFmtId="0" fontId="4" fillId="0" borderId="54" xfId="0" applyFont="1" applyFill="1" applyBorder="1" applyAlignment="1">
      <alignment horizontal="left" vertical="top" wrapText="1"/>
    </xf>
    <xf numFmtId="0" fontId="4" fillId="0" borderId="55" xfId="0" applyFont="1" applyFill="1" applyBorder="1" applyAlignment="1">
      <alignment horizontal="left" vertical="top" wrapText="1"/>
    </xf>
    <xf numFmtId="0" fontId="4" fillId="0" borderId="23" xfId="0" applyFont="1" applyFill="1" applyBorder="1" applyAlignment="1">
      <alignment horizontal="center" vertical="top" wrapText="1"/>
    </xf>
    <xf numFmtId="0" fontId="4" fillId="0" borderId="46" xfId="0" applyFont="1" applyFill="1" applyBorder="1" applyAlignment="1">
      <alignment horizontal="center" vertical="top" wrapText="1"/>
    </xf>
    <xf numFmtId="0" fontId="4" fillId="0" borderId="42" xfId="0" applyFont="1" applyFill="1" applyBorder="1" applyAlignment="1">
      <alignment horizontal="center" vertical="top" wrapText="1"/>
    </xf>
    <xf numFmtId="2" fontId="4" fillId="6" borderId="54" xfId="0" applyNumberFormat="1" applyFont="1" applyFill="1" applyBorder="1" applyAlignment="1">
      <alignment horizontal="left" vertical="center" wrapText="1"/>
    </xf>
    <xf numFmtId="2" fontId="4" fillId="6" borderId="39" xfId="0" applyNumberFormat="1" applyFont="1" applyFill="1" applyBorder="1" applyAlignment="1">
      <alignment horizontal="left" vertical="center" wrapText="1"/>
    </xf>
    <xf numFmtId="2" fontId="4" fillId="0" borderId="23" xfId="0" applyNumberFormat="1" applyFont="1" applyFill="1" applyBorder="1" applyAlignment="1">
      <alignment horizontal="left" vertical="top" wrapText="1"/>
    </xf>
    <xf numFmtId="2" fontId="4" fillId="0" borderId="46" xfId="0" applyNumberFormat="1" applyFont="1" applyFill="1" applyBorder="1" applyAlignment="1">
      <alignment horizontal="left" vertical="top" wrapText="1"/>
    </xf>
    <xf numFmtId="2" fontId="4" fillId="0" borderId="42" xfId="0" applyNumberFormat="1" applyFont="1" applyFill="1" applyBorder="1" applyAlignment="1">
      <alignment horizontal="left" vertical="top" wrapText="1"/>
    </xf>
    <xf numFmtId="2" fontId="4" fillId="6" borderId="33" xfId="0" applyNumberFormat="1" applyFont="1" applyFill="1" applyBorder="1" applyAlignment="1">
      <alignment horizontal="left" vertical="center" wrapText="1"/>
    </xf>
    <xf numFmtId="2" fontId="4" fillId="6" borderId="1" xfId="0" applyNumberFormat="1" applyFont="1" applyFill="1" applyBorder="1" applyAlignment="1">
      <alignment horizontal="left" vertical="center" wrapText="1"/>
    </xf>
    <xf numFmtId="2" fontId="4" fillId="6" borderId="60" xfId="0" applyNumberFormat="1" applyFont="1" applyFill="1" applyBorder="1" applyAlignment="1">
      <alignment horizontal="left" vertical="center" wrapText="1"/>
    </xf>
    <xf numFmtId="2" fontId="4" fillId="6" borderId="47" xfId="0" applyNumberFormat="1" applyFont="1" applyFill="1" applyBorder="1" applyAlignment="1">
      <alignment horizontal="left" vertical="center" wrapText="1"/>
    </xf>
    <xf numFmtId="2" fontId="4" fillId="0" borderId="67" xfId="0" applyNumberFormat="1" applyFont="1" applyFill="1" applyBorder="1" applyAlignment="1">
      <alignment horizontal="left" vertical="top" wrapText="1"/>
    </xf>
    <xf numFmtId="2" fontId="4" fillId="0" borderId="38" xfId="0" applyNumberFormat="1" applyFont="1" applyFill="1" applyBorder="1" applyAlignment="1">
      <alignment horizontal="left" vertical="top" wrapText="1"/>
    </xf>
    <xf numFmtId="2" fontId="4" fillId="0" borderId="70" xfId="0" applyNumberFormat="1" applyFont="1" applyFill="1" applyBorder="1" applyAlignment="1">
      <alignment horizontal="left" vertical="top" wrapText="1"/>
    </xf>
    <xf numFmtId="0" fontId="4" fillId="0" borderId="10" xfId="0" applyFont="1" applyBorder="1" applyAlignment="1">
      <alignment horizontal="center" vertical="top" wrapText="1"/>
    </xf>
    <xf numFmtId="0" fontId="4" fillId="0" borderId="34" xfId="0" applyFont="1" applyBorder="1" applyAlignment="1">
      <alignment horizontal="left" vertical="center" wrapText="1"/>
    </xf>
    <xf numFmtId="0" fontId="4" fillId="0" borderId="41" xfId="0" applyFont="1" applyBorder="1" applyAlignment="1">
      <alignment horizontal="left" vertical="center" wrapText="1"/>
    </xf>
    <xf numFmtId="2" fontId="4" fillId="0" borderId="64" xfId="0" applyNumberFormat="1" applyFont="1" applyFill="1" applyBorder="1" applyAlignment="1">
      <alignment horizontal="left" vertical="top" wrapText="1"/>
    </xf>
    <xf numFmtId="0" fontId="4" fillId="0" borderId="67" xfId="0" applyFont="1" applyBorder="1" applyAlignment="1">
      <alignment horizontal="left" vertical="top" wrapText="1"/>
    </xf>
    <xf numFmtId="1" fontId="4" fillId="0" borderId="64" xfId="0" applyNumberFormat="1" applyFont="1" applyBorder="1" applyAlignment="1">
      <alignment horizontal="center" vertical="center" wrapText="1"/>
    </xf>
    <xf numFmtId="1" fontId="4" fillId="0" borderId="0" xfId="0" applyNumberFormat="1" applyFont="1" applyBorder="1" applyAlignment="1">
      <alignment horizontal="center" vertical="center" wrapText="1"/>
    </xf>
    <xf numFmtId="0" fontId="70" fillId="0" borderId="32" xfId="0" applyFont="1" applyBorder="1" applyAlignment="1">
      <alignment horizontal="center" vertical="top" wrapText="1"/>
    </xf>
    <xf numFmtId="0" fontId="4" fillId="0" borderId="54" xfId="0" applyFont="1" applyBorder="1" applyAlignment="1">
      <alignment horizontal="left" vertical="top" wrapText="1"/>
    </xf>
    <xf numFmtId="0" fontId="4" fillId="0" borderId="55" xfId="0" applyFont="1" applyBorder="1" applyAlignment="1">
      <alignment horizontal="left" vertical="top" wrapText="1"/>
    </xf>
    <xf numFmtId="0" fontId="4" fillId="0" borderId="29" xfId="0" applyFont="1" applyFill="1" applyBorder="1" applyAlignment="1">
      <alignment vertical="top" wrapText="1"/>
    </xf>
    <xf numFmtId="0" fontId="4" fillId="0" borderId="21" xfId="0" applyFont="1" applyFill="1" applyBorder="1" applyAlignment="1">
      <alignment vertical="top" wrapText="1"/>
    </xf>
    <xf numFmtId="0" fontId="4" fillId="0" borderId="24" xfId="0" applyFont="1" applyFill="1" applyBorder="1" applyAlignment="1">
      <alignment vertical="top" wrapText="1"/>
    </xf>
    <xf numFmtId="1" fontId="4" fillId="0" borderId="59" xfId="0" applyNumberFormat="1" applyFont="1" applyFill="1" applyBorder="1" applyAlignment="1">
      <alignment horizontal="center" vertical="top" wrapText="1"/>
    </xf>
    <xf numFmtId="0" fontId="4" fillId="0" borderId="18" xfId="0" applyFont="1" applyFill="1" applyBorder="1" applyAlignment="1">
      <alignment vertical="top" wrapText="1"/>
    </xf>
    <xf numFmtId="0" fontId="4" fillId="0" borderId="72" xfId="0" applyFont="1" applyFill="1" applyBorder="1" applyAlignment="1">
      <alignment vertical="top" wrapText="1"/>
    </xf>
    <xf numFmtId="1" fontId="4" fillId="6" borderId="33" xfId="0" applyNumberFormat="1" applyFont="1" applyFill="1" applyBorder="1" applyAlignment="1">
      <alignment horizontal="right" vertical="center" wrapText="1"/>
    </xf>
    <xf numFmtId="1" fontId="4" fillId="6" borderId="1" xfId="0" applyNumberFormat="1" applyFont="1" applyFill="1" applyBorder="1" applyAlignment="1">
      <alignment horizontal="right" vertical="center" wrapText="1"/>
    </xf>
    <xf numFmtId="0" fontId="4" fillId="0" borderId="13" xfId="0" applyFont="1" applyFill="1" applyBorder="1" applyAlignment="1">
      <alignment vertical="top" wrapText="1"/>
    </xf>
    <xf numFmtId="1" fontId="4" fillId="0" borderId="23" xfId="0" applyNumberFormat="1" applyFont="1" applyFill="1" applyBorder="1" applyAlignment="1">
      <alignment horizontal="left" vertical="top" wrapText="1"/>
    </xf>
    <xf numFmtId="1" fontId="4" fillId="0" borderId="42" xfId="0" applyNumberFormat="1" applyFont="1" applyFill="1" applyBorder="1" applyAlignment="1">
      <alignment horizontal="left" vertical="top" wrapText="1"/>
    </xf>
    <xf numFmtId="1" fontId="4" fillId="0" borderId="67" xfId="0" applyNumberFormat="1" applyFont="1" applyFill="1" applyBorder="1" applyAlignment="1">
      <alignment horizontal="left" vertical="top" wrapText="1"/>
    </xf>
    <xf numFmtId="1" fontId="4" fillId="0" borderId="38" xfId="0" applyNumberFormat="1" applyFont="1" applyFill="1" applyBorder="1" applyAlignment="1">
      <alignment horizontal="left" vertical="top" wrapText="1"/>
    </xf>
    <xf numFmtId="1" fontId="4" fillId="0" borderId="70" xfId="0" applyNumberFormat="1" applyFont="1" applyFill="1" applyBorder="1" applyAlignment="1">
      <alignment horizontal="left" vertical="top" wrapText="1"/>
    </xf>
    <xf numFmtId="0" fontId="4" fillId="6" borderId="33" xfId="0" applyFont="1" applyFill="1" applyBorder="1" applyAlignment="1">
      <alignment vertical="center" wrapText="1"/>
    </xf>
    <xf numFmtId="0" fontId="4" fillId="6" borderId="1" xfId="0" applyFont="1" applyFill="1" applyBorder="1" applyAlignment="1">
      <alignment vertical="center" wrapText="1"/>
    </xf>
    <xf numFmtId="1" fontId="4" fillId="0" borderId="25" xfId="0" applyNumberFormat="1" applyFont="1" applyFill="1" applyBorder="1" applyAlignment="1">
      <alignment horizontal="left" vertical="top" wrapText="1"/>
    </xf>
    <xf numFmtId="1" fontId="4" fillId="0" borderId="26" xfId="0" applyNumberFormat="1" applyFont="1" applyFill="1" applyBorder="1" applyAlignment="1">
      <alignment horizontal="left" vertical="top" wrapText="1"/>
    </xf>
    <xf numFmtId="1" fontId="4" fillId="0" borderId="20" xfId="0" applyNumberFormat="1" applyFont="1" applyFill="1" applyBorder="1" applyAlignment="1">
      <alignment horizontal="left" vertical="top" wrapText="1"/>
    </xf>
    <xf numFmtId="1" fontId="4" fillId="0" borderId="0" xfId="0" applyNumberFormat="1" applyFont="1" applyFill="1" applyBorder="1" applyAlignment="1">
      <alignment horizontal="center" vertical="top" wrapText="1"/>
    </xf>
    <xf numFmtId="0" fontId="69" fillId="11" borderId="43" xfId="0" applyFont="1" applyFill="1" applyBorder="1" applyAlignment="1">
      <alignment horizontal="center" vertical="top" wrapText="1"/>
    </xf>
    <xf numFmtId="0" fontId="69" fillId="11" borderId="61" xfId="0" applyFont="1" applyFill="1" applyBorder="1" applyAlignment="1">
      <alignment horizontal="center" vertical="top" wrapText="1"/>
    </xf>
    <xf numFmtId="1" fontId="4" fillId="0" borderId="18" xfId="0" applyNumberFormat="1" applyFont="1" applyFill="1" applyBorder="1" applyAlignment="1">
      <alignment horizontal="left" vertical="top" wrapText="1"/>
    </xf>
    <xf numFmtId="1" fontId="4" fillId="0" borderId="21" xfId="0" applyNumberFormat="1" applyFont="1" applyFill="1" applyBorder="1" applyAlignment="1">
      <alignment horizontal="left" vertical="top" wrapText="1"/>
    </xf>
    <xf numFmtId="1" fontId="4" fillId="0" borderId="24" xfId="0" applyNumberFormat="1" applyFont="1" applyFill="1" applyBorder="1" applyAlignment="1">
      <alignment horizontal="left" vertical="top" wrapText="1"/>
    </xf>
    <xf numFmtId="0" fontId="7" fillId="0" borderId="68" xfId="0" applyFont="1" applyFill="1" applyBorder="1" applyAlignment="1">
      <alignment horizontal="center" vertical="center" wrapText="1"/>
    </xf>
    <xf numFmtId="0" fontId="7" fillId="0" borderId="30" xfId="0" applyFont="1" applyFill="1" applyBorder="1" applyAlignment="1">
      <alignment horizontal="center" vertical="center" wrapText="1"/>
    </xf>
    <xf numFmtId="0" fontId="4" fillId="0" borderId="23" xfId="0" applyFont="1" applyBorder="1" applyAlignment="1">
      <alignment horizontal="left" vertical="top"/>
    </xf>
    <xf numFmtId="0" fontId="4" fillId="0" borderId="46" xfId="0" applyFont="1" applyBorder="1" applyAlignment="1">
      <alignment horizontal="left" vertical="top"/>
    </xf>
    <xf numFmtId="0" fontId="4" fillId="0" borderId="42" xfId="0" applyFont="1" applyBorder="1" applyAlignment="1">
      <alignment horizontal="left" vertical="top"/>
    </xf>
    <xf numFmtId="1" fontId="34" fillId="0" borderId="64" xfId="0" applyNumberFormat="1" applyFont="1" applyBorder="1" applyAlignment="1">
      <alignment horizontal="center" vertical="center"/>
    </xf>
    <xf numFmtId="1" fontId="34" fillId="0" borderId="0" xfId="0" applyNumberFormat="1" applyFont="1" applyBorder="1" applyAlignment="1">
      <alignment horizontal="center" vertical="center"/>
    </xf>
    <xf numFmtId="0" fontId="4" fillId="0" borderId="13" xfId="0" applyNumberFormat="1" applyFont="1" applyFill="1" applyBorder="1" applyAlignment="1">
      <alignment horizontal="left" vertical="top" wrapText="1"/>
    </xf>
    <xf numFmtId="1" fontId="4" fillId="6" borderId="33" xfId="0" applyNumberFormat="1" applyFont="1" applyFill="1" applyBorder="1" applyAlignment="1">
      <alignment horizontal="left" vertical="center"/>
    </xf>
    <xf numFmtId="1" fontId="4" fillId="6" borderId="1" xfId="0" applyNumberFormat="1" applyFont="1" applyFill="1" applyBorder="1" applyAlignment="1">
      <alignment horizontal="left" vertical="center"/>
    </xf>
    <xf numFmtId="1" fontId="4" fillId="6" borderId="60" xfId="0" applyNumberFormat="1" applyFont="1" applyFill="1" applyBorder="1" applyAlignment="1">
      <alignment horizontal="left" vertical="center"/>
    </xf>
    <xf numFmtId="1" fontId="4" fillId="6" borderId="47" xfId="0" applyNumberFormat="1" applyFont="1" applyFill="1" applyBorder="1" applyAlignment="1">
      <alignment horizontal="left" vertical="center"/>
    </xf>
    <xf numFmtId="0" fontId="4" fillId="0" borderId="59" xfId="0" applyFont="1" applyFill="1" applyBorder="1" applyAlignment="1">
      <alignment horizontal="center" vertical="top" wrapText="1"/>
    </xf>
    <xf numFmtId="0" fontId="4" fillId="0" borderId="0" xfId="0" applyFont="1" applyFill="1" applyBorder="1" applyAlignment="1">
      <alignment horizontal="center" vertical="top" wrapText="1"/>
    </xf>
    <xf numFmtId="0" fontId="4" fillId="0" borderId="10" xfId="0" applyFont="1" applyBorder="1" applyAlignment="1">
      <alignment horizontal="center" vertical="top"/>
    </xf>
    <xf numFmtId="0" fontId="4" fillId="0" borderId="0" xfId="0" applyFont="1" applyBorder="1" applyAlignment="1">
      <alignment horizontal="center" vertical="top"/>
    </xf>
    <xf numFmtId="0" fontId="4" fillId="0" borderId="69" xfId="0" applyFont="1" applyBorder="1" applyAlignment="1">
      <alignment horizontal="center" vertical="top"/>
    </xf>
    <xf numFmtId="0" fontId="4" fillId="0" borderId="8" xfId="0"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9" xfId="0" applyFont="1" applyFill="1" applyBorder="1" applyAlignment="1">
      <alignment horizontal="left" vertical="top" wrapText="1"/>
    </xf>
    <xf numFmtId="0" fontId="4" fillId="3" borderId="46" xfId="0" applyFont="1" applyFill="1" applyBorder="1" applyAlignment="1">
      <alignment horizontal="left" vertical="top" wrapText="1"/>
    </xf>
    <xf numFmtId="0" fontId="4" fillId="3" borderId="42" xfId="0" applyFont="1" applyFill="1" applyBorder="1" applyAlignment="1">
      <alignment horizontal="left" vertical="top" wrapText="1"/>
    </xf>
    <xf numFmtId="0" fontId="4" fillId="0" borderId="25" xfId="0" applyFont="1" applyFill="1" applyBorder="1" applyAlignment="1">
      <alignment horizontal="left" vertical="top" wrapText="1"/>
    </xf>
    <xf numFmtId="0" fontId="4" fillId="0" borderId="26" xfId="0" applyFont="1" applyFill="1" applyBorder="1" applyAlignment="1">
      <alignment horizontal="left" vertical="top" wrapText="1"/>
    </xf>
    <xf numFmtId="0" fontId="4" fillId="0" borderId="20" xfId="0" applyFont="1" applyFill="1" applyBorder="1" applyAlignment="1">
      <alignment horizontal="left" vertical="top" wrapText="1"/>
    </xf>
    <xf numFmtId="1" fontId="4" fillId="0" borderId="64" xfId="0" applyNumberFormat="1" applyFont="1" applyBorder="1" applyAlignment="1">
      <alignment horizontal="center" vertical="top"/>
    </xf>
    <xf numFmtId="1" fontId="4" fillId="0" borderId="0" xfId="0" applyNumberFormat="1" applyFont="1" applyBorder="1" applyAlignment="1">
      <alignment horizontal="center" vertical="top"/>
    </xf>
    <xf numFmtId="0" fontId="69" fillId="11" borderId="37" xfId="0" applyFont="1" applyFill="1" applyBorder="1" applyAlignment="1">
      <alignment horizontal="center" vertical="top" wrapText="1"/>
    </xf>
    <xf numFmtId="0" fontId="4" fillId="0" borderId="46" xfId="0" applyFont="1" applyFill="1" applyBorder="1" applyAlignment="1">
      <alignment wrapText="1"/>
    </xf>
    <xf numFmtId="0" fontId="4" fillId="0" borderId="42" xfId="0" applyFont="1" applyFill="1" applyBorder="1" applyAlignment="1">
      <alignment wrapText="1"/>
    </xf>
    <xf numFmtId="0" fontId="4" fillId="0" borderId="59" xfId="0" applyNumberFormat="1" applyFont="1" applyBorder="1" applyAlignment="1">
      <alignment horizontal="center" vertical="top" wrapText="1"/>
    </xf>
    <xf numFmtId="0" fontId="4" fillId="0" borderId="0" xfId="0" applyNumberFormat="1" applyFont="1" applyBorder="1" applyAlignment="1">
      <alignment horizontal="center" vertical="top" wrapText="1"/>
    </xf>
    <xf numFmtId="1" fontId="4" fillId="6" borderId="54" xfId="0" applyNumberFormat="1" applyFont="1" applyFill="1" applyBorder="1" applyAlignment="1">
      <alignment horizontal="left" vertical="center"/>
    </xf>
    <xf numFmtId="1" fontId="4" fillId="6" borderId="39" xfId="0" applyNumberFormat="1" applyFont="1" applyFill="1" applyBorder="1" applyAlignment="1">
      <alignment horizontal="left" vertical="center"/>
    </xf>
    <xf numFmtId="0" fontId="4" fillId="0" borderId="29" xfId="0" applyFont="1" applyBorder="1" applyAlignment="1">
      <alignment vertical="top" wrapText="1"/>
    </xf>
    <xf numFmtId="0" fontId="4" fillId="0" borderId="24" xfId="0" applyFont="1" applyBorder="1" applyAlignment="1">
      <alignment vertical="top" wrapText="1"/>
    </xf>
    <xf numFmtId="0" fontId="4" fillId="0" borderId="19" xfId="0" applyFont="1" applyFill="1" applyBorder="1" applyAlignment="1">
      <alignment horizontal="left" vertical="top" wrapText="1"/>
    </xf>
    <xf numFmtId="0" fontId="4" fillId="0" borderId="62" xfId="0" applyFont="1" applyFill="1" applyBorder="1" applyAlignment="1">
      <alignment horizontal="left" vertical="top" wrapText="1"/>
    </xf>
    <xf numFmtId="1" fontId="4" fillId="0" borderId="13" xfId="0" applyNumberFormat="1" applyFont="1" applyBorder="1" applyAlignment="1">
      <alignment horizontal="left" vertical="top" wrapText="1"/>
    </xf>
    <xf numFmtId="1" fontId="4" fillId="0" borderId="25" xfId="0" applyNumberFormat="1" applyFont="1" applyBorder="1" applyAlignment="1">
      <alignment horizontal="left" vertical="top" wrapText="1"/>
    </xf>
    <xf numFmtId="1" fontId="4" fillId="0" borderId="26" xfId="0" applyNumberFormat="1" applyFont="1" applyBorder="1" applyAlignment="1">
      <alignment horizontal="left" vertical="top" wrapText="1"/>
    </xf>
    <xf numFmtId="1" fontId="4" fillId="0" borderId="20" xfId="0" applyNumberFormat="1" applyFont="1" applyBorder="1" applyAlignment="1">
      <alignment horizontal="left" vertical="top" wrapText="1"/>
    </xf>
    <xf numFmtId="0" fontId="4" fillId="0" borderId="0" xfId="0" applyFont="1" applyFill="1" applyBorder="1" applyAlignment="1">
      <alignment horizontal="left" vertical="top" wrapText="1"/>
    </xf>
    <xf numFmtId="0" fontId="4" fillId="0" borderId="10" xfId="0" applyFont="1" applyFill="1" applyBorder="1" applyAlignment="1">
      <alignment horizontal="left" vertical="top" wrapText="1"/>
    </xf>
    <xf numFmtId="0" fontId="4" fillId="0" borderId="0" xfId="0" applyNumberFormat="1" applyFont="1" applyFill="1" applyBorder="1" applyAlignment="1">
      <alignment horizontal="center" vertical="top" wrapText="1"/>
    </xf>
    <xf numFmtId="0" fontId="4" fillId="0" borderId="69" xfId="0" applyNumberFormat="1" applyFont="1" applyFill="1" applyBorder="1" applyAlignment="1">
      <alignment horizontal="center" vertical="top" wrapText="1"/>
    </xf>
    <xf numFmtId="0" fontId="4" fillId="0" borderId="10" xfId="0" applyNumberFormat="1" applyFont="1" applyFill="1" applyBorder="1" applyAlignment="1">
      <alignment horizontal="center" vertical="top" wrapText="1"/>
    </xf>
    <xf numFmtId="0" fontId="4" fillId="3" borderId="23" xfId="0" applyFont="1" applyFill="1" applyBorder="1" applyAlignment="1">
      <alignment horizontal="left" vertical="top" wrapText="1"/>
    </xf>
    <xf numFmtId="0" fontId="46" fillId="0" borderId="60" xfId="0" applyFont="1" applyFill="1" applyBorder="1" applyAlignment="1">
      <alignment horizontal="left" vertical="top" wrapText="1"/>
    </xf>
    <xf numFmtId="0" fontId="46" fillId="0" borderId="40" xfId="0" applyFont="1" applyFill="1" applyBorder="1" applyAlignment="1">
      <alignment horizontal="left" vertical="top" wrapText="1"/>
    </xf>
    <xf numFmtId="1" fontId="34" fillId="0" borderId="64" xfId="0" applyNumberFormat="1" applyFont="1" applyFill="1" applyBorder="1" applyAlignment="1">
      <alignment horizontal="center" vertical="center"/>
    </xf>
    <xf numFmtId="1" fontId="34" fillId="0" borderId="0" xfId="0" applyNumberFormat="1" applyFont="1" applyFill="1" applyBorder="1" applyAlignment="1">
      <alignment horizontal="center" vertical="center"/>
    </xf>
    <xf numFmtId="1" fontId="4" fillId="0" borderId="23" xfId="0" applyNumberFormat="1" applyFont="1" applyFill="1" applyBorder="1" applyAlignment="1">
      <alignment vertical="top" wrapText="1"/>
    </xf>
    <xf numFmtId="1" fontId="4" fillId="0" borderId="68" xfId="0" applyNumberFormat="1" applyFont="1" applyFill="1" applyBorder="1" applyAlignment="1">
      <alignment vertical="top" wrapText="1"/>
    </xf>
    <xf numFmtId="1" fontId="4" fillId="0" borderId="64" xfId="0" applyNumberFormat="1" applyFont="1" applyFill="1" applyBorder="1" applyAlignment="1">
      <alignment vertical="top" wrapText="1"/>
    </xf>
    <xf numFmtId="1" fontId="4" fillId="0" borderId="22" xfId="0" applyNumberFormat="1" applyFont="1" applyFill="1" applyBorder="1" applyAlignment="1">
      <alignment vertical="top" wrapText="1"/>
    </xf>
    <xf numFmtId="0" fontId="9" fillId="0" borderId="46" xfId="0" applyFont="1" applyFill="1" applyBorder="1">
      <alignment vertical="top"/>
    </xf>
    <xf numFmtId="0" fontId="9" fillId="0" borderId="42" xfId="0" applyFont="1" applyFill="1" applyBorder="1">
      <alignment vertical="top"/>
    </xf>
    <xf numFmtId="0" fontId="4" fillId="0" borderId="59" xfId="0" applyFont="1" applyBorder="1" applyAlignment="1">
      <alignment horizontal="left" vertical="top" wrapText="1"/>
    </xf>
    <xf numFmtId="0" fontId="4" fillId="0" borderId="0" xfId="0" applyFont="1" applyBorder="1" applyAlignment="1">
      <alignment horizontal="left" vertical="top" wrapText="1"/>
    </xf>
    <xf numFmtId="0" fontId="4" fillId="0" borderId="10" xfId="0" applyFont="1" applyBorder="1" applyAlignment="1">
      <alignment horizontal="left" vertical="top" wrapText="1"/>
    </xf>
    <xf numFmtId="0" fontId="4" fillId="0" borderId="69" xfId="0" applyNumberFormat="1" applyFont="1" applyBorder="1" applyAlignment="1">
      <alignment horizontal="center" vertical="top" wrapText="1"/>
    </xf>
    <xf numFmtId="0" fontId="4" fillId="0" borderId="10" xfId="0" applyNumberFormat="1" applyFont="1" applyBorder="1" applyAlignment="1">
      <alignment horizontal="center" vertical="top" wrapText="1"/>
    </xf>
    <xf numFmtId="1" fontId="4" fillId="6" borderId="15" xfId="0" applyNumberFormat="1" applyFont="1" applyFill="1" applyBorder="1" applyAlignment="1">
      <alignment horizontal="left" vertical="center"/>
    </xf>
    <xf numFmtId="1" fontId="4" fillId="6" borderId="6" xfId="0" applyNumberFormat="1" applyFont="1" applyFill="1" applyBorder="1" applyAlignment="1">
      <alignment horizontal="left" vertical="center"/>
    </xf>
    <xf numFmtId="0" fontId="4" fillId="6" borderId="26" xfId="0" applyFont="1" applyFill="1" applyBorder="1" applyAlignment="1">
      <alignment horizontal="left" vertical="center"/>
    </xf>
    <xf numFmtId="0" fontId="4" fillId="6" borderId="15" xfId="0" applyFont="1" applyFill="1" applyBorder="1" applyAlignment="1">
      <alignment horizontal="left" vertical="center"/>
    </xf>
    <xf numFmtId="0" fontId="4" fillId="6" borderId="6" xfId="0" applyFont="1" applyFill="1" applyBorder="1" applyAlignment="1">
      <alignment horizontal="left" vertical="center"/>
    </xf>
    <xf numFmtId="1" fontId="4" fillId="6" borderId="26" xfId="0" applyNumberFormat="1" applyFont="1" applyFill="1" applyBorder="1" applyAlignment="1">
      <alignment horizontal="left" vertical="center"/>
    </xf>
    <xf numFmtId="0" fontId="7" fillId="0" borderId="34" xfId="0" applyFont="1" applyFill="1" applyBorder="1" applyAlignment="1">
      <alignment horizontal="center" wrapText="1"/>
    </xf>
    <xf numFmtId="0" fontId="7" fillId="0" borderId="41" xfId="0" applyFont="1" applyFill="1" applyBorder="1" applyAlignment="1">
      <alignment horizontal="center" wrapText="1"/>
    </xf>
    <xf numFmtId="1" fontId="4" fillId="6" borderId="20" xfId="0" applyNumberFormat="1" applyFont="1" applyFill="1" applyBorder="1" applyAlignment="1">
      <alignment horizontal="left" vertical="center"/>
    </xf>
    <xf numFmtId="1" fontId="4" fillId="6" borderId="36" xfId="0" applyNumberFormat="1" applyFont="1" applyFill="1" applyBorder="1" applyAlignment="1">
      <alignment horizontal="left" vertical="center"/>
    </xf>
    <xf numFmtId="1" fontId="4" fillId="6" borderId="50" xfId="0" applyNumberFormat="1" applyFont="1" applyFill="1" applyBorder="1" applyAlignment="1">
      <alignment horizontal="left" vertical="center"/>
    </xf>
    <xf numFmtId="0" fontId="69" fillId="11" borderId="16" xfId="0" applyFont="1" applyFill="1" applyBorder="1" applyAlignment="1">
      <alignment vertical="top" wrapText="1"/>
    </xf>
    <xf numFmtId="0" fontId="44" fillId="0" borderId="49" xfId="0" applyFont="1" applyFill="1" applyBorder="1" applyAlignment="1">
      <alignment horizontal="left" vertical="top" wrapText="1"/>
    </xf>
    <xf numFmtId="0" fontId="44" fillId="0" borderId="13" xfId="0" applyFont="1" applyFill="1" applyBorder="1" applyAlignment="1">
      <alignment horizontal="left" vertical="top" wrapText="1"/>
    </xf>
    <xf numFmtId="0" fontId="44" fillId="0" borderId="58" xfId="0" applyFont="1" applyFill="1" applyBorder="1" applyAlignment="1">
      <alignment horizontal="left" vertical="top" wrapText="1"/>
    </xf>
    <xf numFmtId="0" fontId="44" fillId="0" borderId="23" xfId="0" applyFont="1" applyFill="1" applyBorder="1" applyAlignment="1">
      <alignment vertical="top" wrapText="1"/>
    </xf>
    <xf numFmtId="0" fontId="44" fillId="0" borderId="46" xfId="0" applyFont="1" applyFill="1" applyBorder="1" applyAlignment="1">
      <alignment vertical="top" wrapText="1"/>
    </xf>
    <xf numFmtId="0" fontId="44" fillId="0" borderId="42" xfId="0" applyFont="1" applyFill="1" applyBorder="1" applyAlignment="1">
      <alignment vertical="top" wrapText="1"/>
    </xf>
    <xf numFmtId="0" fontId="4" fillId="0" borderId="58" xfId="0" applyFont="1" applyBorder="1" applyAlignment="1">
      <alignment horizontal="left" vertical="top" wrapText="1"/>
    </xf>
    <xf numFmtId="1" fontId="4" fillId="6" borderId="25" xfId="0" applyNumberFormat="1" applyFont="1" applyFill="1" applyBorder="1" applyAlignment="1">
      <alignment horizontal="left" vertical="center"/>
    </xf>
    <xf numFmtId="1" fontId="4" fillId="6" borderId="63" xfId="0" applyNumberFormat="1" applyFont="1" applyFill="1" applyBorder="1" applyAlignment="1">
      <alignment horizontal="left" vertical="center"/>
    </xf>
    <xf numFmtId="1" fontId="4" fillId="6" borderId="66" xfId="0" applyNumberFormat="1" applyFont="1" applyFill="1" applyBorder="1" applyAlignment="1">
      <alignment horizontal="left" vertical="center"/>
    </xf>
    <xf numFmtId="49" fontId="46" fillId="0" borderId="54" xfId="0" applyNumberFormat="1" applyFont="1" applyBorder="1" applyAlignment="1">
      <alignment horizontal="left" vertical="top" wrapText="1"/>
    </xf>
    <xf numFmtId="49" fontId="46" fillId="0" borderId="55" xfId="0" applyNumberFormat="1" applyFont="1" applyBorder="1" applyAlignment="1">
      <alignment horizontal="left" vertical="top" wrapText="1"/>
    </xf>
    <xf numFmtId="0" fontId="46" fillId="0" borderId="60" xfId="0" applyFont="1" applyBorder="1" applyAlignment="1">
      <alignment horizontal="left" vertical="top" wrapText="1"/>
    </xf>
    <xf numFmtId="0" fontId="46" fillId="0" borderId="40" xfId="0" applyFont="1" applyBorder="1" applyAlignment="1">
      <alignment horizontal="left" vertical="top" wrapText="1"/>
    </xf>
    <xf numFmtId="1" fontId="28" fillId="0" borderId="22" xfId="0" applyNumberFormat="1" applyFont="1" applyBorder="1" applyAlignment="1">
      <alignment horizontal="center" vertical="center"/>
    </xf>
    <xf numFmtId="1" fontId="28" fillId="0" borderId="10" xfId="0" applyNumberFormat="1" applyFont="1" applyBorder="1" applyAlignment="1">
      <alignment horizontal="center" vertical="center"/>
    </xf>
    <xf numFmtId="0" fontId="46" fillId="0" borderId="33" xfId="0" applyNumberFormat="1" applyFont="1" applyFill="1" applyBorder="1" applyAlignment="1">
      <alignment horizontal="left" vertical="top" wrapText="1"/>
    </xf>
    <xf numFmtId="0" fontId="46" fillId="0" borderId="27" xfId="0" applyNumberFormat="1" applyFont="1" applyFill="1" applyBorder="1" applyAlignment="1">
      <alignment horizontal="left" vertical="top" wrapText="1"/>
    </xf>
    <xf numFmtId="0" fontId="4" fillId="0" borderId="31" xfId="0" applyFont="1" applyFill="1" applyBorder="1" applyAlignment="1">
      <alignment horizontal="left" vertical="top" wrapText="1"/>
    </xf>
    <xf numFmtId="0" fontId="46" fillId="0" borderId="26" xfId="0" applyFont="1" applyBorder="1" applyAlignment="1">
      <alignment horizontal="left" vertical="top" wrapText="1"/>
    </xf>
    <xf numFmtId="0" fontId="46" fillId="0" borderId="31" xfId="0" applyFont="1" applyBorder="1" applyAlignment="1">
      <alignment horizontal="left" vertical="top" wrapText="1"/>
    </xf>
    <xf numFmtId="0" fontId="28" fillId="0" borderId="0" xfId="0" applyNumberFormat="1" applyFont="1" applyBorder="1" applyAlignment="1">
      <alignment horizontal="center" vertical="top" wrapText="1"/>
    </xf>
    <xf numFmtId="0" fontId="28" fillId="0" borderId="69" xfId="0" applyNumberFormat="1" applyFont="1" applyBorder="1" applyAlignment="1">
      <alignment horizontal="center" vertical="top" wrapText="1"/>
    </xf>
    <xf numFmtId="0" fontId="4" fillId="6" borderId="54" xfId="0" applyFont="1" applyFill="1" applyBorder="1" applyAlignment="1">
      <alignment horizontal="left" vertical="center"/>
    </xf>
    <xf numFmtId="0" fontId="4" fillId="6" borderId="39" xfId="0" applyFont="1" applyFill="1" applyBorder="1" applyAlignment="1">
      <alignment horizontal="left" vertical="center"/>
    </xf>
    <xf numFmtId="0" fontId="4" fillId="6" borderId="33" xfId="0" applyFont="1" applyFill="1" applyBorder="1" applyAlignment="1">
      <alignment horizontal="left" vertical="center"/>
    </xf>
    <xf numFmtId="0" fontId="4" fillId="6" borderId="1" xfId="0" applyFont="1" applyFill="1" applyBorder="1" applyAlignment="1">
      <alignment horizontal="left" vertical="center"/>
    </xf>
    <xf numFmtId="0" fontId="4" fillId="6" borderId="60" xfId="0" applyFont="1" applyFill="1" applyBorder="1" applyAlignment="1">
      <alignment horizontal="left" vertical="center"/>
    </xf>
    <xf numFmtId="0" fontId="4" fillId="6" borderId="47" xfId="0" applyFont="1" applyFill="1" applyBorder="1" applyAlignment="1">
      <alignment horizontal="left" vertical="center"/>
    </xf>
    <xf numFmtId="49" fontId="29" fillId="0" borderId="34" xfId="0" applyNumberFormat="1" applyFont="1" applyBorder="1" applyAlignment="1">
      <alignment horizontal="left" vertical="center" wrapText="1"/>
    </xf>
    <xf numFmtId="49" fontId="29" fillId="0" borderId="53" xfId="0" applyNumberFormat="1" applyFont="1" applyBorder="1" applyAlignment="1">
      <alignment horizontal="left" vertical="center" wrapText="1"/>
    </xf>
    <xf numFmtId="49" fontId="29" fillId="0" borderId="41" xfId="0" applyNumberFormat="1" applyFont="1" applyBorder="1" applyAlignment="1">
      <alignment horizontal="left" vertical="center" wrapText="1"/>
    </xf>
    <xf numFmtId="1" fontId="28" fillId="0" borderId="0" xfId="0" applyNumberFormat="1" applyFont="1" applyBorder="1" applyAlignment="1">
      <alignment horizontal="center" vertical="top"/>
    </xf>
    <xf numFmtId="1" fontId="28" fillId="0" borderId="10" xfId="0" applyNumberFormat="1" applyFont="1" applyBorder="1" applyAlignment="1">
      <alignment horizontal="center" vertical="top"/>
    </xf>
    <xf numFmtId="2" fontId="28" fillId="0" borderId="23" xfId="0" applyNumberFormat="1" applyFont="1" applyFill="1" applyBorder="1" applyAlignment="1">
      <alignment horizontal="left" vertical="top" wrapText="1"/>
    </xf>
    <xf numFmtId="2" fontId="28" fillId="0" borderId="46" xfId="0" applyNumberFormat="1" applyFont="1" applyFill="1" applyBorder="1" applyAlignment="1">
      <alignment horizontal="left" vertical="top" wrapText="1"/>
    </xf>
    <xf numFmtId="2" fontId="28" fillId="0" borderId="42" xfId="0" applyNumberFormat="1" applyFont="1" applyFill="1" applyBorder="1" applyAlignment="1">
      <alignment horizontal="left" vertical="top" wrapText="1"/>
    </xf>
    <xf numFmtId="2" fontId="4" fillId="0" borderId="23" xfId="0" applyNumberFormat="1" applyFont="1" applyFill="1" applyBorder="1" applyAlignment="1">
      <alignment vertical="top" wrapText="1"/>
    </xf>
    <xf numFmtId="2" fontId="28" fillId="0" borderId="68" xfId="0" applyNumberFormat="1" applyFont="1" applyFill="1" applyBorder="1" applyAlignment="1">
      <alignment horizontal="left" vertical="top" wrapText="1"/>
    </xf>
    <xf numFmtId="2" fontId="28" fillId="0" borderId="64" xfId="0" applyNumberFormat="1" applyFont="1" applyFill="1" applyBorder="1" applyAlignment="1">
      <alignment horizontal="left" vertical="top" wrapText="1"/>
    </xf>
    <xf numFmtId="2" fontId="28" fillId="0" borderId="22" xfId="0" applyNumberFormat="1" applyFont="1" applyFill="1" applyBorder="1" applyAlignment="1">
      <alignment horizontal="left" vertical="top" wrapText="1"/>
    </xf>
    <xf numFmtId="2" fontId="28" fillId="0" borderId="46" xfId="0" applyNumberFormat="1" applyFont="1" applyFill="1" applyBorder="1" applyAlignment="1">
      <alignment vertical="top" wrapText="1"/>
    </xf>
    <xf numFmtId="0" fontId="28" fillId="0" borderId="46" xfId="0" applyFont="1" applyBorder="1" applyAlignment="1">
      <alignment vertical="top" wrapText="1"/>
    </xf>
    <xf numFmtId="0" fontId="28" fillId="0" borderId="42" xfId="0" applyFont="1" applyBorder="1" applyAlignment="1">
      <alignment vertical="top" wrapText="1"/>
    </xf>
    <xf numFmtId="0" fontId="28" fillId="0" borderId="69" xfId="0" applyFont="1" applyFill="1" applyBorder="1" applyAlignment="1">
      <alignment horizontal="left" vertical="top" wrapText="1"/>
    </xf>
    <xf numFmtId="2" fontId="28" fillId="0" borderId="68" xfId="0" applyNumberFormat="1" applyFont="1" applyFill="1" applyBorder="1" applyAlignment="1">
      <alignment vertical="top" wrapText="1"/>
    </xf>
    <xf numFmtId="0" fontId="28" fillId="0" borderId="64" xfId="0" applyFont="1" applyBorder="1" applyAlignment="1">
      <alignment vertical="top" wrapText="1"/>
    </xf>
    <xf numFmtId="0" fontId="28" fillId="0" borderId="22" xfId="0" applyFont="1" applyBorder="1" applyAlignment="1">
      <alignment vertical="top" wrapText="1"/>
    </xf>
    <xf numFmtId="0" fontId="28" fillId="0" borderId="7" xfId="0" applyFont="1" applyFill="1" applyBorder="1" applyAlignment="1">
      <alignment horizontal="left" vertical="top" wrapText="1"/>
    </xf>
    <xf numFmtId="0" fontId="28" fillId="0" borderId="52" xfId="0" applyFont="1" applyFill="1" applyBorder="1" applyAlignment="1">
      <alignment horizontal="left" vertical="top" wrapText="1"/>
    </xf>
    <xf numFmtId="2" fontId="28" fillId="0" borderId="64" xfId="0" applyNumberFormat="1" applyFont="1" applyFill="1" applyBorder="1" applyAlignment="1">
      <alignment vertical="top" wrapText="1"/>
    </xf>
    <xf numFmtId="2" fontId="28" fillId="0" borderId="22" xfId="0" applyNumberFormat="1" applyFont="1" applyFill="1" applyBorder="1" applyAlignment="1">
      <alignment vertical="top" wrapText="1"/>
    </xf>
    <xf numFmtId="1" fontId="28" fillId="0" borderId="23" xfId="0" applyNumberFormat="1" applyFont="1" applyBorder="1" applyAlignment="1">
      <alignment horizontal="left" vertical="top" wrapText="1"/>
    </xf>
    <xf numFmtId="1" fontId="28" fillId="0" borderId="46" xfId="0" applyNumberFormat="1" applyFont="1" applyBorder="1" applyAlignment="1">
      <alignment horizontal="left" vertical="top" wrapText="1"/>
    </xf>
    <xf numFmtId="1" fontId="28" fillId="0" borderId="42" xfId="0" applyNumberFormat="1" applyFont="1" applyBorder="1" applyAlignment="1">
      <alignment horizontal="left" vertical="top" wrapText="1"/>
    </xf>
    <xf numFmtId="1" fontId="28" fillId="0" borderId="23" xfId="0" applyNumberFormat="1" applyFont="1" applyBorder="1" applyAlignment="1">
      <alignment horizontal="center" vertical="top" wrapText="1"/>
    </xf>
    <xf numFmtId="1" fontId="28" fillId="0" borderId="46" xfId="0" applyNumberFormat="1" applyFont="1" applyBorder="1" applyAlignment="1">
      <alignment horizontal="center" vertical="top" wrapText="1"/>
    </xf>
    <xf numFmtId="1" fontId="28" fillId="0" borderId="42" xfId="0" applyNumberFormat="1" applyFont="1" applyBorder="1" applyAlignment="1">
      <alignment horizontal="center" vertical="top" wrapText="1"/>
    </xf>
    <xf numFmtId="2" fontId="28" fillId="0" borderId="23" xfId="0" applyNumberFormat="1" applyFont="1" applyFill="1" applyBorder="1" applyAlignment="1">
      <alignment vertical="top" wrapText="1"/>
    </xf>
    <xf numFmtId="2" fontId="28" fillId="0" borderId="42" xfId="0" applyNumberFormat="1" applyFont="1" applyFill="1" applyBorder="1" applyAlignment="1">
      <alignment vertical="top" wrapText="1"/>
    </xf>
    <xf numFmtId="2" fontId="28" fillId="0" borderId="13" xfId="0" applyNumberFormat="1" applyFont="1" applyFill="1" applyBorder="1" applyAlignment="1">
      <alignment vertical="top" wrapText="1"/>
    </xf>
    <xf numFmtId="0" fontId="28" fillId="0" borderId="13" xfId="0" applyFont="1" applyBorder="1" applyAlignment="1">
      <alignment vertical="top" wrapText="1"/>
    </xf>
    <xf numFmtId="1" fontId="28" fillId="0" borderId="68" xfId="0" applyNumberFormat="1" applyFont="1" applyBorder="1" applyAlignment="1">
      <alignment horizontal="left" vertical="top" wrapText="1"/>
    </xf>
    <xf numFmtId="1" fontId="28" fillId="0" borderId="64" xfId="0" applyNumberFormat="1" applyFont="1" applyBorder="1" applyAlignment="1">
      <alignment horizontal="left" vertical="top" wrapText="1"/>
    </xf>
    <xf numFmtId="1" fontId="28" fillId="0" borderId="22" xfId="0" applyNumberFormat="1" applyFont="1" applyBorder="1" applyAlignment="1">
      <alignment horizontal="left" vertical="top" wrapText="1"/>
    </xf>
    <xf numFmtId="2" fontId="28" fillId="0" borderId="23" xfId="0" applyNumberFormat="1" applyFont="1" applyBorder="1" applyAlignment="1">
      <alignment vertical="top" wrapText="1"/>
    </xf>
    <xf numFmtId="2" fontId="28" fillId="0" borderId="13" xfId="0" applyNumberFormat="1" applyFont="1" applyFill="1" applyBorder="1" applyAlignment="1">
      <alignment horizontal="left" vertical="top" wrapText="1"/>
    </xf>
    <xf numFmtId="2" fontId="28" fillId="0" borderId="68" xfId="0" applyNumberFormat="1" applyFont="1" applyBorder="1" applyAlignment="1">
      <alignment horizontal="left" vertical="top" wrapText="1"/>
    </xf>
    <xf numFmtId="2" fontId="28" fillId="0" borderId="64" xfId="0" applyNumberFormat="1" applyFont="1" applyBorder="1" applyAlignment="1">
      <alignment horizontal="left" vertical="top" wrapText="1"/>
    </xf>
    <xf numFmtId="2" fontId="28" fillId="0" borderId="23" xfId="0" applyNumberFormat="1" applyFont="1" applyBorder="1" applyAlignment="1">
      <alignment horizontal="left" vertical="top" wrapText="1"/>
    </xf>
    <xf numFmtId="2" fontId="28" fillId="0" borderId="46" xfId="0" applyNumberFormat="1" applyFont="1" applyBorder="1" applyAlignment="1">
      <alignment horizontal="left" vertical="top" wrapText="1"/>
    </xf>
    <xf numFmtId="2" fontId="28" fillId="0" borderId="42" xfId="0" applyNumberFormat="1" applyFont="1" applyBorder="1" applyAlignment="1">
      <alignment horizontal="left" vertical="top" wrapText="1"/>
    </xf>
    <xf numFmtId="0" fontId="24" fillId="0" borderId="23" xfId="0" applyFont="1" applyFill="1" applyBorder="1" applyAlignment="1">
      <alignment vertical="top" wrapText="1"/>
    </xf>
    <xf numFmtId="0" fontId="24" fillId="0" borderId="46" xfId="0" applyFont="1" applyFill="1" applyBorder="1" applyAlignment="1">
      <alignment vertical="top" wrapText="1"/>
    </xf>
    <xf numFmtId="1" fontId="24" fillId="0" borderId="23" xfId="0" applyNumberFormat="1" applyFont="1" applyBorder="1" applyAlignment="1">
      <alignment horizontal="left" vertical="top" wrapText="1"/>
    </xf>
    <xf numFmtId="1" fontId="24" fillId="0" borderId="46" xfId="0" applyNumberFormat="1" applyFont="1" applyBorder="1" applyAlignment="1">
      <alignment horizontal="left" vertical="top" wrapText="1"/>
    </xf>
    <xf numFmtId="1" fontId="24" fillId="0" borderId="42" xfId="0" applyNumberFormat="1" applyFont="1" applyBorder="1" applyAlignment="1">
      <alignment horizontal="left" vertical="top" wrapText="1"/>
    </xf>
    <xf numFmtId="0" fontId="24" fillId="0" borderId="23" xfId="0" applyFont="1" applyFill="1" applyBorder="1" applyAlignment="1">
      <alignment horizontal="left" vertical="top" wrapText="1"/>
    </xf>
    <xf numFmtId="0" fontId="24" fillId="0" borderId="46" xfId="0" applyFont="1" applyFill="1" applyBorder="1" applyAlignment="1">
      <alignment horizontal="left" vertical="top" wrapText="1"/>
    </xf>
    <xf numFmtId="0" fontId="24" fillId="0" borderId="42" xfId="0" applyFont="1" applyFill="1" applyBorder="1" applyAlignment="1">
      <alignment horizontal="left" vertical="top" wrapText="1"/>
    </xf>
    <xf numFmtId="0" fontId="24" fillId="0" borderId="68" xfId="0" applyFont="1" applyFill="1" applyBorder="1" applyAlignment="1">
      <alignment vertical="top" wrapText="1"/>
    </xf>
    <xf numFmtId="0" fontId="24" fillId="0" borderId="64" xfId="0" applyFont="1" applyFill="1" applyBorder="1" applyAlignment="1">
      <alignment vertical="top" wrapText="1"/>
    </xf>
    <xf numFmtId="0" fontId="24" fillId="0" borderId="22" xfId="0" applyFont="1" applyFill="1" applyBorder="1" applyAlignment="1">
      <alignment vertical="top" wrapText="1"/>
    </xf>
    <xf numFmtId="1" fontId="24" fillId="0" borderId="68" xfId="0" applyNumberFormat="1" applyFont="1" applyFill="1" applyBorder="1" applyAlignment="1">
      <alignment vertical="top" wrapText="1"/>
    </xf>
    <xf numFmtId="0" fontId="24" fillId="0" borderId="64" xfId="0" applyFont="1" applyBorder="1" applyAlignment="1">
      <alignment vertical="top" wrapText="1"/>
    </xf>
    <xf numFmtId="0" fontId="24" fillId="0" borderId="22" xfId="0" applyFont="1" applyBorder="1" applyAlignment="1">
      <alignment vertical="top" wrapText="1"/>
    </xf>
    <xf numFmtId="0" fontId="24" fillId="0" borderId="23" xfId="0" applyFont="1" applyBorder="1" applyAlignment="1">
      <alignment horizontal="left" vertical="top" wrapText="1"/>
    </xf>
    <xf numFmtId="0" fontId="24" fillId="0" borderId="46" xfId="0" applyFont="1" applyBorder="1" applyAlignment="1">
      <alignment horizontal="left" vertical="top" wrapText="1"/>
    </xf>
    <xf numFmtId="0" fontId="24" fillId="0" borderId="42" xfId="0" applyFont="1" applyBorder="1" applyAlignment="1">
      <alignment horizontal="left" vertical="top" wrapText="1"/>
    </xf>
    <xf numFmtId="0" fontId="24" fillId="0" borderId="2" xfId="0" applyFont="1" applyBorder="1" applyAlignment="1">
      <alignment horizontal="left" vertical="top" wrapText="1"/>
    </xf>
    <xf numFmtId="0" fontId="24" fillId="0" borderId="9" xfId="0" applyFont="1" applyBorder="1" applyAlignment="1">
      <alignment horizontal="left" vertical="top" wrapText="1"/>
    </xf>
    <xf numFmtId="0" fontId="24" fillId="0" borderId="46" xfId="0" applyFont="1" applyBorder="1" applyAlignment="1">
      <alignment vertical="top" wrapText="1"/>
    </xf>
    <xf numFmtId="0" fontId="24" fillId="0" borderId="42" xfId="0" applyFont="1" applyBorder="1" applyAlignment="1">
      <alignment vertical="top" wrapText="1"/>
    </xf>
    <xf numFmtId="0" fontId="24" fillId="0" borderId="42" xfId="0" applyFont="1" applyFill="1" applyBorder="1" applyAlignment="1">
      <alignment vertical="top" wrapText="1"/>
    </xf>
    <xf numFmtId="0" fontId="24" fillId="0" borderId="13" xfId="0" applyFont="1" applyFill="1" applyBorder="1" applyAlignment="1">
      <alignment horizontal="left" vertical="top" wrapText="1"/>
    </xf>
    <xf numFmtId="1" fontId="24" fillId="0" borderId="64" xfId="0" applyNumberFormat="1" applyFont="1" applyBorder="1" applyAlignment="1">
      <alignment horizontal="center" vertical="center" wrapText="1"/>
    </xf>
    <xf numFmtId="1" fontId="24" fillId="0" borderId="0" xfId="0" applyNumberFormat="1" applyFont="1" applyBorder="1" applyAlignment="1">
      <alignment horizontal="center" vertical="center" wrapText="1"/>
    </xf>
    <xf numFmtId="0" fontId="4" fillId="0" borderId="30" xfId="0" applyFont="1" applyBorder="1" applyAlignment="1">
      <alignment horizontal="center" vertical="center" wrapText="1"/>
    </xf>
    <xf numFmtId="0" fontId="4" fillId="0" borderId="69" xfId="0" applyFont="1" applyBorder="1" applyAlignment="1">
      <alignment horizontal="center" vertical="center" wrapText="1"/>
    </xf>
    <xf numFmtId="0" fontId="4" fillId="0" borderId="71" xfId="0" applyFont="1" applyBorder="1" applyAlignment="1">
      <alignment horizontal="center" vertical="center" wrapText="1"/>
    </xf>
    <xf numFmtId="0" fontId="24" fillId="0" borderId="30" xfId="0" applyFont="1" applyBorder="1" applyAlignment="1">
      <alignment horizontal="left" vertical="top" wrapText="1"/>
    </xf>
    <xf numFmtId="0" fontId="24" fillId="0" borderId="69" xfId="0" applyFont="1" applyBorder="1" applyAlignment="1">
      <alignment horizontal="left" vertical="top" wrapText="1"/>
    </xf>
    <xf numFmtId="0" fontId="24" fillId="0" borderId="71" xfId="0" applyFont="1" applyBorder="1" applyAlignment="1">
      <alignment horizontal="left" vertical="top" wrapText="1"/>
    </xf>
    <xf numFmtId="0" fontId="24" fillId="0" borderId="59" xfId="0" applyFont="1" applyBorder="1" applyAlignment="1">
      <alignment horizontal="left" vertical="top" wrapText="1"/>
    </xf>
    <xf numFmtId="0" fontId="24" fillId="0" borderId="0" xfId="0" applyFont="1" applyBorder="1" applyAlignment="1">
      <alignment horizontal="left" vertical="top" wrapText="1"/>
    </xf>
    <xf numFmtId="0" fontId="24" fillId="0" borderId="13" xfId="0" applyFont="1" applyBorder="1" applyAlignment="1">
      <alignment horizontal="left" vertical="top" wrapText="1"/>
    </xf>
    <xf numFmtId="0" fontId="24" fillId="0" borderId="64" xfId="0" applyFont="1" applyFill="1" applyBorder="1" applyAlignment="1">
      <alignment horizontal="left" vertical="top" wrapText="1"/>
    </xf>
    <xf numFmtId="0" fontId="24" fillId="0" borderId="22" xfId="0" applyFont="1" applyFill="1" applyBorder="1" applyAlignment="1">
      <alignment horizontal="left" vertical="top" wrapText="1"/>
    </xf>
    <xf numFmtId="1" fontId="24" fillId="0" borderId="68" xfId="0" applyNumberFormat="1" applyFont="1" applyBorder="1" applyAlignment="1">
      <alignment horizontal="left" vertical="top" wrapText="1"/>
    </xf>
    <xf numFmtId="0" fontId="24" fillId="0" borderId="64" xfId="0" applyFont="1" applyBorder="1" applyAlignment="1">
      <alignment horizontal="left" vertical="top" wrapText="1"/>
    </xf>
    <xf numFmtId="0" fontId="24" fillId="0" borderId="22" xfId="0" applyFont="1" applyBorder="1" applyAlignment="1">
      <alignment horizontal="left" vertical="top" wrapText="1"/>
    </xf>
    <xf numFmtId="0" fontId="24" fillId="0" borderId="13" xfId="0" applyFont="1" applyFill="1" applyBorder="1" applyAlignment="1">
      <alignment vertical="top" wrapText="1"/>
    </xf>
    <xf numFmtId="0" fontId="24" fillId="0" borderId="13" xfId="0" applyFont="1" applyBorder="1" applyAlignment="1">
      <alignment vertical="top" wrapText="1"/>
    </xf>
    <xf numFmtId="0" fontId="0" fillId="0" borderId="46" xfId="0" applyBorder="1" applyAlignment="1">
      <alignment horizontal="left" vertical="top"/>
    </xf>
    <xf numFmtId="0" fontId="0" fillId="0" borderId="42" xfId="0" applyBorder="1" applyAlignment="1">
      <alignment horizontal="left" vertical="top"/>
    </xf>
    <xf numFmtId="0" fontId="24" fillId="0" borderId="68" xfId="0" applyFont="1" applyBorder="1" applyAlignment="1">
      <alignment horizontal="left" vertical="top" wrapText="1"/>
    </xf>
    <xf numFmtId="0" fontId="0" fillId="0" borderId="64" xfId="0" applyBorder="1" applyAlignment="1">
      <alignment horizontal="left" vertical="top"/>
    </xf>
    <xf numFmtId="0" fontId="0" fillId="0" borderId="22" xfId="0" applyBorder="1" applyAlignment="1">
      <alignment horizontal="left" vertical="top"/>
    </xf>
    <xf numFmtId="0" fontId="24" fillId="0" borderId="68" xfId="0" applyFont="1" applyFill="1" applyBorder="1" applyAlignment="1">
      <alignment horizontal="left" vertical="top" wrapText="1"/>
    </xf>
    <xf numFmtId="1" fontId="24" fillId="0" borderId="64" xfId="0" applyNumberFormat="1" applyFont="1" applyBorder="1" applyAlignment="1">
      <alignment horizontal="left" vertical="top" wrapText="1"/>
    </xf>
    <xf numFmtId="1" fontId="24" fillId="0" borderId="22" xfId="0" applyNumberFormat="1" applyFont="1" applyBorder="1" applyAlignment="1">
      <alignment horizontal="left" vertical="top" wrapText="1"/>
    </xf>
    <xf numFmtId="49" fontId="25" fillId="0" borderId="34" xfId="0" applyNumberFormat="1" applyFont="1" applyBorder="1" applyAlignment="1">
      <alignment vertical="center" wrapText="1"/>
    </xf>
    <xf numFmtId="49" fontId="25" fillId="0" borderId="53" xfId="0" applyNumberFormat="1" applyFont="1" applyBorder="1" applyAlignment="1">
      <alignment vertical="center" wrapText="1"/>
    </xf>
    <xf numFmtId="49" fontId="25" fillId="0" borderId="41" xfId="0" applyNumberFormat="1" applyFont="1" applyBorder="1" applyAlignment="1">
      <alignment vertical="center" wrapText="1"/>
    </xf>
    <xf numFmtId="1" fontId="24" fillId="0" borderId="59" xfId="0" applyNumberFormat="1" applyFont="1" applyBorder="1" applyAlignment="1">
      <alignment horizontal="center" vertical="center" wrapText="1"/>
    </xf>
    <xf numFmtId="0" fontId="24" fillId="0" borderId="10" xfId="0" applyFont="1" applyBorder="1" applyAlignment="1">
      <alignment horizontal="center" vertical="center" wrapText="1"/>
    </xf>
    <xf numFmtId="0" fontId="24" fillId="0" borderId="0" xfId="0" applyFont="1" applyBorder="1" applyAlignment="1">
      <alignment horizontal="center" vertical="center" wrapText="1"/>
    </xf>
    <xf numFmtId="0" fontId="24" fillId="0" borderId="0" xfId="0" applyNumberFormat="1" applyFont="1" applyFill="1" applyBorder="1" applyAlignment="1">
      <alignment horizontal="center" vertical="top" wrapText="1"/>
    </xf>
    <xf numFmtId="0" fontId="24" fillId="0" borderId="69" xfId="0" applyNumberFormat="1" applyFont="1" applyFill="1" applyBorder="1" applyAlignment="1">
      <alignment horizontal="center" vertical="top" wrapText="1"/>
    </xf>
    <xf numFmtId="0" fontId="4" fillId="12" borderId="1" xfId="0" applyFont="1" applyFill="1" applyBorder="1" applyAlignment="1">
      <alignment horizontal="left" vertical="center"/>
    </xf>
    <xf numFmtId="0" fontId="24" fillId="0" borderId="59" xfId="0" applyFont="1" applyFill="1" applyBorder="1" applyAlignment="1">
      <alignment horizontal="center" vertical="top" wrapText="1"/>
    </xf>
    <xf numFmtId="0" fontId="24" fillId="0" borderId="0" xfId="0" applyFont="1" applyFill="1" applyAlignment="1">
      <alignment horizontal="center" vertical="top" wrapText="1"/>
    </xf>
    <xf numFmtId="0" fontId="44" fillId="0" borderId="68" xfId="0" applyNumberFormat="1" applyFont="1" applyFill="1" applyBorder="1" applyAlignment="1">
      <alignment horizontal="left" vertical="top" wrapText="1"/>
    </xf>
    <xf numFmtId="0" fontId="44" fillId="0" borderId="64" xfId="0" applyNumberFormat="1" applyFont="1" applyFill="1" applyBorder="1" applyAlignment="1">
      <alignment horizontal="left" vertical="top" wrapText="1"/>
    </xf>
    <xf numFmtId="0" fontId="44" fillId="0" borderId="22" xfId="0" applyNumberFormat="1" applyFont="1" applyFill="1" applyBorder="1" applyAlignment="1">
      <alignment horizontal="left" vertical="top" wrapText="1"/>
    </xf>
    <xf numFmtId="0" fontId="44" fillId="0" borderId="30" xfId="0" applyFont="1" applyFill="1" applyBorder="1" applyAlignment="1">
      <alignment horizontal="left" vertical="top" wrapText="1"/>
    </xf>
    <xf numFmtId="0" fontId="44" fillId="0" borderId="38" xfId="0" applyFont="1" applyFill="1" applyBorder="1" applyAlignment="1">
      <alignment horizontal="left" vertical="top" wrapText="1"/>
    </xf>
    <xf numFmtId="0" fontId="44" fillId="0" borderId="70" xfId="0" applyFont="1" applyFill="1" applyBorder="1" applyAlignment="1">
      <alignment horizontal="left" vertical="top" wrapText="1"/>
    </xf>
    <xf numFmtId="0" fontId="5" fillId="0" borderId="68" xfId="0" applyFont="1" applyBorder="1" applyAlignment="1">
      <alignment horizontal="center" vertical="center" wrapText="1"/>
    </xf>
    <xf numFmtId="0" fontId="5" fillId="0" borderId="30" xfId="0" applyFont="1" applyBorder="1" applyAlignment="1">
      <alignment horizontal="center" vertical="center" wrapText="1"/>
    </xf>
    <xf numFmtId="0" fontId="46" fillId="0" borderId="54" xfId="0" applyFont="1" applyBorder="1" applyAlignment="1">
      <alignment horizontal="left" vertical="top" wrapText="1"/>
    </xf>
    <xf numFmtId="0" fontId="46" fillId="0" borderId="55" xfId="0" applyFont="1" applyBorder="1" applyAlignment="1">
      <alignment horizontal="left" vertical="top" wrapText="1"/>
    </xf>
    <xf numFmtId="1" fontId="34" fillId="0" borderId="13" xfId="0" applyNumberFormat="1" applyFont="1" applyBorder="1" applyAlignment="1">
      <alignment horizontal="center" vertical="top" wrapText="1"/>
    </xf>
    <xf numFmtId="1" fontId="34" fillId="0" borderId="0" xfId="0" applyNumberFormat="1" applyFont="1" applyBorder="1" applyAlignment="1">
      <alignment horizontal="center" vertical="top" wrapText="1"/>
    </xf>
    <xf numFmtId="0" fontId="44" fillId="0" borderId="42" xfId="0" applyFont="1" applyFill="1" applyBorder="1" applyAlignment="1">
      <alignment horizontal="left" vertical="top" wrapText="1"/>
    </xf>
    <xf numFmtId="0" fontId="28" fillId="0" borderId="68" xfId="0" applyFont="1" applyBorder="1" applyAlignment="1">
      <alignment horizontal="left" vertical="top" wrapText="1"/>
    </xf>
    <xf numFmtId="0" fontId="28" fillId="0" borderId="64" xfId="0" applyFont="1" applyBorder="1" applyAlignment="1">
      <alignment horizontal="left" vertical="top" wrapText="1"/>
    </xf>
    <xf numFmtId="0" fontId="28" fillId="0" borderId="22" xfId="0" applyFont="1" applyBorder="1" applyAlignment="1">
      <alignment horizontal="left" vertical="top" wrapText="1"/>
    </xf>
    <xf numFmtId="0" fontId="28" fillId="0" borderId="23" xfId="0" applyFont="1" applyBorder="1" applyAlignment="1">
      <alignment horizontal="left" vertical="top" wrapText="1"/>
    </xf>
    <xf numFmtId="0" fontId="28" fillId="0" borderId="46" xfId="0" applyFont="1" applyBorder="1" applyAlignment="1">
      <alignment horizontal="left" vertical="top" wrapText="1"/>
    </xf>
    <xf numFmtId="0" fontId="28" fillId="0" borderId="42" xfId="0" applyFont="1" applyBorder="1" applyAlignment="1">
      <alignment horizontal="left" vertical="top" wrapText="1"/>
    </xf>
    <xf numFmtId="0" fontId="28" fillId="0" borderId="59" xfId="0" applyFont="1" applyFill="1" applyBorder="1" applyAlignment="1">
      <alignment horizontal="center" vertical="top" wrapText="1"/>
    </xf>
    <xf numFmtId="0" fontId="28" fillId="0" borderId="0" xfId="0" applyFont="1" applyFill="1" applyBorder="1" applyAlignment="1">
      <alignment horizontal="center" vertical="top" wrapText="1"/>
    </xf>
    <xf numFmtId="0" fontId="28" fillId="0" borderId="23" xfId="0" applyFont="1" applyBorder="1" applyAlignment="1">
      <alignment vertical="top" wrapText="1"/>
    </xf>
    <xf numFmtId="0" fontId="28" fillId="0" borderId="68" xfId="0" applyFont="1" applyBorder="1" applyAlignment="1">
      <alignment vertical="top" wrapText="1"/>
    </xf>
    <xf numFmtId="0" fontId="28" fillId="0" borderId="13" xfId="0" applyFont="1" applyBorder="1" applyAlignment="1">
      <alignment horizontal="left" vertical="top" wrapText="1"/>
    </xf>
    <xf numFmtId="0" fontId="28" fillId="0" borderId="69" xfId="0" applyFont="1" applyBorder="1" applyAlignment="1">
      <alignment horizontal="left" vertical="top" wrapText="1"/>
    </xf>
    <xf numFmtId="0" fontId="28" fillId="0" borderId="71" xfId="0" applyFont="1" applyBorder="1" applyAlignment="1">
      <alignment horizontal="left" vertical="top" wrapText="1"/>
    </xf>
    <xf numFmtId="49" fontId="29" fillId="0" borderId="20" xfId="0" applyNumberFormat="1" applyFont="1" applyBorder="1" applyAlignment="1">
      <alignment horizontal="left" vertical="center" wrapText="1"/>
    </xf>
    <xf numFmtId="49" fontId="29" fillId="0" borderId="36" xfId="0" applyNumberFormat="1" applyFont="1" applyBorder="1" applyAlignment="1">
      <alignment horizontal="left" vertical="center" wrapText="1"/>
    </xf>
    <xf numFmtId="49" fontId="29" fillId="0" borderId="25" xfId="0" applyNumberFormat="1" applyFont="1" applyBorder="1" applyAlignment="1">
      <alignment horizontal="left" vertical="center" wrapText="1"/>
    </xf>
    <xf numFmtId="49" fontId="29" fillId="0" borderId="63" xfId="0" applyNumberFormat="1" applyFont="1" applyBorder="1" applyAlignment="1">
      <alignment horizontal="left" vertical="center" wrapText="1"/>
    </xf>
    <xf numFmtId="0" fontId="44" fillId="0" borderId="68" xfId="0" applyFont="1" applyFill="1" applyBorder="1" applyAlignment="1">
      <alignment horizontal="left" vertical="top" wrapText="1"/>
    </xf>
    <xf numFmtId="0" fontId="44" fillId="0" borderId="64" xfId="0" applyFont="1" applyFill="1" applyBorder="1" applyAlignment="1">
      <alignment horizontal="left" vertical="top" wrapText="1"/>
    </xf>
    <xf numFmtId="0" fontId="44" fillId="0" borderId="22" xfId="0" applyFont="1" applyFill="1" applyBorder="1" applyAlignment="1">
      <alignment horizontal="left" vertical="top" wrapText="1"/>
    </xf>
    <xf numFmtId="0" fontId="44" fillId="0" borderId="46" xfId="0" applyNumberFormat="1" applyFont="1" applyFill="1" applyBorder="1" applyAlignment="1">
      <alignment horizontal="left" vertical="top" wrapText="1"/>
    </xf>
    <xf numFmtId="0" fontId="28" fillId="0" borderId="21" xfId="0" applyFont="1" applyBorder="1" applyAlignment="1">
      <alignment vertical="top" wrapText="1"/>
    </xf>
    <xf numFmtId="0" fontId="28" fillId="0" borderId="24" xfId="0" applyFont="1" applyBorder="1" applyAlignment="1">
      <alignment vertical="top" wrapText="1"/>
    </xf>
    <xf numFmtId="0" fontId="28" fillId="0" borderId="59" xfId="0" applyFont="1" applyBorder="1" applyAlignment="1">
      <alignment horizontal="center" vertical="top" wrapText="1"/>
    </xf>
    <xf numFmtId="0" fontId="28" fillId="0" borderId="10" xfId="0" applyFont="1" applyFill="1" applyBorder="1" applyAlignment="1">
      <alignment horizontal="center" vertical="top" wrapText="1"/>
    </xf>
    <xf numFmtId="0" fontId="28" fillId="0" borderId="68" xfId="0" applyFont="1" applyFill="1" applyBorder="1" applyAlignment="1">
      <alignment vertical="top" wrapText="1"/>
    </xf>
    <xf numFmtId="0" fontId="28" fillId="0" borderId="64" xfId="0" applyFont="1" applyFill="1" applyBorder="1" applyAlignment="1">
      <alignment vertical="top" wrapText="1"/>
    </xf>
    <xf numFmtId="0" fontId="28" fillId="0" borderId="22" xfId="0" applyFont="1" applyFill="1" applyBorder="1" applyAlignment="1">
      <alignment vertical="top" wrapText="1"/>
    </xf>
    <xf numFmtId="0" fontId="28" fillId="0" borderId="13" xfId="0" applyFont="1" applyFill="1" applyBorder="1" applyAlignment="1">
      <alignment vertical="top" wrapText="1"/>
    </xf>
    <xf numFmtId="1" fontId="28" fillId="0" borderId="46" xfId="0" applyNumberFormat="1" applyFont="1" applyFill="1" applyBorder="1" applyAlignment="1">
      <alignment horizontal="left" vertical="top" wrapText="1"/>
    </xf>
    <xf numFmtId="0" fontId="4" fillId="18" borderId="46" xfId="0" applyFont="1" applyFill="1" applyBorder="1" applyAlignment="1">
      <alignment horizontal="left" vertical="top" wrapText="1"/>
    </xf>
    <xf numFmtId="0" fontId="4" fillId="18" borderId="42" xfId="0" applyFont="1" applyFill="1" applyBorder="1" applyAlignment="1">
      <alignment horizontal="left" vertical="top" wrapText="1"/>
    </xf>
    <xf numFmtId="1" fontId="28" fillId="0" borderId="23" xfId="0" applyNumberFormat="1" applyFont="1" applyFill="1" applyBorder="1" applyAlignment="1">
      <alignment horizontal="left" vertical="top" wrapText="1"/>
    </xf>
    <xf numFmtId="1" fontId="28" fillId="0" borderId="42" xfId="0" applyNumberFormat="1" applyFont="1" applyFill="1" applyBorder="1" applyAlignment="1">
      <alignment horizontal="left" vertical="top" wrapText="1"/>
    </xf>
    <xf numFmtId="1" fontId="28" fillId="0" borderId="13" xfId="0" applyNumberFormat="1" applyFont="1" applyFill="1" applyBorder="1" applyAlignment="1">
      <alignment horizontal="left" vertical="top" wrapText="1"/>
    </xf>
    <xf numFmtId="0" fontId="28" fillId="0" borderId="13" xfId="0" applyFont="1" applyFill="1" applyBorder="1" applyAlignment="1">
      <alignment horizontal="left" vertical="top" wrapText="1"/>
    </xf>
    <xf numFmtId="0" fontId="4" fillId="0" borderId="23" xfId="0" applyNumberFormat="1" applyFont="1" applyBorder="1" applyAlignment="1">
      <alignment horizontal="left" vertical="top" wrapText="1"/>
    </xf>
    <xf numFmtId="0" fontId="4" fillId="0" borderId="46" xfId="0" applyNumberFormat="1" applyFont="1" applyBorder="1" applyAlignment="1">
      <alignment horizontal="left" vertical="top" wrapText="1"/>
    </xf>
    <xf numFmtId="0" fontId="4" fillId="0" borderId="42" xfId="0" applyNumberFormat="1" applyFont="1" applyBorder="1" applyAlignment="1">
      <alignment horizontal="left" vertical="top" wrapText="1"/>
    </xf>
    <xf numFmtId="0" fontId="28" fillId="0" borderId="23" xfId="0" applyFont="1" applyFill="1" applyBorder="1" applyAlignment="1">
      <alignment vertical="top" wrapText="1"/>
    </xf>
    <xf numFmtId="0" fontId="28" fillId="0" borderId="46" xfId="0" applyFont="1" applyFill="1" applyBorder="1" applyAlignment="1">
      <alignment vertical="top" wrapText="1"/>
    </xf>
    <xf numFmtId="0" fontId="28" fillId="0" borderId="42" xfId="0" applyFont="1" applyFill="1" applyBorder="1" applyAlignment="1">
      <alignment vertical="top" wrapText="1"/>
    </xf>
    <xf numFmtId="0" fontId="28" fillId="0" borderId="68" xfId="0" applyFont="1" applyFill="1" applyBorder="1" applyAlignment="1">
      <alignment horizontal="left" vertical="top" wrapText="1"/>
    </xf>
    <xf numFmtId="0" fontId="28" fillId="0" borderId="29" xfId="0" applyFont="1" applyFill="1" applyBorder="1" applyAlignment="1">
      <alignment horizontal="left" vertical="top" wrapText="1"/>
    </xf>
    <xf numFmtId="0" fontId="28" fillId="0" borderId="24" xfId="0" applyFont="1" applyFill="1" applyBorder="1" applyAlignment="1">
      <alignment horizontal="left" vertical="top" wrapText="1"/>
    </xf>
    <xf numFmtId="0" fontId="28" fillId="0" borderId="18" xfId="0" applyFont="1" applyFill="1" applyBorder="1" applyAlignment="1">
      <alignment horizontal="left" vertical="top" wrapText="1"/>
    </xf>
    <xf numFmtId="49" fontId="69" fillId="11" borderId="48" xfId="0" applyNumberFormat="1" applyFont="1" applyFill="1" applyBorder="1" applyAlignment="1">
      <alignment horizontal="center" vertical="top" wrapText="1"/>
    </xf>
    <xf numFmtId="49" fontId="69" fillId="11" borderId="36" xfId="0" applyNumberFormat="1" applyFont="1" applyFill="1" applyBorder="1" applyAlignment="1">
      <alignment horizontal="center" vertical="top" wrapText="1"/>
    </xf>
    <xf numFmtId="0" fontId="28" fillId="0" borderId="8" xfId="0" applyFont="1" applyFill="1" applyBorder="1" applyAlignment="1">
      <alignment vertical="top" wrapText="1"/>
    </xf>
    <xf numFmtId="0" fontId="28" fillId="0" borderId="2" xfId="0" applyFont="1" applyBorder="1" applyAlignment="1">
      <alignment vertical="top" wrapText="1"/>
    </xf>
    <xf numFmtId="0" fontId="28" fillId="0" borderId="9" xfId="0" applyFont="1" applyBorder="1" applyAlignment="1">
      <alignment vertical="top" wrapText="1"/>
    </xf>
    <xf numFmtId="1" fontId="28" fillId="0" borderId="68" xfId="0" applyNumberFormat="1" applyFont="1" applyFill="1" applyBorder="1" applyAlignment="1">
      <alignment vertical="top" wrapText="1"/>
    </xf>
    <xf numFmtId="0" fontId="28" fillId="0" borderId="18" xfId="0" applyFont="1" applyFill="1" applyBorder="1" applyAlignment="1">
      <alignment vertical="top" wrapText="1"/>
    </xf>
    <xf numFmtId="0" fontId="28" fillId="0" borderId="72" xfId="0" applyFont="1" applyBorder="1" applyAlignment="1">
      <alignment vertical="top" wrapText="1"/>
    </xf>
    <xf numFmtId="1" fontId="28" fillId="0" borderId="68" xfId="0" applyNumberFormat="1" applyFont="1" applyFill="1" applyBorder="1" applyAlignment="1">
      <alignment horizontal="left" vertical="top" wrapText="1"/>
    </xf>
    <xf numFmtId="0" fontId="28" fillId="0" borderId="23" xfId="0" applyNumberFormat="1" applyFont="1" applyFill="1" applyBorder="1" applyAlignment="1">
      <alignment horizontal="left" vertical="top" wrapText="1"/>
    </xf>
    <xf numFmtId="0" fontId="28" fillId="0" borderId="46" xfId="0" applyNumberFormat="1" applyFont="1" applyFill="1" applyBorder="1" applyAlignment="1">
      <alignment horizontal="left" vertical="top" wrapText="1"/>
    </xf>
    <xf numFmtId="0" fontId="28" fillId="0" borderId="42" xfId="0" applyNumberFormat="1" applyFont="1" applyFill="1" applyBorder="1" applyAlignment="1">
      <alignment horizontal="left" vertical="top" wrapText="1"/>
    </xf>
    <xf numFmtId="0" fontId="4" fillId="0" borderId="23" xfId="0" applyNumberFormat="1" applyFont="1" applyFill="1" applyBorder="1" applyAlignment="1">
      <alignment horizontal="left" vertical="top"/>
    </xf>
    <xf numFmtId="0" fontId="4" fillId="0" borderId="46" xfId="0" applyNumberFormat="1" applyFont="1" applyFill="1" applyBorder="1" applyAlignment="1">
      <alignment horizontal="left" vertical="top"/>
    </xf>
    <xf numFmtId="0" fontId="4" fillId="0" borderId="42" xfId="0" applyNumberFormat="1" applyFont="1" applyFill="1" applyBorder="1" applyAlignment="1">
      <alignment horizontal="left" vertical="top"/>
    </xf>
    <xf numFmtId="0" fontId="34" fillId="0" borderId="64" xfId="0" applyFont="1" applyBorder="1" applyAlignment="1">
      <alignment horizontal="center" wrapText="1"/>
    </xf>
    <xf numFmtId="0" fontId="34" fillId="0" borderId="0" xfId="0" applyFont="1" applyBorder="1" applyAlignment="1">
      <alignment horizontal="center" wrapText="1"/>
    </xf>
    <xf numFmtId="0" fontId="69" fillId="11" borderId="41" xfId="0" applyFont="1" applyFill="1" applyBorder="1" applyAlignment="1">
      <alignment horizontal="left" vertical="top" wrapText="1"/>
    </xf>
    <xf numFmtId="0" fontId="4" fillId="0" borderId="19" xfId="0" applyFont="1" applyBorder="1" applyAlignment="1">
      <alignment horizontal="left" vertical="top" wrapText="1"/>
    </xf>
    <xf numFmtId="0" fontId="4" fillId="0" borderId="0" xfId="0" applyFont="1" applyAlignment="1">
      <alignment horizontal="center" wrapText="1"/>
    </xf>
    <xf numFmtId="0" fontId="4" fillId="0" borderId="69" xfId="0" applyFont="1" applyBorder="1" applyAlignment="1">
      <alignment horizontal="center" wrapText="1"/>
    </xf>
    <xf numFmtId="0" fontId="4" fillId="0" borderId="59" xfId="0" applyFont="1" applyBorder="1" applyAlignment="1">
      <alignment horizontal="center" wrapText="1"/>
    </xf>
    <xf numFmtId="0" fontId="4" fillId="0" borderId="10" xfId="0" applyFont="1" applyBorder="1" applyAlignment="1">
      <alignment horizontal="center" wrapText="1"/>
    </xf>
    <xf numFmtId="0" fontId="4" fillId="0" borderId="0" xfId="0" applyFont="1" applyBorder="1" applyAlignment="1">
      <alignment horizontal="center" wrapText="1"/>
    </xf>
    <xf numFmtId="49" fontId="4" fillId="0" borderId="69" xfId="0" applyNumberFormat="1" applyFont="1" applyFill="1" applyBorder="1" applyAlignment="1">
      <alignment horizontal="center" vertical="top" wrapText="1"/>
    </xf>
    <xf numFmtId="49" fontId="5" fillId="0" borderId="34" xfId="0" applyNumberFormat="1" applyFont="1" applyFill="1" applyBorder="1" applyAlignment="1">
      <alignment horizontal="left" vertical="center" wrapText="1"/>
    </xf>
    <xf numFmtId="49" fontId="5" fillId="0" borderId="53" xfId="0" applyNumberFormat="1" applyFont="1" applyFill="1" applyBorder="1" applyAlignment="1">
      <alignment horizontal="left" vertical="center" wrapText="1"/>
    </xf>
    <xf numFmtId="49" fontId="5" fillId="0" borderId="41" xfId="0" applyNumberFormat="1" applyFont="1" applyFill="1" applyBorder="1" applyAlignment="1">
      <alignment horizontal="left" vertical="center" wrapText="1"/>
    </xf>
    <xf numFmtId="49" fontId="5" fillId="0" borderId="68" xfId="0" applyNumberFormat="1" applyFont="1" applyFill="1" applyBorder="1" applyAlignment="1">
      <alignment horizontal="center" vertical="center" wrapText="1"/>
    </xf>
    <xf numFmtId="49" fontId="5" fillId="0" borderId="59" xfId="0" applyNumberFormat="1" applyFont="1" applyFill="1" applyBorder="1" applyAlignment="1">
      <alignment horizontal="center" vertical="center" wrapText="1"/>
    </xf>
    <xf numFmtId="49" fontId="5" fillId="0" borderId="30" xfId="0" applyNumberFormat="1" applyFont="1" applyFill="1" applyBorder="1" applyAlignment="1">
      <alignment horizontal="center" vertical="center" wrapText="1"/>
    </xf>
    <xf numFmtId="49" fontId="4" fillId="0" borderId="39" xfId="0" applyNumberFormat="1" applyFont="1" applyFill="1" applyBorder="1" applyAlignment="1">
      <alignment horizontal="left" vertical="top" wrapText="1"/>
    </xf>
    <xf numFmtId="49" fontId="4" fillId="0" borderId="55"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4" fillId="0" borderId="27" xfId="0" applyNumberFormat="1" applyFont="1" applyFill="1" applyBorder="1" applyAlignment="1">
      <alignment horizontal="left" vertical="top" wrapText="1"/>
    </xf>
    <xf numFmtId="0" fontId="4" fillId="0" borderId="47" xfId="0" applyFont="1" applyFill="1" applyBorder="1" applyAlignment="1">
      <alignment horizontal="left" vertical="top" wrapText="1"/>
    </xf>
    <xf numFmtId="0" fontId="23" fillId="0" borderId="23" xfId="0" applyFont="1" applyFill="1" applyBorder="1" applyAlignment="1">
      <alignment vertical="top" wrapText="1"/>
    </xf>
    <xf numFmtId="0" fontId="23" fillId="0" borderId="46" xfId="0" applyFont="1" applyBorder="1" applyAlignment="1">
      <alignment vertical="top" wrapText="1"/>
    </xf>
    <xf numFmtId="0" fontId="23" fillId="0" borderId="68" xfId="0" applyFont="1" applyBorder="1" applyAlignment="1">
      <alignment vertical="top" wrapText="1"/>
    </xf>
    <xf numFmtId="0" fontId="23" fillId="0" borderId="64" xfId="0" applyFont="1" applyBorder="1" applyAlignment="1">
      <alignment vertical="top" wrapText="1"/>
    </xf>
    <xf numFmtId="0" fontId="23" fillId="0" borderId="22" xfId="0" applyFont="1" applyBorder="1" applyAlignment="1">
      <alignment vertical="top" wrapText="1"/>
    </xf>
    <xf numFmtId="0" fontId="23" fillId="0" borderId="68" xfId="0" applyFont="1" applyFill="1" applyBorder="1" applyAlignment="1">
      <alignment vertical="top" wrapText="1"/>
    </xf>
    <xf numFmtId="0" fontId="23" fillId="0" borderId="23" xfId="0" applyFont="1" applyBorder="1" applyAlignment="1">
      <alignment horizontal="left" vertical="top" wrapText="1"/>
    </xf>
    <xf numFmtId="0" fontId="23" fillId="0" borderId="46" xfId="0" applyFont="1" applyBorder="1" applyAlignment="1">
      <alignment horizontal="left" vertical="top" wrapText="1"/>
    </xf>
    <xf numFmtId="0" fontId="23" fillId="0" borderId="42" xfId="0" applyFont="1" applyBorder="1" applyAlignment="1">
      <alignment horizontal="left" vertical="top" wrapText="1"/>
    </xf>
    <xf numFmtId="0" fontId="23" fillId="0" borderId="68" xfId="0" applyFont="1" applyBorder="1" applyAlignment="1">
      <alignment horizontal="left" vertical="top" wrapText="1"/>
    </xf>
    <xf numFmtId="0" fontId="23" fillId="0" borderId="64" xfId="0" applyFont="1" applyBorder="1" applyAlignment="1">
      <alignment horizontal="left" vertical="top" wrapText="1"/>
    </xf>
    <xf numFmtId="0" fontId="23" fillId="0" borderId="22" xfId="0" applyFont="1" applyBorder="1" applyAlignment="1">
      <alignment horizontal="left" vertical="top" wrapText="1"/>
    </xf>
    <xf numFmtId="0" fontId="23" fillId="0" borderId="46" xfId="0" applyFont="1" applyFill="1" applyBorder="1" applyAlignment="1">
      <alignment vertical="top" wrapText="1"/>
    </xf>
    <xf numFmtId="0" fontId="23" fillId="0" borderId="42" xfId="0" applyFont="1" applyFill="1" applyBorder="1" applyAlignment="1">
      <alignment vertical="top" wrapText="1"/>
    </xf>
    <xf numFmtId="0" fontId="23" fillId="0" borderId="13" xfId="0" applyFont="1" applyFill="1" applyBorder="1" applyAlignment="1">
      <alignment vertical="top" wrapText="1"/>
    </xf>
    <xf numFmtId="0" fontId="23" fillId="0" borderId="13" xfId="0" applyFont="1" applyBorder="1" applyAlignment="1">
      <alignment vertical="top" wrapText="1"/>
    </xf>
    <xf numFmtId="0" fontId="30" fillId="0" borderId="13" xfId="0" applyFont="1" applyBorder="1" applyAlignment="1">
      <alignment vertical="top" wrapText="1"/>
    </xf>
    <xf numFmtId="0" fontId="4" fillId="0" borderId="23" xfId="0" applyNumberFormat="1" applyFont="1" applyFill="1" applyBorder="1" applyAlignment="1" applyProtection="1">
      <alignment horizontal="left" vertical="top" wrapText="1"/>
    </xf>
    <xf numFmtId="0" fontId="23" fillId="0" borderId="46" xfId="0" applyNumberFormat="1" applyFont="1" applyFill="1" applyBorder="1" applyAlignment="1" applyProtection="1">
      <alignment horizontal="left" vertical="top" wrapText="1"/>
    </xf>
    <xf numFmtId="0" fontId="23" fillId="0" borderId="42" xfId="0" applyNumberFormat="1" applyFont="1" applyFill="1" applyBorder="1" applyAlignment="1" applyProtection="1">
      <alignment horizontal="left" vertical="top" wrapText="1"/>
    </xf>
    <xf numFmtId="0" fontId="30" fillId="0" borderId="10" xfId="0" applyFont="1" applyFill="1" applyBorder="1" applyAlignment="1">
      <alignment horizontal="center" vertical="top" wrapText="1"/>
    </xf>
    <xf numFmtId="0" fontId="23" fillId="0" borderId="42" xfId="0" applyFont="1" applyBorder="1" applyAlignment="1">
      <alignment vertical="top" wrapText="1"/>
    </xf>
    <xf numFmtId="0" fontId="4" fillId="6" borderId="26" xfId="0" applyFont="1" applyFill="1" applyBorder="1" applyAlignment="1">
      <alignment horizontal="right" vertical="center" wrapText="1"/>
    </xf>
    <xf numFmtId="0" fontId="4" fillId="6" borderId="15" xfId="0" applyFont="1" applyFill="1" applyBorder="1" applyAlignment="1">
      <alignment horizontal="right" vertical="center" wrapText="1"/>
    </xf>
    <xf numFmtId="0" fontId="4" fillId="6" borderId="6" xfId="0" applyFont="1" applyFill="1" applyBorder="1" applyAlignment="1">
      <alignment horizontal="right" vertical="center" wrapText="1"/>
    </xf>
    <xf numFmtId="0" fontId="23" fillId="0" borderId="23" xfId="0" applyFont="1" applyBorder="1" applyAlignment="1">
      <alignment horizontal="left" vertical="top"/>
    </xf>
    <xf numFmtId="0" fontId="23" fillId="0" borderId="46" xfId="0" applyFont="1" applyBorder="1" applyAlignment="1">
      <alignment horizontal="left" vertical="top"/>
    </xf>
    <xf numFmtId="0" fontId="23" fillId="0" borderId="42" xfId="0" applyFont="1" applyBorder="1" applyAlignment="1">
      <alignment horizontal="left" vertical="top"/>
    </xf>
    <xf numFmtId="0" fontId="23" fillId="0" borderId="46" xfId="0" applyFont="1" applyFill="1" applyBorder="1" applyAlignment="1">
      <alignment horizontal="left" vertical="top" wrapText="1"/>
    </xf>
    <xf numFmtId="0" fontId="23" fillId="0" borderId="23" xfId="0" applyFont="1" applyFill="1" applyBorder="1" applyAlignment="1">
      <alignment horizontal="left" vertical="top" wrapText="1"/>
    </xf>
    <xf numFmtId="0" fontId="23" fillId="0" borderId="42" xfId="0" applyFont="1" applyFill="1" applyBorder="1" applyAlignment="1">
      <alignment horizontal="left" vertical="top" wrapText="1"/>
    </xf>
    <xf numFmtId="0" fontId="23" fillId="0" borderId="23" xfId="0" applyFont="1" applyBorder="1" applyAlignment="1">
      <alignment vertical="top" wrapText="1"/>
    </xf>
    <xf numFmtId="0" fontId="4" fillId="6" borderId="20" xfId="0" applyFont="1" applyFill="1" applyBorder="1" applyAlignment="1">
      <alignment horizontal="right" vertical="center" wrapText="1"/>
    </xf>
    <xf numFmtId="0" fontId="4" fillId="6" borderId="36" xfId="0" applyFont="1" applyFill="1" applyBorder="1" applyAlignment="1">
      <alignment horizontal="right" vertical="center" wrapText="1"/>
    </xf>
    <xf numFmtId="0" fontId="4" fillId="6" borderId="50" xfId="0" applyFont="1" applyFill="1" applyBorder="1" applyAlignment="1">
      <alignment horizontal="right" vertical="center" wrapText="1"/>
    </xf>
    <xf numFmtId="0" fontId="4" fillId="6" borderId="25" xfId="0" applyFont="1" applyFill="1" applyBorder="1" applyAlignment="1">
      <alignment horizontal="right" vertical="center" wrapText="1"/>
    </xf>
    <xf numFmtId="0" fontId="4" fillId="6" borderId="63" xfId="0" applyFont="1" applyFill="1" applyBorder="1" applyAlignment="1">
      <alignment horizontal="right" vertical="center" wrapText="1"/>
    </xf>
    <xf numFmtId="0" fontId="4" fillId="6" borderId="66" xfId="0" applyFont="1" applyFill="1" applyBorder="1" applyAlignment="1">
      <alignment horizontal="right" vertical="center" wrapText="1"/>
    </xf>
    <xf numFmtId="0" fontId="23" fillId="0" borderId="13" xfId="0" applyFont="1" applyFill="1" applyBorder="1" applyAlignment="1">
      <alignment horizontal="left" vertical="top" wrapText="1"/>
    </xf>
    <xf numFmtId="0" fontId="23" fillId="0" borderId="64" xfId="0" applyFont="1" applyFill="1" applyBorder="1" applyAlignment="1">
      <alignment vertical="top" wrapText="1"/>
    </xf>
    <xf numFmtId="0" fontId="23" fillId="0" borderId="22" xfId="0" applyFont="1" applyFill="1" applyBorder="1" applyAlignment="1">
      <alignment vertical="top" wrapText="1"/>
    </xf>
    <xf numFmtId="1" fontId="23" fillId="0" borderId="68" xfId="0" applyNumberFormat="1" applyFont="1" applyBorder="1" applyAlignment="1">
      <alignment horizontal="left" vertical="top" wrapText="1"/>
    </xf>
    <xf numFmtId="1" fontId="23" fillId="0" borderId="64" xfId="0" applyNumberFormat="1" applyFont="1" applyBorder="1" applyAlignment="1">
      <alignment horizontal="left" vertical="top" wrapText="1"/>
    </xf>
    <xf numFmtId="1" fontId="23" fillId="0" borderId="22" xfId="0" applyNumberFormat="1" applyFont="1" applyBorder="1" applyAlignment="1">
      <alignment horizontal="left" vertical="top" wrapText="1"/>
    </xf>
    <xf numFmtId="0" fontId="23" fillId="0" borderId="68" xfId="0" applyFont="1" applyFill="1" applyBorder="1" applyAlignment="1">
      <alignment horizontal="left" vertical="top" wrapText="1"/>
    </xf>
    <xf numFmtId="0" fontId="23" fillId="0" borderId="64" xfId="0" applyFont="1" applyFill="1" applyBorder="1" applyAlignment="1">
      <alignment horizontal="left" vertical="top" wrapText="1"/>
    </xf>
    <xf numFmtId="0" fontId="23" fillId="0" borderId="22" xfId="0" applyFont="1" applyFill="1" applyBorder="1" applyAlignment="1">
      <alignment horizontal="left" vertical="top" wrapText="1"/>
    </xf>
    <xf numFmtId="1" fontId="23" fillId="0" borderId="23" xfId="0" applyNumberFormat="1" applyFont="1" applyBorder="1" applyAlignment="1">
      <alignment horizontal="left" vertical="top" wrapText="1"/>
    </xf>
    <xf numFmtId="1" fontId="23" fillId="0" borderId="46" xfId="0" applyNumberFormat="1" applyFont="1" applyBorder="1" applyAlignment="1">
      <alignment horizontal="left" vertical="top" wrapText="1"/>
    </xf>
    <xf numFmtId="1" fontId="23" fillId="0" borderId="42" xfId="0" applyNumberFormat="1" applyFont="1" applyBorder="1" applyAlignment="1">
      <alignment horizontal="left" vertical="top" wrapText="1"/>
    </xf>
    <xf numFmtId="1" fontId="34" fillId="0" borderId="22" xfId="0" applyNumberFormat="1" applyFont="1" applyBorder="1" applyAlignment="1">
      <alignment horizontal="center" vertical="center"/>
    </xf>
    <xf numFmtId="1" fontId="34" fillId="0" borderId="10" xfId="0" applyNumberFormat="1" applyFont="1" applyBorder="1" applyAlignment="1">
      <alignment horizontal="center" vertical="center"/>
    </xf>
    <xf numFmtId="0" fontId="7" fillId="0" borderId="34" xfId="0" applyFont="1" applyFill="1" applyBorder="1" applyAlignment="1">
      <alignment horizontal="right" vertical="center"/>
    </xf>
    <xf numFmtId="0" fontId="7" fillId="0" borderId="53" xfId="0" applyFont="1" applyFill="1" applyBorder="1" applyAlignment="1">
      <alignment horizontal="right" vertical="center"/>
    </xf>
    <xf numFmtId="0" fontId="7" fillId="0" borderId="41" xfId="0" applyFont="1" applyFill="1" applyBorder="1" applyAlignment="1">
      <alignment horizontal="right" vertical="center"/>
    </xf>
    <xf numFmtId="0" fontId="4" fillId="0" borderId="33" xfId="0" applyFont="1" applyFill="1" applyBorder="1" applyAlignment="1">
      <alignment vertical="top" wrapText="1"/>
    </xf>
    <xf numFmtId="0" fontId="4" fillId="0" borderId="27" xfId="0" applyFont="1" applyFill="1" applyBorder="1" applyAlignment="1">
      <alignment vertical="top" wrapText="1"/>
    </xf>
    <xf numFmtId="0" fontId="4" fillId="0" borderId="33" xfId="0" applyFont="1" applyBorder="1" applyAlignment="1">
      <alignment vertical="top" wrapText="1"/>
    </xf>
    <xf numFmtId="0" fontId="4" fillId="0" borderId="27" xfId="0" applyFont="1" applyBorder="1" applyAlignment="1">
      <alignment vertical="top" wrapText="1"/>
    </xf>
    <xf numFmtId="0" fontId="4" fillId="0" borderId="54" xfId="0" applyFont="1" applyBorder="1" applyAlignment="1">
      <alignment vertical="top" wrapText="1"/>
    </xf>
    <xf numFmtId="0" fontId="4" fillId="0" borderId="55" xfId="0" applyFont="1" applyBorder="1" applyAlignment="1">
      <alignment vertical="top" wrapText="1"/>
    </xf>
    <xf numFmtId="0" fontId="46" fillId="0" borderId="33" xfId="0" applyFont="1" applyFill="1" applyBorder="1" applyAlignment="1">
      <alignment vertical="top" wrapText="1"/>
    </xf>
    <xf numFmtId="0" fontId="46" fillId="0" borderId="27" xfId="0" applyFont="1" applyFill="1" applyBorder="1" applyAlignment="1">
      <alignment vertical="top" wrapText="1"/>
    </xf>
    <xf numFmtId="0" fontId="46" fillId="0" borderId="60" xfId="0" applyFont="1" applyFill="1" applyBorder="1" applyAlignment="1">
      <alignment vertical="top" wrapText="1"/>
    </xf>
    <xf numFmtId="0" fontId="46" fillId="0" borderId="40" xfId="0" applyFont="1" applyFill="1" applyBorder="1" applyAlignment="1">
      <alignment vertical="top" wrapText="1"/>
    </xf>
    <xf numFmtId="0" fontId="69" fillId="11" borderId="16" xfId="0" applyFont="1" applyFill="1" applyBorder="1" applyAlignment="1">
      <alignment horizontal="left" vertical="top" wrapText="1"/>
    </xf>
    <xf numFmtId="2" fontId="4" fillId="28" borderId="60" xfId="0" applyNumberFormat="1" applyFont="1" applyFill="1" applyBorder="1" applyAlignment="1">
      <alignment horizontal="left" vertical="center" wrapText="1"/>
    </xf>
    <xf numFmtId="2" fontId="4" fillId="28" borderId="47" xfId="0" applyNumberFormat="1" applyFont="1" applyFill="1" applyBorder="1" applyAlignment="1">
      <alignment horizontal="left" vertical="center" wrapText="1"/>
    </xf>
    <xf numFmtId="2" fontId="4" fillId="28" borderId="33" xfId="0" applyNumberFormat="1" applyFont="1" applyFill="1" applyBorder="1" applyAlignment="1">
      <alignment horizontal="left" vertical="center" wrapText="1"/>
    </xf>
    <xf numFmtId="2" fontId="4" fillId="28" borderId="1" xfId="0" applyNumberFormat="1" applyFont="1" applyFill="1" applyBorder="1" applyAlignment="1">
      <alignment horizontal="left" vertical="center" wrapText="1"/>
    </xf>
    <xf numFmtId="2" fontId="4" fillId="28" borderId="54" xfId="0" applyNumberFormat="1" applyFont="1" applyFill="1" applyBorder="1" applyAlignment="1">
      <alignment horizontal="left" vertical="center" wrapText="1"/>
    </xf>
    <xf numFmtId="2" fontId="4" fillId="28" borderId="39" xfId="0" applyNumberFormat="1" applyFont="1" applyFill="1" applyBorder="1" applyAlignment="1">
      <alignment horizontal="left" vertical="center" wrapText="1"/>
    </xf>
    <xf numFmtId="0" fontId="5" fillId="0" borderId="53" xfId="0" applyFont="1" applyBorder="1" applyAlignment="1">
      <alignment horizontal="center" vertical="top" wrapText="1"/>
    </xf>
    <xf numFmtId="0" fontId="5" fillId="0" borderId="10" xfId="0" applyFont="1" applyBorder="1" applyAlignment="1">
      <alignment horizontal="center" vertical="top" wrapText="1"/>
    </xf>
    <xf numFmtId="0" fontId="4" fillId="0" borderId="34" xfId="0" applyFont="1" applyBorder="1" applyAlignment="1">
      <alignment horizontal="left" vertical="top" wrapText="1"/>
    </xf>
    <xf numFmtId="0" fontId="4" fillId="0" borderId="41" xfId="0" applyFont="1" applyBorder="1" applyAlignment="1">
      <alignment horizontal="left" vertical="top" wrapText="1"/>
    </xf>
    <xf numFmtId="0" fontId="7" fillId="0" borderId="34" xfId="0" applyFont="1" applyFill="1" applyBorder="1" applyAlignment="1">
      <alignment horizontal="right" vertical="center" wrapText="1"/>
    </xf>
    <xf numFmtId="0" fontId="7" fillId="0" borderId="53" xfId="0" applyFont="1" applyFill="1" applyBorder="1" applyAlignment="1">
      <alignment horizontal="right" vertical="center" wrapText="1"/>
    </xf>
    <xf numFmtId="0" fontId="7" fillId="0" borderId="41" xfId="0" applyFont="1" applyFill="1" applyBorder="1" applyAlignment="1">
      <alignment horizontal="right" vertical="center" wrapText="1"/>
    </xf>
    <xf numFmtId="0" fontId="15" fillId="21" borderId="34" xfId="0" applyFont="1" applyFill="1" applyBorder="1" applyAlignment="1">
      <alignment horizontal="center" vertical="center" wrapText="1"/>
    </xf>
    <xf numFmtId="0" fontId="15" fillId="21" borderId="41" xfId="0" applyFont="1" applyFill="1" applyBorder="1" applyAlignment="1">
      <alignment horizontal="center" vertical="center" wrapText="1"/>
    </xf>
    <xf numFmtId="1" fontId="4" fillId="0" borderId="22" xfId="0" applyNumberFormat="1" applyFont="1" applyBorder="1" applyAlignment="1">
      <alignment horizontal="center" vertical="center" wrapText="1"/>
    </xf>
    <xf numFmtId="1" fontId="4" fillId="0" borderId="10" xfId="0" applyNumberFormat="1" applyFont="1" applyBorder="1" applyAlignment="1">
      <alignment horizontal="center" vertical="center" wrapText="1"/>
    </xf>
  </cellXfs>
  <cellStyles count="2">
    <cellStyle name="Normal" xfId="0" builtinId="0"/>
    <cellStyle name="Normal 2" xfId="1"/>
  </cellStyles>
  <dxfs count="5">
    <dxf>
      <fill>
        <patternFill>
          <fgColor theme="0"/>
          <bgColor theme="0"/>
        </patternFill>
      </fill>
    </dxf>
    <dxf>
      <font>
        <condense val="0"/>
        <extend val="0"/>
        <color rgb="FF9C0006"/>
      </font>
      <fill>
        <patternFill>
          <bgColor rgb="FFFFC7CE"/>
        </patternFill>
      </fill>
    </dxf>
    <dxf>
      <fill>
        <patternFill>
          <bgColor rgb="FFFF0000"/>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00CC"/>
      <color rgb="FFFFCC00"/>
      <color rgb="FFFF99CC"/>
      <color rgb="FF00CCFF"/>
      <color rgb="FF00FF00"/>
      <color rgb="FFE6B9B8"/>
      <color rgb="FF93CDDD"/>
      <color rgb="FFCCFFFF"/>
      <color rgb="FF66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s>
</file>

<file path=xl/drawings/drawing1.xml><?xml version="1.0" encoding="utf-8"?>
<xdr:wsDr xmlns:xdr="http://schemas.openxmlformats.org/drawingml/2006/spreadsheetDrawing" xmlns:a="http://schemas.openxmlformats.org/drawingml/2006/main">
  <xdr:oneCellAnchor>
    <xdr:from>
      <xdr:col>4</xdr:col>
      <xdr:colOff>0</xdr:colOff>
      <xdr:row>305</xdr:row>
      <xdr:rowOff>0</xdr:rowOff>
    </xdr:from>
    <xdr:ext cx="3529844" cy="1683569"/>
    <xdr:sp macro="" textlink="">
      <xdr:nvSpPr>
        <xdr:cNvPr id="3" name="TextBox 2"/>
        <xdr:cNvSpPr txBox="1"/>
      </xdr:nvSpPr>
      <xdr:spPr>
        <a:xfrm>
          <a:off x="13346906" y="18407062"/>
          <a:ext cx="2619375" cy="1774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744986"/>
    <xdr:sp macro="" textlink="">
      <xdr:nvSpPr>
        <xdr:cNvPr id="4" name="TextBox 3"/>
        <xdr:cNvSpPr txBox="1"/>
      </xdr:nvSpPr>
      <xdr:spPr>
        <a:xfrm>
          <a:off x="15188565" y="13144500"/>
          <a:ext cx="341705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76302"/>
    <xdr:sp macro="" textlink="">
      <xdr:nvSpPr>
        <xdr:cNvPr id="5" name="TextBox 4"/>
        <xdr:cNvSpPr txBox="1"/>
      </xdr:nvSpPr>
      <xdr:spPr>
        <a:xfrm>
          <a:off x="14521815" y="23256240"/>
          <a:ext cx="341705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6" name="TextBox 5"/>
        <xdr:cNvSpPr txBox="1"/>
      </xdr:nvSpPr>
      <xdr:spPr>
        <a:xfrm>
          <a:off x="694944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42629"/>
    <xdr:sp macro="" textlink="">
      <xdr:nvSpPr>
        <xdr:cNvPr id="7" name="TextBox 6"/>
        <xdr:cNvSpPr txBox="1"/>
      </xdr:nvSpPr>
      <xdr:spPr>
        <a:xfrm>
          <a:off x="10511790" y="172021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676302"/>
    <xdr:sp macro="" textlink="">
      <xdr:nvSpPr>
        <xdr:cNvPr id="8" name="TextBox 7"/>
        <xdr:cNvSpPr txBox="1"/>
      </xdr:nvSpPr>
      <xdr:spPr>
        <a:xfrm>
          <a:off x="10511790" y="265747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9" name="TextBox 8"/>
        <xdr:cNvSpPr txBox="1"/>
      </xdr:nvSpPr>
      <xdr:spPr>
        <a:xfrm>
          <a:off x="986409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10" name="TextBox 9"/>
        <xdr:cNvSpPr txBox="1"/>
      </xdr:nvSpPr>
      <xdr:spPr>
        <a:xfrm>
          <a:off x="17636490" y="172021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11" name="TextBox 10"/>
        <xdr:cNvSpPr txBox="1"/>
      </xdr:nvSpPr>
      <xdr:spPr>
        <a:xfrm>
          <a:off x="17636490" y="265747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1363" cy="1676302"/>
    <xdr:sp macro="" textlink="">
      <xdr:nvSpPr>
        <xdr:cNvPr id="12" name="TextBox 11"/>
        <xdr:cNvSpPr txBox="1"/>
      </xdr:nvSpPr>
      <xdr:spPr>
        <a:xfrm>
          <a:off x="1310640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445197" cy="1676302"/>
    <xdr:sp macro="" textlink="">
      <xdr:nvSpPr>
        <xdr:cNvPr id="13" name="TextBox 12"/>
        <xdr:cNvSpPr txBox="1"/>
      </xdr:nvSpPr>
      <xdr:spPr>
        <a:xfrm>
          <a:off x="21846540" y="801052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14" name="TextBox 13"/>
        <xdr:cNvSpPr txBox="1"/>
      </xdr:nvSpPr>
      <xdr:spPr>
        <a:xfrm>
          <a:off x="12454890" y="172021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15" name="TextBox 14"/>
        <xdr:cNvSpPr txBox="1"/>
      </xdr:nvSpPr>
      <xdr:spPr>
        <a:xfrm>
          <a:off x="12454890" y="26574750"/>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76039"/>
    <xdr:sp macro="" textlink="">
      <xdr:nvSpPr>
        <xdr:cNvPr id="16" name="TextBox 15"/>
        <xdr:cNvSpPr txBox="1"/>
      </xdr:nvSpPr>
      <xdr:spPr>
        <a:xfrm>
          <a:off x="10511790" y="24603075"/>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17" name="TextBox 16"/>
        <xdr:cNvSpPr txBox="1"/>
      </xdr:nvSpPr>
      <xdr:spPr>
        <a:xfrm>
          <a:off x="17636490" y="24603075"/>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18" name="TextBox 17"/>
        <xdr:cNvSpPr txBox="1"/>
      </xdr:nvSpPr>
      <xdr:spPr>
        <a:xfrm>
          <a:off x="12454890" y="24603075"/>
          <a:ext cx="3510997" cy="1734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620421"/>
    <xdr:sp macro="" textlink="">
      <xdr:nvSpPr>
        <xdr:cNvPr id="19" name="TextBox 18"/>
        <xdr:cNvSpPr txBox="1"/>
      </xdr:nvSpPr>
      <xdr:spPr>
        <a:xfrm>
          <a:off x="37623750" y="33366075"/>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842257"/>
    <xdr:sp macro="" textlink="">
      <xdr:nvSpPr>
        <xdr:cNvPr id="20" name="TextBox 19"/>
        <xdr:cNvSpPr txBox="1"/>
      </xdr:nvSpPr>
      <xdr:spPr>
        <a:xfrm>
          <a:off x="37623750" y="26346150"/>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587258"/>
    <xdr:sp macro="" textlink="">
      <xdr:nvSpPr>
        <xdr:cNvPr id="21" name="TextBox 20"/>
        <xdr:cNvSpPr txBox="1"/>
      </xdr:nvSpPr>
      <xdr:spPr>
        <a:xfrm>
          <a:off x="37623750" y="33366075"/>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932" cy="1587258"/>
    <xdr:sp macro="" textlink="">
      <xdr:nvSpPr>
        <xdr:cNvPr id="22" name="TextBox 21"/>
        <xdr:cNvSpPr txBox="1"/>
      </xdr:nvSpPr>
      <xdr:spPr>
        <a:xfrm>
          <a:off x="59449335" y="33366075"/>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23" name="TextBox 22"/>
        <xdr:cNvSpPr txBox="1"/>
      </xdr:nvSpPr>
      <xdr:spPr>
        <a:xfrm>
          <a:off x="65522475" y="2634615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24" name="TextBox 23"/>
        <xdr:cNvSpPr txBox="1"/>
      </xdr:nvSpPr>
      <xdr:spPr>
        <a:xfrm>
          <a:off x="65522475" y="3336607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593" cy="1587258"/>
    <xdr:sp macro="" textlink="">
      <xdr:nvSpPr>
        <xdr:cNvPr id="25" name="TextBox 24"/>
        <xdr:cNvSpPr txBox="1"/>
      </xdr:nvSpPr>
      <xdr:spPr>
        <a:xfrm>
          <a:off x="61102875" y="33366075"/>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8203" cy="1587258"/>
    <xdr:sp macro="" textlink="">
      <xdr:nvSpPr>
        <xdr:cNvPr id="26" name="TextBox 25"/>
        <xdr:cNvSpPr txBox="1"/>
      </xdr:nvSpPr>
      <xdr:spPr>
        <a:xfrm>
          <a:off x="76019025" y="33366075"/>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27" name="TextBox 26"/>
        <xdr:cNvSpPr txBox="1"/>
      </xdr:nvSpPr>
      <xdr:spPr>
        <a:xfrm>
          <a:off x="60554235" y="2634615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28" name="TextBox 27"/>
        <xdr:cNvSpPr txBox="1"/>
      </xdr:nvSpPr>
      <xdr:spPr>
        <a:xfrm>
          <a:off x="60554235" y="3336607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29" name="TextBox 28"/>
        <xdr:cNvSpPr txBox="1"/>
      </xdr:nvSpPr>
      <xdr:spPr>
        <a:xfrm>
          <a:off x="64697610" y="4087177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30" name="TextBox 29"/>
        <xdr:cNvSpPr txBox="1"/>
      </xdr:nvSpPr>
      <xdr:spPr>
        <a:xfrm>
          <a:off x="60278010" y="4087177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222"/>
    <xdr:sp macro="" textlink="">
      <xdr:nvSpPr>
        <xdr:cNvPr id="31" name="TextBox 30"/>
        <xdr:cNvSpPr txBox="1"/>
      </xdr:nvSpPr>
      <xdr:spPr>
        <a:xfrm>
          <a:off x="21878925" y="33366075"/>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748771"/>
    <xdr:sp macro="" textlink="">
      <xdr:nvSpPr>
        <xdr:cNvPr id="32" name="TextBox 31"/>
        <xdr:cNvSpPr txBox="1"/>
      </xdr:nvSpPr>
      <xdr:spPr>
        <a:xfrm>
          <a:off x="21878925" y="26346150"/>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119"/>
    <xdr:sp macro="" textlink="">
      <xdr:nvSpPr>
        <xdr:cNvPr id="33" name="TextBox 32"/>
        <xdr:cNvSpPr txBox="1"/>
      </xdr:nvSpPr>
      <xdr:spPr>
        <a:xfrm>
          <a:off x="21878925" y="33366075"/>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114" cy="1662119"/>
    <xdr:sp macro="" textlink="">
      <xdr:nvSpPr>
        <xdr:cNvPr id="34" name="TextBox 33"/>
        <xdr:cNvSpPr txBox="1"/>
      </xdr:nvSpPr>
      <xdr:spPr>
        <a:xfrm>
          <a:off x="21878925" y="33366075"/>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731221"/>
    <xdr:sp macro="" textlink="">
      <xdr:nvSpPr>
        <xdr:cNvPr id="35" name="TextBox 34"/>
        <xdr:cNvSpPr txBox="1"/>
      </xdr:nvSpPr>
      <xdr:spPr>
        <a:xfrm>
          <a:off x="21878925" y="26346150"/>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662119"/>
    <xdr:sp macro="" textlink="">
      <xdr:nvSpPr>
        <xdr:cNvPr id="36" name="TextBox 35"/>
        <xdr:cNvSpPr txBox="1"/>
      </xdr:nvSpPr>
      <xdr:spPr>
        <a:xfrm>
          <a:off x="21878925" y="33366075"/>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37" name="TextBox 36"/>
        <xdr:cNvSpPr txBox="1"/>
      </xdr:nvSpPr>
      <xdr:spPr>
        <a:xfrm>
          <a:off x="21878925" y="3336607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731221"/>
    <xdr:sp macro="" textlink="">
      <xdr:nvSpPr>
        <xdr:cNvPr id="38" name="TextBox 37"/>
        <xdr:cNvSpPr txBox="1"/>
      </xdr:nvSpPr>
      <xdr:spPr>
        <a:xfrm>
          <a:off x="21878925" y="26346150"/>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39" name="TextBox 38"/>
        <xdr:cNvSpPr txBox="1"/>
      </xdr:nvSpPr>
      <xdr:spPr>
        <a:xfrm>
          <a:off x="21878925" y="3336607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4833" cy="1662119"/>
    <xdr:sp macro="" textlink="">
      <xdr:nvSpPr>
        <xdr:cNvPr id="40" name="TextBox 39"/>
        <xdr:cNvSpPr txBox="1"/>
      </xdr:nvSpPr>
      <xdr:spPr>
        <a:xfrm>
          <a:off x="21878925" y="33366075"/>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731221"/>
    <xdr:sp macro="" textlink="">
      <xdr:nvSpPr>
        <xdr:cNvPr id="41" name="TextBox 40"/>
        <xdr:cNvSpPr txBox="1"/>
      </xdr:nvSpPr>
      <xdr:spPr>
        <a:xfrm>
          <a:off x="21878925" y="26346150"/>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119"/>
    <xdr:sp macro="" textlink="">
      <xdr:nvSpPr>
        <xdr:cNvPr id="42" name="TextBox 41"/>
        <xdr:cNvSpPr txBox="1"/>
      </xdr:nvSpPr>
      <xdr:spPr>
        <a:xfrm>
          <a:off x="21878925" y="33366075"/>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877" cy="1662343"/>
    <xdr:sp macro="" textlink="">
      <xdr:nvSpPr>
        <xdr:cNvPr id="43" name="TextBox 42"/>
        <xdr:cNvSpPr txBox="1"/>
      </xdr:nvSpPr>
      <xdr:spPr>
        <a:xfrm>
          <a:off x="21878925" y="40871775"/>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343"/>
    <xdr:sp macro="" textlink="">
      <xdr:nvSpPr>
        <xdr:cNvPr id="44" name="TextBox 43"/>
        <xdr:cNvSpPr txBox="1"/>
      </xdr:nvSpPr>
      <xdr:spPr>
        <a:xfrm>
          <a:off x="21878925" y="40871775"/>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343"/>
    <xdr:sp macro="" textlink="">
      <xdr:nvSpPr>
        <xdr:cNvPr id="45" name="TextBox 44"/>
        <xdr:cNvSpPr txBox="1"/>
      </xdr:nvSpPr>
      <xdr:spPr>
        <a:xfrm>
          <a:off x="21878925" y="40871775"/>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934"/>
    <xdr:sp macro="" textlink="">
      <xdr:nvSpPr>
        <xdr:cNvPr id="46" name="TextBox 45"/>
        <xdr:cNvSpPr txBox="1"/>
      </xdr:nvSpPr>
      <xdr:spPr>
        <a:xfrm>
          <a:off x="9725025" y="33366075"/>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742770"/>
    <xdr:sp macro="" textlink="">
      <xdr:nvSpPr>
        <xdr:cNvPr id="47" name="TextBox 46"/>
        <xdr:cNvSpPr txBox="1"/>
      </xdr:nvSpPr>
      <xdr:spPr>
        <a:xfrm>
          <a:off x="9725025" y="26346150"/>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831"/>
    <xdr:sp macro="" textlink="">
      <xdr:nvSpPr>
        <xdr:cNvPr id="48" name="TextBox 47"/>
        <xdr:cNvSpPr txBox="1"/>
      </xdr:nvSpPr>
      <xdr:spPr>
        <a:xfrm>
          <a:off x="9725025" y="33366075"/>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5023"/>
    <xdr:sp macro="" textlink="">
      <xdr:nvSpPr>
        <xdr:cNvPr id="49" name="TextBox 48"/>
        <xdr:cNvSpPr txBox="1"/>
      </xdr:nvSpPr>
      <xdr:spPr>
        <a:xfrm>
          <a:off x="73256775" y="33366075"/>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717993"/>
    <xdr:sp macro="" textlink="">
      <xdr:nvSpPr>
        <xdr:cNvPr id="50" name="TextBox 49"/>
        <xdr:cNvSpPr txBox="1"/>
      </xdr:nvSpPr>
      <xdr:spPr>
        <a:xfrm>
          <a:off x="73256775" y="26346150"/>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4935"/>
    <xdr:sp macro="" textlink="">
      <xdr:nvSpPr>
        <xdr:cNvPr id="51" name="TextBox 50"/>
        <xdr:cNvSpPr txBox="1"/>
      </xdr:nvSpPr>
      <xdr:spPr>
        <a:xfrm>
          <a:off x="73256775" y="33366075"/>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4773" cy="1434935"/>
    <xdr:sp macro="" textlink="">
      <xdr:nvSpPr>
        <xdr:cNvPr id="52" name="TextBox 51"/>
        <xdr:cNvSpPr txBox="1"/>
      </xdr:nvSpPr>
      <xdr:spPr>
        <a:xfrm>
          <a:off x="40675560" y="33366075"/>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53" name="TextBox 52"/>
        <xdr:cNvSpPr txBox="1"/>
      </xdr:nvSpPr>
      <xdr:spPr>
        <a:xfrm>
          <a:off x="52263675" y="3336607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54" name="TextBox 53"/>
        <xdr:cNvSpPr txBox="1"/>
      </xdr:nvSpPr>
      <xdr:spPr>
        <a:xfrm>
          <a:off x="52263675" y="2634615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55" name="TextBox 54"/>
        <xdr:cNvSpPr txBox="1"/>
      </xdr:nvSpPr>
      <xdr:spPr>
        <a:xfrm>
          <a:off x="52263675" y="3336607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56" name="TextBox 55"/>
        <xdr:cNvSpPr txBox="1"/>
      </xdr:nvSpPr>
      <xdr:spPr>
        <a:xfrm>
          <a:off x="11658600" y="3336607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57" name="TextBox 56"/>
        <xdr:cNvSpPr txBox="1"/>
      </xdr:nvSpPr>
      <xdr:spPr>
        <a:xfrm>
          <a:off x="11658600" y="2634615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58" name="TextBox 57"/>
        <xdr:cNvSpPr txBox="1"/>
      </xdr:nvSpPr>
      <xdr:spPr>
        <a:xfrm>
          <a:off x="11658600" y="3336607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59" name="TextBox 58"/>
        <xdr:cNvSpPr txBox="1"/>
      </xdr:nvSpPr>
      <xdr:spPr>
        <a:xfrm>
          <a:off x="77403960" y="3336607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60" name="TextBox 59"/>
        <xdr:cNvSpPr txBox="1"/>
      </xdr:nvSpPr>
      <xdr:spPr>
        <a:xfrm>
          <a:off x="56134635" y="3336607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746347"/>
    <xdr:sp macro="" textlink="">
      <xdr:nvSpPr>
        <xdr:cNvPr id="61" name="TextBox 60"/>
        <xdr:cNvSpPr txBox="1"/>
      </xdr:nvSpPr>
      <xdr:spPr>
        <a:xfrm>
          <a:off x="44256960" y="26346150"/>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661857"/>
    <xdr:sp macro="" textlink="">
      <xdr:nvSpPr>
        <xdr:cNvPr id="62" name="TextBox 61"/>
        <xdr:cNvSpPr txBox="1"/>
      </xdr:nvSpPr>
      <xdr:spPr>
        <a:xfrm>
          <a:off x="44256960" y="33366075"/>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178" cy="1661857"/>
    <xdr:sp macro="" textlink="">
      <xdr:nvSpPr>
        <xdr:cNvPr id="63" name="TextBox 62"/>
        <xdr:cNvSpPr txBox="1"/>
      </xdr:nvSpPr>
      <xdr:spPr>
        <a:xfrm>
          <a:off x="43704510" y="33366075"/>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9642" cy="1678802"/>
    <xdr:sp macro="" textlink="">
      <xdr:nvSpPr>
        <xdr:cNvPr id="64" name="TextBox 63"/>
        <xdr:cNvSpPr txBox="1"/>
      </xdr:nvSpPr>
      <xdr:spPr>
        <a:xfrm>
          <a:off x="43980735" y="40871775"/>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419"/>
    <xdr:sp macro="" textlink="">
      <xdr:nvSpPr>
        <xdr:cNvPr id="65" name="TextBox 64"/>
        <xdr:cNvSpPr txBox="1"/>
      </xdr:nvSpPr>
      <xdr:spPr>
        <a:xfrm>
          <a:off x="47844075" y="33366075"/>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759058"/>
    <xdr:sp macro="" textlink="">
      <xdr:nvSpPr>
        <xdr:cNvPr id="66" name="TextBox 65"/>
        <xdr:cNvSpPr txBox="1"/>
      </xdr:nvSpPr>
      <xdr:spPr>
        <a:xfrm>
          <a:off x="47844075" y="26346150"/>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316"/>
    <xdr:sp macro="" textlink="">
      <xdr:nvSpPr>
        <xdr:cNvPr id="67" name="TextBox 66"/>
        <xdr:cNvSpPr txBox="1"/>
      </xdr:nvSpPr>
      <xdr:spPr>
        <a:xfrm>
          <a:off x="47844075" y="33366075"/>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21" cy="1650316"/>
    <xdr:sp macro="" textlink="">
      <xdr:nvSpPr>
        <xdr:cNvPr id="68" name="TextBox 67"/>
        <xdr:cNvSpPr txBox="1"/>
      </xdr:nvSpPr>
      <xdr:spPr>
        <a:xfrm>
          <a:off x="47584360" y="33366075"/>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69" name="TextBox 68"/>
        <xdr:cNvSpPr txBox="1"/>
      </xdr:nvSpPr>
      <xdr:spPr>
        <a:xfrm>
          <a:off x="8909685" y="3336607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70" name="TextBox 69"/>
        <xdr:cNvSpPr txBox="1"/>
      </xdr:nvSpPr>
      <xdr:spPr>
        <a:xfrm>
          <a:off x="19949160" y="4087177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71" name="TextBox 70"/>
        <xdr:cNvSpPr txBox="1"/>
      </xdr:nvSpPr>
      <xdr:spPr>
        <a:xfrm>
          <a:off x="5309235" y="4087177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2021"/>
    <xdr:sp macro="" textlink="">
      <xdr:nvSpPr>
        <xdr:cNvPr id="72" name="TextBox 71"/>
        <xdr:cNvSpPr txBox="1"/>
      </xdr:nvSpPr>
      <xdr:spPr>
        <a:xfrm>
          <a:off x="9172575" y="33366075"/>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748948"/>
    <xdr:sp macro="" textlink="">
      <xdr:nvSpPr>
        <xdr:cNvPr id="73" name="TextBox 72"/>
        <xdr:cNvSpPr txBox="1"/>
      </xdr:nvSpPr>
      <xdr:spPr>
        <a:xfrm>
          <a:off x="9172575" y="26346150"/>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1918"/>
    <xdr:sp macro="" textlink="">
      <xdr:nvSpPr>
        <xdr:cNvPr id="74" name="TextBox 73"/>
        <xdr:cNvSpPr txBox="1"/>
      </xdr:nvSpPr>
      <xdr:spPr>
        <a:xfrm>
          <a:off x="9172575" y="33366075"/>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5265" cy="1661918"/>
    <xdr:sp macro="" textlink="">
      <xdr:nvSpPr>
        <xdr:cNvPr id="75" name="TextBox 74"/>
        <xdr:cNvSpPr txBox="1"/>
      </xdr:nvSpPr>
      <xdr:spPr>
        <a:xfrm>
          <a:off x="8093710" y="33366075"/>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945" cy="1661918"/>
    <xdr:sp macro="" textlink="">
      <xdr:nvSpPr>
        <xdr:cNvPr id="76" name="TextBox 75"/>
        <xdr:cNvSpPr txBox="1"/>
      </xdr:nvSpPr>
      <xdr:spPr>
        <a:xfrm>
          <a:off x="29639260" y="33366075"/>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2021"/>
    <xdr:sp macro="" textlink="">
      <xdr:nvSpPr>
        <xdr:cNvPr id="77" name="TextBox 76"/>
        <xdr:cNvSpPr txBox="1"/>
      </xdr:nvSpPr>
      <xdr:spPr>
        <a:xfrm>
          <a:off x="12211050" y="33366075"/>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748948"/>
    <xdr:sp macro="" textlink="">
      <xdr:nvSpPr>
        <xdr:cNvPr id="78" name="TextBox 77"/>
        <xdr:cNvSpPr txBox="1"/>
      </xdr:nvSpPr>
      <xdr:spPr>
        <a:xfrm>
          <a:off x="12211050" y="26346150"/>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1918"/>
    <xdr:sp macro="" textlink="">
      <xdr:nvSpPr>
        <xdr:cNvPr id="79" name="TextBox 78"/>
        <xdr:cNvSpPr txBox="1"/>
      </xdr:nvSpPr>
      <xdr:spPr>
        <a:xfrm>
          <a:off x="12211050" y="33366075"/>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80" name="TextBox 79"/>
        <xdr:cNvSpPr txBox="1"/>
      </xdr:nvSpPr>
      <xdr:spPr>
        <a:xfrm>
          <a:off x="12211050" y="3336607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746584"/>
    <xdr:sp macro="" textlink="">
      <xdr:nvSpPr>
        <xdr:cNvPr id="81" name="TextBox 80"/>
        <xdr:cNvSpPr txBox="1"/>
      </xdr:nvSpPr>
      <xdr:spPr>
        <a:xfrm>
          <a:off x="12211050" y="26346150"/>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661918"/>
    <xdr:sp macro="" textlink="">
      <xdr:nvSpPr>
        <xdr:cNvPr id="82" name="TextBox 81"/>
        <xdr:cNvSpPr txBox="1"/>
      </xdr:nvSpPr>
      <xdr:spPr>
        <a:xfrm>
          <a:off x="12211050" y="33366075"/>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00147" cy="1661918"/>
    <xdr:sp macro="" textlink="">
      <xdr:nvSpPr>
        <xdr:cNvPr id="83" name="TextBox 82"/>
        <xdr:cNvSpPr txBox="1"/>
      </xdr:nvSpPr>
      <xdr:spPr>
        <a:xfrm>
          <a:off x="12211050" y="33366075"/>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592" cy="1661918"/>
    <xdr:sp macro="" textlink="">
      <xdr:nvSpPr>
        <xdr:cNvPr id="84" name="TextBox 83"/>
        <xdr:cNvSpPr txBox="1"/>
      </xdr:nvSpPr>
      <xdr:spPr>
        <a:xfrm>
          <a:off x="12211050" y="33366075"/>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746584"/>
    <xdr:sp macro="" textlink="">
      <xdr:nvSpPr>
        <xdr:cNvPr id="85" name="TextBox 84"/>
        <xdr:cNvSpPr txBox="1"/>
      </xdr:nvSpPr>
      <xdr:spPr>
        <a:xfrm>
          <a:off x="12211050" y="26346150"/>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661918"/>
    <xdr:sp macro="" textlink="">
      <xdr:nvSpPr>
        <xdr:cNvPr id="86" name="TextBox 85"/>
        <xdr:cNvSpPr txBox="1"/>
      </xdr:nvSpPr>
      <xdr:spPr>
        <a:xfrm>
          <a:off x="12211050" y="33366075"/>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87" name="TextBox 86"/>
        <xdr:cNvSpPr txBox="1"/>
      </xdr:nvSpPr>
      <xdr:spPr>
        <a:xfrm>
          <a:off x="12211050" y="4087177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88" name="TextBox 87"/>
        <xdr:cNvSpPr txBox="1"/>
      </xdr:nvSpPr>
      <xdr:spPr>
        <a:xfrm>
          <a:off x="12211050" y="4087177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83569"/>
    <xdr:sp macro="" textlink="">
      <xdr:nvSpPr>
        <xdr:cNvPr id="89" name="TextBox 88"/>
        <xdr:cNvSpPr txBox="1"/>
      </xdr:nvSpPr>
      <xdr:spPr>
        <a:xfrm>
          <a:off x="6724650" y="20354925"/>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744986"/>
    <xdr:sp macro="" textlink="">
      <xdr:nvSpPr>
        <xdr:cNvPr id="90" name="TextBox 89"/>
        <xdr:cNvSpPr txBox="1"/>
      </xdr:nvSpPr>
      <xdr:spPr>
        <a:xfrm>
          <a:off x="6724650" y="16411575"/>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76302"/>
    <xdr:sp macro="" textlink="">
      <xdr:nvSpPr>
        <xdr:cNvPr id="91" name="TextBox 90"/>
        <xdr:cNvSpPr txBox="1"/>
      </xdr:nvSpPr>
      <xdr:spPr>
        <a:xfrm>
          <a:off x="6724650" y="20354925"/>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92" name="TextBox 91"/>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42629"/>
    <xdr:sp macro="" textlink="">
      <xdr:nvSpPr>
        <xdr:cNvPr id="93" name="TextBox 92"/>
        <xdr:cNvSpPr txBox="1"/>
      </xdr:nvSpPr>
      <xdr:spPr>
        <a:xfrm>
          <a:off x="6724650" y="16411575"/>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676302"/>
    <xdr:sp macro="" textlink="">
      <xdr:nvSpPr>
        <xdr:cNvPr id="94" name="TextBox 93"/>
        <xdr:cNvSpPr txBox="1"/>
      </xdr:nvSpPr>
      <xdr:spPr>
        <a:xfrm>
          <a:off x="6724650" y="20354925"/>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95" name="TextBox 94"/>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96" name="TextBox 95"/>
        <xdr:cNvSpPr txBox="1"/>
      </xdr:nvSpPr>
      <xdr:spPr>
        <a:xfrm>
          <a:off x="6724650" y="164115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97" name="TextBox 96"/>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1363" cy="1676302"/>
    <xdr:sp macro="" textlink="">
      <xdr:nvSpPr>
        <xdr:cNvPr id="98" name="TextBox 97"/>
        <xdr:cNvSpPr txBox="1"/>
      </xdr:nvSpPr>
      <xdr:spPr>
        <a:xfrm>
          <a:off x="6724650" y="20354925"/>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445197" cy="1676302"/>
    <xdr:sp macro="" textlink="">
      <xdr:nvSpPr>
        <xdr:cNvPr id="99" name="TextBox 98"/>
        <xdr:cNvSpPr txBox="1"/>
      </xdr:nvSpPr>
      <xdr:spPr>
        <a:xfrm>
          <a:off x="6724650" y="20354925"/>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100" name="TextBox 99"/>
        <xdr:cNvSpPr txBox="1"/>
      </xdr:nvSpPr>
      <xdr:spPr>
        <a:xfrm>
          <a:off x="6724650" y="164115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101" name="TextBox 100"/>
        <xdr:cNvSpPr txBox="1"/>
      </xdr:nvSpPr>
      <xdr:spPr>
        <a:xfrm>
          <a:off x="6724650" y="20354925"/>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76039"/>
    <xdr:sp macro="" textlink="">
      <xdr:nvSpPr>
        <xdr:cNvPr id="102" name="TextBox 101"/>
        <xdr:cNvSpPr txBox="1"/>
      </xdr:nvSpPr>
      <xdr:spPr>
        <a:xfrm>
          <a:off x="6724650" y="24136350"/>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103" name="TextBox 102"/>
        <xdr:cNvSpPr txBox="1"/>
      </xdr:nvSpPr>
      <xdr:spPr>
        <a:xfrm>
          <a:off x="6724650" y="2413635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104" name="TextBox 103"/>
        <xdr:cNvSpPr txBox="1"/>
      </xdr:nvSpPr>
      <xdr:spPr>
        <a:xfrm>
          <a:off x="6724650" y="2413635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620421"/>
    <xdr:sp macro="" textlink="">
      <xdr:nvSpPr>
        <xdr:cNvPr id="105" name="TextBox 104"/>
        <xdr:cNvSpPr txBox="1"/>
      </xdr:nvSpPr>
      <xdr:spPr>
        <a:xfrm>
          <a:off x="40147875" y="20354925"/>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842257"/>
    <xdr:sp macro="" textlink="">
      <xdr:nvSpPr>
        <xdr:cNvPr id="106" name="TextBox 105"/>
        <xdr:cNvSpPr txBox="1"/>
      </xdr:nvSpPr>
      <xdr:spPr>
        <a:xfrm>
          <a:off x="40147875" y="16411575"/>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587258"/>
    <xdr:sp macro="" textlink="">
      <xdr:nvSpPr>
        <xdr:cNvPr id="107" name="TextBox 106"/>
        <xdr:cNvSpPr txBox="1"/>
      </xdr:nvSpPr>
      <xdr:spPr>
        <a:xfrm>
          <a:off x="40147875" y="20354925"/>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932" cy="1587258"/>
    <xdr:sp macro="" textlink="">
      <xdr:nvSpPr>
        <xdr:cNvPr id="108" name="TextBox 107"/>
        <xdr:cNvSpPr txBox="1"/>
      </xdr:nvSpPr>
      <xdr:spPr>
        <a:xfrm>
          <a:off x="63354585" y="20354925"/>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109" name="TextBox 108"/>
        <xdr:cNvSpPr txBox="1"/>
      </xdr:nvSpPr>
      <xdr:spPr>
        <a:xfrm>
          <a:off x="69427725" y="164115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110" name="TextBox 109"/>
        <xdr:cNvSpPr txBox="1"/>
      </xdr:nvSpPr>
      <xdr:spPr>
        <a:xfrm>
          <a:off x="69427725" y="2035492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593" cy="1587258"/>
    <xdr:sp macro="" textlink="">
      <xdr:nvSpPr>
        <xdr:cNvPr id="111" name="TextBox 110"/>
        <xdr:cNvSpPr txBox="1"/>
      </xdr:nvSpPr>
      <xdr:spPr>
        <a:xfrm>
          <a:off x="65008125" y="20354925"/>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8203" cy="1587258"/>
    <xdr:sp macro="" textlink="">
      <xdr:nvSpPr>
        <xdr:cNvPr id="112" name="TextBox 111"/>
        <xdr:cNvSpPr txBox="1"/>
      </xdr:nvSpPr>
      <xdr:spPr>
        <a:xfrm>
          <a:off x="80200500" y="20354925"/>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113" name="TextBox 112"/>
        <xdr:cNvSpPr txBox="1"/>
      </xdr:nvSpPr>
      <xdr:spPr>
        <a:xfrm>
          <a:off x="64459485" y="164115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114" name="TextBox 113"/>
        <xdr:cNvSpPr txBox="1"/>
      </xdr:nvSpPr>
      <xdr:spPr>
        <a:xfrm>
          <a:off x="64459485" y="20354925"/>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115" name="TextBox 114"/>
        <xdr:cNvSpPr txBox="1"/>
      </xdr:nvSpPr>
      <xdr:spPr>
        <a:xfrm>
          <a:off x="68602860" y="2413635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116" name="TextBox 115"/>
        <xdr:cNvSpPr txBox="1"/>
      </xdr:nvSpPr>
      <xdr:spPr>
        <a:xfrm>
          <a:off x="64183260" y="2413635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222"/>
    <xdr:sp macro="" textlink="">
      <xdr:nvSpPr>
        <xdr:cNvPr id="117" name="TextBox 116"/>
        <xdr:cNvSpPr txBox="1"/>
      </xdr:nvSpPr>
      <xdr:spPr>
        <a:xfrm>
          <a:off x="24126825" y="20354925"/>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748771"/>
    <xdr:sp macro="" textlink="">
      <xdr:nvSpPr>
        <xdr:cNvPr id="118" name="TextBox 117"/>
        <xdr:cNvSpPr txBox="1"/>
      </xdr:nvSpPr>
      <xdr:spPr>
        <a:xfrm>
          <a:off x="24126825" y="16411575"/>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119"/>
    <xdr:sp macro="" textlink="">
      <xdr:nvSpPr>
        <xdr:cNvPr id="119" name="TextBox 118"/>
        <xdr:cNvSpPr txBox="1"/>
      </xdr:nvSpPr>
      <xdr:spPr>
        <a:xfrm>
          <a:off x="24126825" y="20354925"/>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114" cy="1662119"/>
    <xdr:sp macro="" textlink="">
      <xdr:nvSpPr>
        <xdr:cNvPr id="120" name="TextBox 119"/>
        <xdr:cNvSpPr txBox="1"/>
      </xdr:nvSpPr>
      <xdr:spPr>
        <a:xfrm>
          <a:off x="24126825" y="20354925"/>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731221"/>
    <xdr:sp macro="" textlink="">
      <xdr:nvSpPr>
        <xdr:cNvPr id="121" name="TextBox 120"/>
        <xdr:cNvSpPr txBox="1"/>
      </xdr:nvSpPr>
      <xdr:spPr>
        <a:xfrm>
          <a:off x="24126825" y="16411575"/>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662119"/>
    <xdr:sp macro="" textlink="">
      <xdr:nvSpPr>
        <xdr:cNvPr id="122" name="TextBox 121"/>
        <xdr:cNvSpPr txBox="1"/>
      </xdr:nvSpPr>
      <xdr:spPr>
        <a:xfrm>
          <a:off x="24126825" y="20354925"/>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123" name="TextBox 122"/>
        <xdr:cNvSpPr txBox="1"/>
      </xdr:nvSpPr>
      <xdr:spPr>
        <a:xfrm>
          <a:off x="24126825" y="2035492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731221"/>
    <xdr:sp macro="" textlink="">
      <xdr:nvSpPr>
        <xdr:cNvPr id="124" name="TextBox 123"/>
        <xdr:cNvSpPr txBox="1"/>
      </xdr:nvSpPr>
      <xdr:spPr>
        <a:xfrm>
          <a:off x="24126825" y="16411575"/>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125" name="TextBox 124"/>
        <xdr:cNvSpPr txBox="1"/>
      </xdr:nvSpPr>
      <xdr:spPr>
        <a:xfrm>
          <a:off x="24126825" y="20354925"/>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4833" cy="1662119"/>
    <xdr:sp macro="" textlink="">
      <xdr:nvSpPr>
        <xdr:cNvPr id="126" name="TextBox 125"/>
        <xdr:cNvSpPr txBox="1"/>
      </xdr:nvSpPr>
      <xdr:spPr>
        <a:xfrm>
          <a:off x="24126825" y="20354925"/>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731221"/>
    <xdr:sp macro="" textlink="">
      <xdr:nvSpPr>
        <xdr:cNvPr id="127" name="TextBox 126"/>
        <xdr:cNvSpPr txBox="1"/>
      </xdr:nvSpPr>
      <xdr:spPr>
        <a:xfrm>
          <a:off x="24126825" y="16411575"/>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119"/>
    <xdr:sp macro="" textlink="">
      <xdr:nvSpPr>
        <xdr:cNvPr id="128" name="TextBox 127"/>
        <xdr:cNvSpPr txBox="1"/>
      </xdr:nvSpPr>
      <xdr:spPr>
        <a:xfrm>
          <a:off x="24126825" y="20354925"/>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877" cy="1662343"/>
    <xdr:sp macro="" textlink="">
      <xdr:nvSpPr>
        <xdr:cNvPr id="129" name="TextBox 128"/>
        <xdr:cNvSpPr txBox="1"/>
      </xdr:nvSpPr>
      <xdr:spPr>
        <a:xfrm>
          <a:off x="24126825" y="24136350"/>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343"/>
    <xdr:sp macro="" textlink="">
      <xdr:nvSpPr>
        <xdr:cNvPr id="130" name="TextBox 129"/>
        <xdr:cNvSpPr txBox="1"/>
      </xdr:nvSpPr>
      <xdr:spPr>
        <a:xfrm>
          <a:off x="24126825" y="24136350"/>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343"/>
    <xdr:sp macro="" textlink="">
      <xdr:nvSpPr>
        <xdr:cNvPr id="131" name="TextBox 130"/>
        <xdr:cNvSpPr txBox="1"/>
      </xdr:nvSpPr>
      <xdr:spPr>
        <a:xfrm>
          <a:off x="24126825" y="24136350"/>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934"/>
    <xdr:sp macro="" textlink="">
      <xdr:nvSpPr>
        <xdr:cNvPr id="132" name="TextBox 131"/>
        <xdr:cNvSpPr txBox="1"/>
      </xdr:nvSpPr>
      <xdr:spPr>
        <a:xfrm>
          <a:off x="11972925" y="20354925"/>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742770"/>
    <xdr:sp macro="" textlink="">
      <xdr:nvSpPr>
        <xdr:cNvPr id="133" name="TextBox 132"/>
        <xdr:cNvSpPr txBox="1"/>
      </xdr:nvSpPr>
      <xdr:spPr>
        <a:xfrm>
          <a:off x="11972925" y="16411575"/>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831"/>
    <xdr:sp macro="" textlink="">
      <xdr:nvSpPr>
        <xdr:cNvPr id="134" name="TextBox 133"/>
        <xdr:cNvSpPr txBox="1"/>
      </xdr:nvSpPr>
      <xdr:spPr>
        <a:xfrm>
          <a:off x="11972925" y="20354925"/>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5023"/>
    <xdr:sp macro="" textlink="">
      <xdr:nvSpPr>
        <xdr:cNvPr id="135" name="TextBox 134"/>
        <xdr:cNvSpPr txBox="1"/>
      </xdr:nvSpPr>
      <xdr:spPr>
        <a:xfrm>
          <a:off x="77438250" y="20354925"/>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717993"/>
    <xdr:sp macro="" textlink="">
      <xdr:nvSpPr>
        <xdr:cNvPr id="136" name="TextBox 135"/>
        <xdr:cNvSpPr txBox="1"/>
      </xdr:nvSpPr>
      <xdr:spPr>
        <a:xfrm>
          <a:off x="77438250" y="16411575"/>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4935"/>
    <xdr:sp macro="" textlink="">
      <xdr:nvSpPr>
        <xdr:cNvPr id="137" name="TextBox 136"/>
        <xdr:cNvSpPr txBox="1"/>
      </xdr:nvSpPr>
      <xdr:spPr>
        <a:xfrm>
          <a:off x="77438250" y="20354925"/>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4773" cy="1434935"/>
    <xdr:sp macro="" textlink="">
      <xdr:nvSpPr>
        <xdr:cNvPr id="138" name="TextBox 137"/>
        <xdr:cNvSpPr txBox="1"/>
      </xdr:nvSpPr>
      <xdr:spPr>
        <a:xfrm>
          <a:off x="43199685" y="20354925"/>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139" name="TextBox 138"/>
        <xdr:cNvSpPr txBox="1"/>
      </xdr:nvSpPr>
      <xdr:spPr>
        <a:xfrm>
          <a:off x="54787800" y="2035492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140" name="TextBox 139"/>
        <xdr:cNvSpPr txBox="1"/>
      </xdr:nvSpPr>
      <xdr:spPr>
        <a:xfrm>
          <a:off x="54787800" y="164115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141" name="TextBox 140"/>
        <xdr:cNvSpPr txBox="1"/>
      </xdr:nvSpPr>
      <xdr:spPr>
        <a:xfrm>
          <a:off x="54787800" y="2035492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142" name="TextBox 141"/>
        <xdr:cNvSpPr txBox="1"/>
      </xdr:nvSpPr>
      <xdr:spPr>
        <a:xfrm>
          <a:off x="13906500" y="20354925"/>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143" name="TextBox 142"/>
        <xdr:cNvSpPr txBox="1"/>
      </xdr:nvSpPr>
      <xdr:spPr>
        <a:xfrm>
          <a:off x="13906500" y="164115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144" name="TextBox 143"/>
        <xdr:cNvSpPr txBox="1"/>
      </xdr:nvSpPr>
      <xdr:spPr>
        <a:xfrm>
          <a:off x="13906500" y="20354925"/>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145" name="TextBox 144"/>
        <xdr:cNvSpPr txBox="1"/>
      </xdr:nvSpPr>
      <xdr:spPr>
        <a:xfrm>
          <a:off x="81585435" y="2035492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146" name="TextBox 145"/>
        <xdr:cNvSpPr txBox="1"/>
      </xdr:nvSpPr>
      <xdr:spPr>
        <a:xfrm>
          <a:off x="58658760" y="20354925"/>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746347"/>
    <xdr:sp macro="" textlink="">
      <xdr:nvSpPr>
        <xdr:cNvPr id="147" name="TextBox 146"/>
        <xdr:cNvSpPr txBox="1"/>
      </xdr:nvSpPr>
      <xdr:spPr>
        <a:xfrm>
          <a:off x="46781085" y="16411575"/>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661857"/>
    <xdr:sp macro="" textlink="">
      <xdr:nvSpPr>
        <xdr:cNvPr id="148" name="TextBox 147"/>
        <xdr:cNvSpPr txBox="1"/>
      </xdr:nvSpPr>
      <xdr:spPr>
        <a:xfrm>
          <a:off x="46781085" y="20354925"/>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178" cy="1661857"/>
    <xdr:sp macro="" textlink="">
      <xdr:nvSpPr>
        <xdr:cNvPr id="149" name="TextBox 148"/>
        <xdr:cNvSpPr txBox="1"/>
      </xdr:nvSpPr>
      <xdr:spPr>
        <a:xfrm>
          <a:off x="46228635" y="20354925"/>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9642" cy="1678802"/>
    <xdr:sp macro="" textlink="">
      <xdr:nvSpPr>
        <xdr:cNvPr id="150" name="TextBox 149"/>
        <xdr:cNvSpPr txBox="1"/>
      </xdr:nvSpPr>
      <xdr:spPr>
        <a:xfrm>
          <a:off x="46504860" y="24136350"/>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419"/>
    <xdr:sp macro="" textlink="">
      <xdr:nvSpPr>
        <xdr:cNvPr id="151" name="TextBox 150"/>
        <xdr:cNvSpPr txBox="1"/>
      </xdr:nvSpPr>
      <xdr:spPr>
        <a:xfrm>
          <a:off x="50368200" y="20354925"/>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759058"/>
    <xdr:sp macro="" textlink="">
      <xdr:nvSpPr>
        <xdr:cNvPr id="152" name="TextBox 151"/>
        <xdr:cNvSpPr txBox="1"/>
      </xdr:nvSpPr>
      <xdr:spPr>
        <a:xfrm>
          <a:off x="50368200" y="16411575"/>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316"/>
    <xdr:sp macro="" textlink="">
      <xdr:nvSpPr>
        <xdr:cNvPr id="153" name="TextBox 152"/>
        <xdr:cNvSpPr txBox="1"/>
      </xdr:nvSpPr>
      <xdr:spPr>
        <a:xfrm>
          <a:off x="50368200" y="20354925"/>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21" cy="1650316"/>
    <xdr:sp macro="" textlink="">
      <xdr:nvSpPr>
        <xdr:cNvPr id="154" name="TextBox 153"/>
        <xdr:cNvSpPr txBox="1"/>
      </xdr:nvSpPr>
      <xdr:spPr>
        <a:xfrm>
          <a:off x="50108485" y="20354925"/>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155" name="TextBox 154"/>
        <xdr:cNvSpPr txBox="1"/>
      </xdr:nvSpPr>
      <xdr:spPr>
        <a:xfrm>
          <a:off x="11157585" y="2035492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156" name="TextBox 155"/>
        <xdr:cNvSpPr txBox="1"/>
      </xdr:nvSpPr>
      <xdr:spPr>
        <a:xfrm>
          <a:off x="22197060" y="2413635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157" name="TextBox 156"/>
        <xdr:cNvSpPr txBox="1"/>
      </xdr:nvSpPr>
      <xdr:spPr>
        <a:xfrm>
          <a:off x="7557135" y="2413635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2021"/>
    <xdr:sp macro="" textlink="">
      <xdr:nvSpPr>
        <xdr:cNvPr id="158" name="TextBox 157"/>
        <xdr:cNvSpPr txBox="1"/>
      </xdr:nvSpPr>
      <xdr:spPr>
        <a:xfrm>
          <a:off x="11420475" y="20354925"/>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748948"/>
    <xdr:sp macro="" textlink="">
      <xdr:nvSpPr>
        <xdr:cNvPr id="159" name="TextBox 158"/>
        <xdr:cNvSpPr txBox="1"/>
      </xdr:nvSpPr>
      <xdr:spPr>
        <a:xfrm>
          <a:off x="11420475" y="16411575"/>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1918"/>
    <xdr:sp macro="" textlink="">
      <xdr:nvSpPr>
        <xdr:cNvPr id="160" name="TextBox 159"/>
        <xdr:cNvSpPr txBox="1"/>
      </xdr:nvSpPr>
      <xdr:spPr>
        <a:xfrm>
          <a:off x="11420475" y="20354925"/>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5265" cy="1661918"/>
    <xdr:sp macro="" textlink="">
      <xdr:nvSpPr>
        <xdr:cNvPr id="161" name="TextBox 160"/>
        <xdr:cNvSpPr txBox="1"/>
      </xdr:nvSpPr>
      <xdr:spPr>
        <a:xfrm>
          <a:off x="10341610" y="20354925"/>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945" cy="1661918"/>
    <xdr:sp macro="" textlink="">
      <xdr:nvSpPr>
        <xdr:cNvPr id="162" name="TextBox 161"/>
        <xdr:cNvSpPr txBox="1"/>
      </xdr:nvSpPr>
      <xdr:spPr>
        <a:xfrm>
          <a:off x="32163385" y="20354925"/>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2021"/>
    <xdr:sp macro="" textlink="">
      <xdr:nvSpPr>
        <xdr:cNvPr id="163" name="TextBox 162"/>
        <xdr:cNvSpPr txBox="1"/>
      </xdr:nvSpPr>
      <xdr:spPr>
        <a:xfrm>
          <a:off x="14458950" y="20354925"/>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748948"/>
    <xdr:sp macro="" textlink="">
      <xdr:nvSpPr>
        <xdr:cNvPr id="164" name="TextBox 163"/>
        <xdr:cNvSpPr txBox="1"/>
      </xdr:nvSpPr>
      <xdr:spPr>
        <a:xfrm>
          <a:off x="14458950" y="16411575"/>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1918"/>
    <xdr:sp macro="" textlink="">
      <xdr:nvSpPr>
        <xdr:cNvPr id="165" name="TextBox 164"/>
        <xdr:cNvSpPr txBox="1"/>
      </xdr:nvSpPr>
      <xdr:spPr>
        <a:xfrm>
          <a:off x="14458950" y="20354925"/>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166" name="TextBox 165"/>
        <xdr:cNvSpPr txBox="1"/>
      </xdr:nvSpPr>
      <xdr:spPr>
        <a:xfrm>
          <a:off x="14458950" y="20354925"/>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746584"/>
    <xdr:sp macro="" textlink="">
      <xdr:nvSpPr>
        <xdr:cNvPr id="167" name="TextBox 166"/>
        <xdr:cNvSpPr txBox="1"/>
      </xdr:nvSpPr>
      <xdr:spPr>
        <a:xfrm>
          <a:off x="14458950" y="16411575"/>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661918"/>
    <xdr:sp macro="" textlink="">
      <xdr:nvSpPr>
        <xdr:cNvPr id="168" name="TextBox 167"/>
        <xdr:cNvSpPr txBox="1"/>
      </xdr:nvSpPr>
      <xdr:spPr>
        <a:xfrm>
          <a:off x="14458950" y="20354925"/>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00147" cy="1661918"/>
    <xdr:sp macro="" textlink="">
      <xdr:nvSpPr>
        <xdr:cNvPr id="169" name="TextBox 168"/>
        <xdr:cNvSpPr txBox="1"/>
      </xdr:nvSpPr>
      <xdr:spPr>
        <a:xfrm>
          <a:off x="14458950" y="20354925"/>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592" cy="1661918"/>
    <xdr:sp macro="" textlink="">
      <xdr:nvSpPr>
        <xdr:cNvPr id="170" name="TextBox 169"/>
        <xdr:cNvSpPr txBox="1"/>
      </xdr:nvSpPr>
      <xdr:spPr>
        <a:xfrm>
          <a:off x="14458950" y="20354925"/>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746584"/>
    <xdr:sp macro="" textlink="">
      <xdr:nvSpPr>
        <xdr:cNvPr id="171" name="TextBox 170"/>
        <xdr:cNvSpPr txBox="1"/>
      </xdr:nvSpPr>
      <xdr:spPr>
        <a:xfrm>
          <a:off x="14458950" y="16411575"/>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661918"/>
    <xdr:sp macro="" textlink="">
      <xdr:nvSpPr>
        <xdr:cNvPr id="172" name="TextBox 171"/>
        <xdr:cNvSpPr txBox="1"/>
      </xdr:nvSpPr>
      <xdr:spPr>
        <a:xfrm>
          <a:off x="14458950" y="20354925"/>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173" name="TextBox 172"/>
        <xdr:cNvSpPr txBox="1"/>
      </xdr:nvSpPr>
      <xdr:spPr>
        <a:xfrm>
          <a:off x="14458950" y="2413635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174" name="TextBox 173"/>
        <xdr:cNvSpPr txBox="1"/>
      </xdr:nvSpPr>
      <xdr:spPr>
        <a:xfrm>
          <a:off x="14458950" y="2413635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679418"/>
    <xdr:sp macro="" textlink="">
      <xdr:nvSpPr>
        <xdr:cNvPr id="189" name="TextBox 188"/>
        <xdr:cNvSpPr txBox="1"/>
      </xdr:nvSpPr>
      <xdr:spPr>
        <a:xfrm>
          <a:off x="5086350" y="25765125"/>
          <a:ext cx="3560766"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747852"/>
    <xdr:sp macro="" textlink="">
      <xdr:nvSpPr>
        <xdr:cNvPr id="190" name="TextBox 189"/>
        <xdr:cNvSpPr txBox="1"/>
      </xdr:nvSpPr>
      <xdr:spPr>
        <a:xfrm>
          <a:off x="5086350" y="20364450"/>
          <a:ext cx="3560766"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682488"/>
    <xdr:sp macro="" textlink="">
      <xdr:nvSpPr>
        <xdr:cNvPr id="191" name="TextBox 190"/>
        <xdr:cNvSpPr txBox="1"/>
      </xdr:nvSpPr>
      <xdr:spPr>
        <a:xfrm>
          <a:off x="5086350" y="25765125"/>
          <a:ext cx="356076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755464"/>
    <xdr:sp macro="" textlink="">
      <xdr:nvSpPr>
        <xdr:cNvPr id="192" name="TextBox 191"/>
        <xdr:cNvSpPr txBox="1"/>
      </xdr:nvSpPr>
      <xdr:spPr>
        <a:xfrm>
          <a:off x="9538335" y="20364450"/>
          <a:ext cx="3555927"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682488"/>
    <xdr:sp macro="" textlink="">
      <xdr:nvSpPr>
        <xdr:cNvPr id="193" name="TextBox 192"/>
        <xdr:cNvSpPr txBox="1"/>
      </xdr:nvSpPr>
      <xdr:spPr>
        <a:xfrm>
          <a:off x="9538335" y="25765125"/>
          <a:ext cx="3555927"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194" name="TextBox 193"/>
        <xdr:cNvSpPr txBox="1"/>
      </xdr:nvSpPr>
      <xdr:spPr>
        <a:xfrm>
          <a:off x="8966835" y="25765125"/>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55464"/>
    <xdr:sp macro="" textlink="">
      <xdr:nvSpPr>
        <xdr:cNvPr id="195" name="TextBox 194"/>
        <xdr:cNvSpPr txBox="1"/>
      </xdr:nvSpPr>
      <xdr:spPr>
        <a:xfrm>
          <a:off x="15440025" y="20364450"/>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196" name="TextBox 195"/>
        <xdr:cNvSpPr txBox="1"/>
      </xdr:nvSpPr>
      <xdr:spPr>
        <a:xfrm>
          <a:off x="15440025" y="25765125"/>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846" cy="1682488"/>
    <xdr:sp macro="" textlink="">
      <xdr:nvSpPr>
        <xdr:cNvPr id="197" name="TextBox 196"/>
        <xdr:cNvSpPr txBox="1"/>
      </xdr:nvSpPr>
      <xdr:spPr>
        <a:xfrm>
          <a:off x="11915775" y="25765125"/>
          <a:ext cx="355584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3718" cy="1682488"/>
    <xdr:sp macro="" textlink="">
      <xdr:nvSpPr>
        <xdr:cNvPr id="198" name="TextBox 197"/>
        <xdr:cNvSpPr txBox="1"/>
      </xdr:nvSpPr>
      <xdr:spPr>
        <a:xfrm>
          <a:off x="16868775" y="25765125"/>
          <a:ext cx="3523718"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55464"/>
    <xdr:sp macro="" textlink="">
      <xdr:nvSpPr>
        <xdr:cNvPr id="199" name="TextBox 198"/>
        <xdr:cNvSpPr txBox="1"/>
      </xdr:nvSpPr>
      <xdr:spPr>
        <a:xfrm>
          <a:off x="11348085" y="20364450"/>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200" name="TextBox 199"/>
        <xdr:cNvSpPr txBox="1"/>
      </xdr:nvSpPr>
      <xdr:spPr>
        <a:xfrm>
          <a:off x="11348085" y="25765125"/>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741250"/>
    <xdr:sp macro="" textlink="">
      <xdr:nvSpPr>
        <xdr:cNvPr id="201" name="TextBox 200"/>
        <xdr:cNvSpPr txBox="1"/>
      </xdr:nvSpPr>
      <xdr:spPr>
        <a:xfrm>
          <a:off x="9252585" y="30356175"/>
          <a:ext cx="3555927"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41250"/>
    <xdr:sp macro="" textlink="">
      <xdr:nvSpPr>
        <xdr:cNvPr id="202" name="TextBox 201"/>
        <xdr:cNvSpPr txBox="1"/>
      </xdr:nvSpPr>
      <xdr:spPr>
        <a:xfrm>
          <a:off x="10967085" y="30356175"/>
          <a:ext cx="3556010"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679418"/>
    <xdr:sp macro="" textlink="">
      <xdr:nvSpPr>
        <xdr:cNvPr id="188" name="TextBox 187"/>
        <xdr:cNvSpPr txBox="1"/>
      </xdr:nvSpPr>
      <xdr:spPr>
        <a:xfrm>
          <a:off x="5619750" y="20583525"/>
          <a:ext cx="3537719"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747852"/>
    <xdr:sp macro="" textlink="">
      <xdr:nvSpPr>
        <xdr:cNvPr id="203" name="TextBox 202"/>
        <xdr:cNvSpPr txBox="1"/>
      </xdr:nvSpPr>
      <xdr:spPr>
        <a:xfrm>
          <a:off x="5619750" y="16640175"/>
          <a:ext cx="3537719"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672229"/>
    <xdr:sp macro="" textlink="">
      <xdr:nvSpPr>
        <xdr:cNvPr id="204" name="TextBox 203"/>
        <xdr:cNvSpPr txBox="1"/>
      </xdr:nvSpPr>
      <xdr:spPr>
        <a:xfrm>
          <a:off x="5619750" y="20583525"/>
          <a:ext cx="3537719"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205" name="TextBox 204"/>
        <xdr:cNvSpPr txBox="1"/>
      </xdr:nvSpPr>
      <xdr:spPr>
        <a:xfrm>
          <a:off x="6576060"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55464"/>
    <xdr:sp macro="" textlink="">
      <xdr:nvSpPr>
        <xdr:cNvPr id="206" name="TextBox 205"/>
        <xdr:cNvSpPr txBox="1"/>
      </xdr:nvSpPr>
      <xdr:spPr>
        <a:xfrm>
          <a:off x="9195435" y="16640175"/>
          <a:ext cx="3544382"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672229"/>
    <xdr:sp macro="" textlink="">
      <xdr:nvSpPr>
        <xdr:cNvPr id="207" name="TextBox 206"/>
        <xdr:cNvSpPr txBox="1"/>
      </xdr:nvSpPr>
      <xdr:spPr>
        <a:xfrm>
          <a:off x="9195435" y="20583525"/>
          <a:ext cx="3544382"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208" name="TextBox 207"/>
        <xdr:cNvSpPr txBox="1"/>
      </xdr:nvSpPr>
      <xdr:spPr>
        <a:xfrm>
          <a:off x="8719185"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55464"/>
    <xdr:sp macro="" textlink="">
      <xdr:nvSpPr>
        <xdr:cNvPr id="209" name="TextBox 208"/>
        <xdr:cNvSpPr txBox="1"/>
      </xdr:nvSpPr>
      <xdr:spPr>
        <a:xfrm>
          <a:off x="14434185" y="166401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210" name="TextBox 209"/>
        <xdr:cNvSpPr txBox="1"/>
      </xdr:nvSpPr>
      <xdr:spPr>
        <a:xfrm>
          <a:off x="14434185"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2831" cy="1672229"/>
    <xdr:sp macro="" textlink="">
      <xdr:nvSpPr>
        <xdr:cNvPr id="211" name="TextBox 210"/>
        <xdr:cNvSpPr txBox="1"/>
      </xdr:nvSpPr>
      <xdr:spPr>
        <a:xfrm>
          <a:off x="11096625" y="20583525"/>
          <a:ext cx="3532831"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55464"/>
    <xdr:sp macro="" textlink="">
      <xdr:nvSpPr>
        <xdr:cNvPr id="212" name="TextBox 211"/>
        <xdr:cNvSpPr txBox="1"/>
      </xdr:nvSpPr>
      <xdr:spPr>
        <a:xfrm>
          <a:off x="10624185" y="166401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213" name="TextBox 212"/>
        <xdr:cNvSpPr txBox="1"/>
      </xdr:nvSpPr>
      <xdr:spPr>
        <a:xfrm>
          <a:off x="10624185" y="20583525"/>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41250"/>
    <xdr:sp macro="" textlink="">
      <xdr:nvSpPr>
        <xdr:cNvPr id="214" name="TextBox 213"/>
        <xdr:cNvSpPr txBox="1"/>
      </xdr:nvSpPr>
      <xdr:spPr>
        <a:xfrm>
          <a:off x="8957310" y="2697480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215" name="TextBox 214"/>
        <xdr:cNvSpPr txBox="1"/>
      </xdr:nvSpPr>
      <xdr:spPr>
        <a:xfrm>
          <a:off x="14196060" y="2697480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216" name="TextBox 215"/>
        <xdr:cNvSpPr txBox="1"/>
      </xdr:nvSpPr>
      <xdr:spPr>
        <a:xfrm>
          <a:off x="10386060" y="2697480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41250"/>
    <xdr:sp macro="" textlink="">
      <xdr:nvSpPr>
        <xdr:cNvPr id="217" name="TextBox 216"/>
        <xdr:cNvSpPr txBox="1"/>
      </xdr:nvSpPr>
      <xdr:spPr>
        <a:xfrm>
          <a:off x="8957310" y="2436495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218" name="TextBox 217"/>
        <xdr:cNvSpPr txBox="1"/>
      </xdr:nvSpPr>
      <xdr:spPr>
        <a:xfrm>
          <a:off x="14196060" y="2436495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219" name="TextBox 218"/>
        <xdr:cNvSpPr txBox="1"/>
      </xdr:nvSpPr>
      <xdr:spPr>
        <a:xfrm>
          <a:off x="10386060" y="2436495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83569"/>
    <xdr:sp macro="" textlink="">
      <xdr:nvSpPr>
        <xdr:cNvPr id="220" name="TextBox 219"/>
        <xdr:cNvSpPr txBox="1"/>
      </xdr:nvSpPr>
      <xdr:spPr>
        <a:xfrm>
          <a:off x="20269200" y="2257425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744986"/>
    <xdr:sp macro="" textlink="">
      <xdr:nvSpPr>
        <xdr:cNvPr id="221" name="TextBox 220"/>
        <xdr:cNvSpPr txBox="1"/>
      </xdr:nvSpPr>
      <xdr:spPr>
        <a:xfrm>
          <a:off x="20269200" y="18202275"/>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76302"/>
    <xdr:sp macro="" textlink="">
      <xdr:nvSpPr>
        <xdr:cNvPr id="222" name="TextBox 221"/>
        <xdr:cNvSpPr txBox="1"/>
      </xdr:nvSpPr>
      <xdr:spPr>
        <a:xfrm>
          <a:off x="20269200" y="2257425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223" name="TextBox 222"/>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42629"/>
    <xdr:sp macro="" textlink="">
      <xdr:nvSpPr>
        <xdr:cNvPr id="224" name="TextBox 223"/>
        <xdr:cNvSpPr txBox="1"/>
      </xdr:nvSpPr>
      <xdr:spPr>
        <a:xfrm>
          <a:off x="20269200" y="18202275"/>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676302"/>
    <xdr:sp macro="" textlink="">
      <xdr:nvSpPr>
        <xdr:cNvPr id="225" name="TextBox 224"/>
        <xdr:cNvSpPr txBox="1"/>
      </xdr:nvSpPr>
      <xdr:spPr>
        <a:xfrm>
          <a:off x="20269200" y="2257425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226" name="TextBox 225"/>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227" name="TextBox 226"/>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228" name="TextBox 227"/>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1363" cy="1676302"/>
    <xdr:sp macro="" textlink="">
      <xdr:nvSpPr>
        <xdr:cNvPr id="229" name="TextBox 228"/>
        <xdr:cNvSpPr txBox="1"/>
      </xdr:nvSpPr>
      <xdr:spPr>
        <a:xfrm>
          <a:off x="20269200" y="2257425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445197" cy="1676302"/>
    <xdr:sp macro="" textlink="">
      <xdr:nvSpPr>
        <xdr:cNvPr id="230" name="TextBox 229"/>
        <xdr:cNvSpPr txBox="1"/>
      </xdr:nvSpPr>
      <xdr:spPr>
        <a:xfrm>
          <a:off x="20269200" y="2257425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231" name="TextBox 230"/>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232" name="TextBox 231"/>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76039"/>
    <xdr:sp macro="" textlink="">
      <xdr:nvSpPr>
        <xdr:cNvPr id="233" name="TextBox 232"/>
        <xdr:cNvSpPr txBox="1"/>
      </xdr:nvSpPr>
      <xdr:spPr>
        <a:xfrm>
          <a:off x="20269200" y="26412825"/>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234" name="TextBox 233"/>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235" name="TextBox 234"/>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620421"/>
    <xdr:sp macro="" textlink="">
      <xdr:nvSpPr>
        <xdr:cNvPr id="236" name="TextBox 235"/>
        <xdr:cNvSpPr txBox="1"/>
      </xdr:nvSpPr>
      <xdr:spPr>
        <a:xfrm>
          <a:off x="20269200" y="2257425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842257"/>
    <xdr:sp macro="" textlink="">
      <xdr:nvSpPr>
        <xdr:cNvPr id="237" name="TextBox 236"/>
        <xdr:cNvSpPr txBox="1"/>
      </xdr:nvSpPr>
      <xdr:spPr>
        <a:xfrm>
          <a:off x="20269200" y="18202275"/>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587258"/>
    <xdr:sp macro="" textlink="">
      <xdr:nvSpPr>
        <xdr:cNvPr id="238" name="TextBox 237"/>
        <xdr:cNvSpPr txBox="1"/>
      </xdr:nvSpPr>
      <xdr:spPr>
        <a:xfrm>
          <a:off x="20269200" y="2257425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932" cy="1587258"/>
    <xdr:sp macro="" textlink="">
      <xdr:nvSpPr>
        <xdr:cNvPr id="239" name="TextBox 238"/>
        <xdr:cNvSpPr txBox="1"/>
      </xdr:nvSpPr>
      <xdr:spPr>
        <a:xfrm>
          <a:off x="20269200" y="2257425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240" name="TextBox 239"/>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241" name="TextBox 240"/>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593" cy="1587258"/>
    <xdr:sp macro="" textlink="">
      <xdr:nvSpPr>
        <xdr:cNvPr id="242" name="TextBox 241"/>
        <xdr:cNvSpPr txBox="1"/>
      </xdr:nvSpPr>
      <xdr:spPr>
        <a:xfrm>
          <a:off x="20269200" y="2257425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8203" cy="1587258"/>
    <xdr:sp macro="" textlink="">
      <xdr:nvSpPr>
        <xdr:cNvPr id="243" name="TextBox 242"/>
        <xdr:cNvSpPr txBox="1"/>
      </xdr:nvSpPr>
      <xdr:spPr>
        <a:xfrm>
          <a:off x="20269200" y="2257425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244" name="TextBox 243"/>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245" name="TextBox 244"/>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246" name="TextBox 245"/>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247" name="TextBox 246"/>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222"/>
    <xdr:sp macro="" textlink="">
      <xdr:nvSpPr>
        <xdr:cNvPr id="248" name="TextBox 247"/>
        <xdr:cNvSpPr txBox="1"/>
      </xdr:nvSpPr>
      <xdr:spPr>
        <a:xfrm>
          <a:off x="20269200" y="2257425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748771"/>
    <xdr:sp macro="" textlink="">
      <xdr:nvSpPr>
        <xdr:cNvPr id="249" name="TextBox 248"/>
        <xdr:cNvSpPr txBox="1"/>
      </xdr:nvSpPr>
      <xdr:spPr>
        <a:xfrm>
          <a:off x="20269200" y="18202275"/>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119"/>
    <xdr:sp macro="" textlink="">
      <xdr:nvSpPr>
        <xdr:cNvPr id="250" name="TextBox 249"/>
        <xdr:cNvSpPr txBox="1"/>
      </xdr:nvSpPr>
      <xdr:spPr>
        <a:xfrm>
          <a:off x="20269200" y="2257425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114" cy="1662119"/>
    <xdr:sp macro="" textlink="">
      <xdr:nvSpPr>
        <xdr:cNvPr id="251" name="TextBox 250"/>
        <xdr:cNvSpPr txBox="1"/>
      </xdr:nvSpPr>
      <xdr:spPr>
        <a:xfrm>
          <a:off x="20269200" y="2257425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731221"/>
    <xdr:sp macro="" textlink="">
      <xdr:nvSpPr>
        <xdr:cNvPr id="252" name="TextBox 251"/>
        <xdr:cNvSpPr txBox="1"/>
      </xdr:nvSpPr>
      <xdr:spPr>
        <a:xfrm>
          <a:off x="20269200" y="18202275"/>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662119"/>
    <xdr:sp macro="" textlink="">
      <xdr:nvSpPr>
        <xdr:cNvPr id="253" name="TextBox 252"/>
        <xdr:cNvSpPr txBox="1"/>
      </xdr:nvSpPr>
      <xdr:spPr>
        <a:xfrm>
          <a:off x="20269200" y="2257425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254" name="TextBox 253"/>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731221"/>
    <xdr:sp macro="" textlink="">
      <xdr:nvSpPr>
        <xdr:cNvPr id="255" name="TextBox 254"/>
        <xdr:cNvSpPr txBox="1"/>
      </xdr:nvSpPr>
      <xdr:spPr>
        <a:xfrm>
          <a:off x="20269200" y="18202275"/>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256" name="TextBox 255"/>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4833" cy="1662119"/>
    <xdr:sp macro="" textlink="">
      <xdr:nvSpPr>
        <xdr:cNvPr id="257" name="TextBox 256"/>
        <xdr:cNvSpPr txBox="1"/>
      </xdr:nvSpPr>
      <xdr:spPr>
        <a:xfrm>
          <a:off x="20269200" y="2257425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731221"/>
    <xdr:sp macro="" textlink="">
      <xdr:nvSpPr>
        <xdr:cNvPr id="258" name="TextBox 257"/>
        <xdr:cNvSpPr txBox="1"/>
      </xdr:nvSpPr>
      <xdr:spPr>
        <a:xfrm>
          <a:off x="20269200" y="18202275"/>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119"/>
    <xdr:sp macro="" textlink="">
      <xdr:nvSpPr>
        <xdr:cNvPr id="259" name="TextBox 258"/>
        <xdr:cNvSpPr txBox="1"/>
      </xdr:nvSpPr>
      <xdr:spPr>
        <a:xfrm>
          <a:off x="20269200" y="2257425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877" cy="1662343"/>
    <xdr:sp macro="" textlink="">
      <xdr:nvSpPr>
        <xdr:cNvPr id="260" name="TextBox 259"/>
        <xdr:cNvSpPr txBox="1"/>
      </xdr:nvSpPr>
      <xdr:spPr>
        <a:xfrm>
          <a:off x="20269200" y="26412825"/>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343"/>
    <xdr:sp macro="" textlink="">
      <xdr:nvSpPr>
        <xdr:cNvPr id="261" name="TextBox 260"/>
        <xdr:cNvSpPr txBox="1"/>
      </xdr:nvSpPr>
      <xdr:spPr>
        <a:xfrm>
          <a:off x="20269200" y="26412825"/>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343"/>
    <xdr:sp macro="" textlink="">
      <xdr:nvSpPr>
        <xdr:cNvPr id="262" name="TextBox 261"/>
        <xdr:cNvSpPr txBox="1"/>
      </xdr:nvSpPr>
      <xdr:spPr>
        <a:xfrm>
          <a:off x="20269200" y="26412825"/>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934"/>
    <xdr:sp macro="" textlink="">
      <xdr:nvSpPr>
        <xdr:cNvPr id="263" name="TextBox 262"/>
        <xdr:cNvSpPr txBox="1"/>
      </xdr:nvSpPr>
      <xdr:spPr>
        <a:xfrm>
          <a:off x="20269200" y="2257425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742770"/>
    <xdr:sp macro="" textlink="">
      <xdr:nvSpPr>
        <xdr:cNvPr id="264" name="TextBox 263"/>
        <xdr:cNvSpPr txBox="1"/>
      </xdr:nvSpPr>
      <xdr:spPr>
        <a:xfrm>
          <a:off x="20269200" y="18202275"/>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831"/>
    <xdr:sp macro="" textlink="">
      <xdr:nvSpPr>
        <xdr:cNvPr id="265" name="TextBox 264"/>
        <xdr:cNvSpPr txBox="1"/>
      </xdr:nvSpPr>
      <xdr:spPr>
        <a:xfrm>
          <a:off x="20269200" y="2257425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5023"/>
    <xdr:sp macro="" textlink="">
      <xdr:nvSpPr>
        <xdr:cNvPr id="266" name="TextBox 265"/>
        <xdr:cNvSpPr txBox="1"/>
      </xdr:nvSpPr>
      <xdr:spPr>
        <a:xfrm>
          <a:off x="20269200" y="2257425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717993"/>
    <xdr:sp macro="" textlink="">
      <xdr:nvSpPr>
        <xdr:cNvPr id="267" name="TextBox 266"/>
        <xdr:cNvSpPr txBox="1"/>
      </xdr:nvSpPr>
      <xdr:spPr>
        <a:xfrm>
          <a:off x="20269200" y="18202275"/>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4935"/>
    <xdr:sp macro="" textlink="">
      <xdr:nvSpPr>
        <xdr:cNvPr id="268" name="TextBox 267"/>
        <xdr:cNvSpPr txBox="1"/>
      </xdr:nvSpPr>
      <xdr:spPr>
        <a:xfrm>
          <a:off x="20269200" y="2257425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4773" cy="1434935"/>
    <xdr:sp macro="" textlink="">
      <xdr:nvSpPr>
        <xdr:cNvPr id="269" name="TextBox 268"/>
        <xdr:cNvSpPr txBox="1"/>
      </xdr:nvSpPr>
      <xdr:spPr>
        <a:xfrm>
          <a:off x="20269200" y="2257425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270" name="TextBox 269"/>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271" name="TextBox 270"/>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272" name="TextBox 271"/>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273" name="TextBox 272"/>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274" name="TextBox 273"/>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275" name="TextBox 274"/>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276" name="TextBox 275"/>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277" name="TextBox 276"/>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746347"/>
    <xdr:sp macro="" textlink="">
      <xdr:nvSpPr>
        <xdr:cNvPr id="278" name="TextBox 277"/>
        <xdr:cNvSpPr txBox="1"/>
      </xdr:nvSpPr>
      <xdr:spPr>
        <a:xfrm>
          <a:off x="20269200" y="18202275"/>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661857"/>
    <xdr:sp macro="" textlink="">
      <xdr:nvSpPr>
        <xdr:cNvPr id="279" name="TextBox 278"/>
        <xdr:cNvSpPr txBox="1"/>
      </xdr:nvSpPr>
      <xdr:spPr>
        <a:xfrm>
          <a:off x="20269200" y="2257425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178" cy="1661857"/>
    <xdr:sp macro="" textlink="">
      <xdr:nvSpPr>
        <xdr:cNvPr id="280" name="TextBox 279"/>
        <xdr:cNvSpPr txBox="1"/>
      </xdr:nvSpPr>
      <xdr:spPr>
        <a:xfrm>
          <a:off x="20269200" y="2257425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9642" cy="1678802"/>
    <xdr:sp macro="" textlink="">
      <xdr:nvSpPr>
        <xdr:cNvPr id="281" name="TextBox 280"/>
        <xdr:cNvSpPr txBox="1"/>
      </xdr:nvSpPr>
      <xdr:spPr>
        <a:xfrm>
          <a:off x="20269200" y="26412825"/>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419"/>
    <xdr:sp macro="" textlink="">
      <xdr:nvSpPr>
        <xdr:cNvPr id="282" name="TextBox 281"/>
        <xdr:cNvSpPr txBox="1"/>
      </xdr:nvSpPr>
      <xdr:spPr>
        <a:xfrm>
          <a:off x="20269200" y="2257425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759058"/>
    <xdr:sp macro="" textlink="">
      <xdr:nvSpPr>
        <xdr:cNvPr id="283" name="TextBox 282"/>
        <xdr:cNvSpPr txBox="1"/>
      </xdr:nvSpPr>
      <xdr:spPr>
        <a:xfrm>
          <a:off x="20269200" y="18202275"/>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316"/>
    <xdr:sp macro="" textlink="">
      <xdr:nvSpPr>
        <xdr:cNvPr id="284" name="TextBox 283"/>
        <xdr:cNvSpPr txBox="1"/>
      </xdr:nvSpPr>
      <xdr:spPr>
        <a:xfrm>
          <a:off x="20269200" y="2257425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21" cy="1650316"/>
    <xdr:sp macro="" textlink="">
      <xdr:nvSpPr>
        <xdr:cNvPr id="285" name="TextBox 284"/>
        <xdr:cNvSpPr txBox="1"/>
      </xdr:nvSpPr>
      <xdr:spPr>
        <a:xfrm>
          <a:off x="20269200" y="2257425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286" name="TextBox 285"/>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287" name="TextBox 286"/>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288" name="TextBox 287"/>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2021"/>
    <xdr:sp macro="" textlink="">
      <xdr:nvSpPr>
        <xdr:cNvPr id="289" name="TextBox 288"/>
        <xdr:cNvSpPr txBox="1"/>
      </xdr:nvSpPr>
      <xdr:spPr>
        <a:xfrm>
          <a:off x="20269200" y="2257425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748948"/>
    <xdr:sp macro="" textlink="">
      <xdr:nvSpPr>
        <xdr:cNvPr id="290" name="TextBox 289"/>
        <xdr:cNvSpPr txBox="1"/>
      </xdr:nvSpPr>
      <xdr:spPr>
        <a:xfrm>
          <a:off x="20269200" y="18202275"/>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1918"/>
    <xdr:sp macro="" textlink="">
      <xdr:nvSpPr>
        <xdr:cNvPr id="291" name="TextBox 290"/>
        <xdr:cNvSpPr txBox="1"/>
      </xdr:nvSpPr>
      <xdr:spPr>
        <a:xfrm>
          <a:off x="20269200" y="2257425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5265" cy="1661918"/>
    <xdr:sp macro="" textlink="">
      <xdr:nvSpPr>
        <xdr:cNvPr id="292" name="TextBox 291"/>
        <xdr:cNvSpPr txBox="1"/>
      </xdr:nvSpPr>
      <xdr:spPr>
        <a:xfrm>
          <a:off x="20269200" y="2257425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945" cy="1661918"/>
    <xdr:sp macro="" textlink="">
      <xdr:nvSpPr>
        <xdr:cNvPr id="293" name="TextBox 292"/>
        <xdr:cNvSpPr txBox="1"/>
      </xdr:nvSpPr>
      <xdr:spPr>
        <a:xfrm>
          <a:off x="20269200" y="2257425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2021"/>
    <xdr:sp macro="" textlink="">
      <xdr:nvSpPr>
        <xdr:cNvPr id="294" name="TextBox 293"/>
        <xdr:cNvSpPr txBox="1"/>
      </xdr:nvSpPr>
      <xdr:spPr>
        <a:xfrm>
          <a:off x="20269200" y="2257425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748948"/>
    <xdr:sp macro="" textlink="">
      <xdr:nvSpPr>
        <xdr:cNvPr id="295" name="TextBox 294"/>
        <xdr:cNvSpPr txBox="1"/>
      </xdr:nvSpPr>
      <xdr:spPr>
        <a:xfrm>
          <a:off x="20269200" y="18202275"/>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1918"/>
    <xdr:sp macro="" textlink="">
      <xdr:nvSpPr>
        <xdr:cNvPr id="296" name="TextBox 295"/>
        <xdr:cNvSpPr txBox="1"/>
      </xdr:nvSpPr>
      <xdr:spPr>
        <a:xfrm>
          <a:off x="20269200" y="2257425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297" name="TextBox 296"/>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746584"/>
    <xdr:sp macro="" textlink="">
      <xdr:nvSpPr>
        <xdr:cNvPr id="298" name="TextBox 297"/>
        <xdr:cNvSpPr txBox="1"/>
      </xdr:nvSpPr>
      <xdr:spPr>
        <a:xfrm>
          <a:off x="20269200" y="18202275"/>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661918"/>
    <xdr:sp macro="" textlink="">
      <xdr:nvSpPr>
        <xdr:cNvPr id="299" name="TextBox 298"/>
        <xdr:cNvSpPr txBox="1"/>
      </xdr:nvSpPr>
      <xdr:spPr>
        <a:xfrm>
          <a:off x="20269200" y="2257425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00147" cy="1661918"/>
    <xdr:sp macro="" textlink="">
      <xdr:nvSpPr>
        <xdr:cNvPr id="300" name="TextBox 299"/>
        <xdr:cNvSpPr txBox="1"/>
      </xdr:nvSpPr>
      <xdr:spPr>
        <a:xfrm>
          <a:off x="20269200" y="2257425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592" cy="1661918"/>
    <xdr:sp macro="" textlink="">
      <xdr:nvSpPr>
        <xdr:cNvPr id="301" name="TextBox 300"/>
        <xdr:cNvSpPr txBox="1"/>
      </xdr:nvSpPr>
      <xdr:spPr>
        <a:xfrm>
          <a:off x="20269200" y="2257425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746584"/>
    <xdr:sp macro="" textlink="">
      <xdr:nvSpPr>
        <xdr:cNvPr id="302" name="TextBox 301"/>
        <xdr:cNvSpPr txBox="1"/>
      </xdr:nvSpPr>
      <xdr:spPr>
        <a:xfrm>
          <a:off x="20269200" y="18202275"/>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661918"/>
    <xdr:sp macro="" textlink="">
      <xdr:nvSpPr>
        <xdr:cNvPr id="303" name="TextBox 302"/>
        <xdr:cNvSpPr txBox="1"/>
      </xdr:nvSpPr>
      <xdr:spPr>
        <a:xfrm>
          <a:off x="20269200" y="2257425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304" name="TextBox 303"/>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305" name="TextBox 304"/>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83569"/>
    <xdr:sp macro="" textlink="">
      <xdr:nvSpPr>
        <xdr:cNvPr id="306" name="TextBox 305"/>
        <xdr:cNvSpPr txBox="1"/>
      </xdr:nvSpPr>
      <xdr:spPr>
        <a:xfrm>
          <a:off x="20269200" y="2257425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744986"/>
    <xdr:sp macro="" textlink="">
      <xdr:nvSpPr>
        <xdr:cNvPr id="307" name="TextBox 306"/>
        <xdr:cNvSpPr txBox="1"/>
      </xdr:nvSpPr>
      <xdr:spPr>
        <a:xfrm>
          <a:off x="20269200" y="18202275"/>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76302"/>
    <xdr:sp macro="" textlink="">
      <xdr:nvSpPr>
        <xdr:cNvPr id="308" name="TextBox 307"/>
        <xdr:cNvSpPr txBox="1"/>
      </xdr:nvSpPr>
      <xdr:spPr>
        <a:xfrm>
          <a:off x="20269200" y="2257425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309" name="TextBox 308"/>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42629"/>
    <xdr:sp macro="" textlink="">
      <xdr:nvSpPr>
        <xdr:cNvPr id="310" name="TextBox 309"/>
        <xdr:cNvSpPr txBox="1"/>
      </xdr:nvSpPr>
      <xdr:spPr>
        <a:xfrm>
          <a:off x="20269200" y="18202275"/>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676302"/>
    <xdr:sp macro="" textlink="">
      <xdr:nvSpPr>
        <xdr:cNvPr id="311" name="TextBox 310"/>
        <xdr:cNvSpPr txBox="1"/>
      </xdr:nvSpPr>
      <xdr:spPr>
        <a:xfrm>
          <a:off x="20269200" y="2257425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312" name="TextBox 311"/>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313" name="TextBox 312"/>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314" name="TextBox 313"/>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1363" cy="1676302"/>
    <xdr:sp macro="" textlink="">
      <xdr:nvSpPr>
        <xdr:cNvPr id="315" name="TextBox 314"/>
        <xdr:cNvSpPr txBox="1"/>
      </xdr:nvSpPr>
      <xdr:spPr>
        <a:xfrm>
          <a:off x="20269200" y="2257425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445197" cy="1676302"/>
    <xdr:sp macro="" textlink="">
      <xdr:nvSpPr>
        <xdr:cNvPr id="316" name="TextBox 315"/>
        <xdr:cNvSpPr txBox="1"/>
      </xdr:nvSpPr>
      <xdr:spPr>
        <a:xfrm>
          <a:off x="20269200" y="2257425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317" name="TextBox 316"/>
        <xdr:cNvSpPr txBox="1"/>
      </xdr:nvSpPr>
      <xdr:spPr>
        <a:xfrm>
          <a:off x="20269200" y="18202275"/>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318" name="TextBox 317"/>
        <xdr:cNvSpPr txBox="1"/>
      </xdr:nvSpPr>
      <xdr:spPr>
        <a:xfrm>
          <a:off x="20269200" y="2257425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76039"/>
    <xdr:sp macro="" textlink="">
      <xdr:nvSpPr>
        <xdr:cNvPr id="319" name="TextBox 318"/>
        <xdr:cNvSpPr txBox="1"/>
      </xdr:nvSpPr>
      <xdr:spPr>
        <a:xfrm>
          <a:off x="20269200" y="26412825"/>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320" name="TextBox 319"/>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321" name="TextBox 320"/>
        <xdr:cNvSpPr txBox="1"/>
      </xdr:nvSpPr>
      <xdr:spPr>
        <a:xfrm>
          <a:off x="20269200" y="26412825"/>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620421"/>
    <xdr:sp macro="" textlink="">
      <xdr:nvSpPr>
        <xdr:cNvPr id="322" name="TextBox 321"/>
        <xdr:cNvSpPr txBox="1"/>
      </xdr:nvSpPr>
      <xdr:spPr>
        <a:xfrm>
          <a:off x="20269200" y="2257425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842257"/>
    <xdr:sp macro="" textlink="">
      <xdr:nvSpPr>
        <xdr:cNvPr id="323" name="TextBox 322"/>
        <xdr:cNvSpPr txBox="1"/>
      </xdr:nvSpPr>
      <xdr:spPr>
        <a:xfrm>
          <a:off x="20269200" y="18202275"/>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587258"/>
    <xdr:sp macro="" textlink="">
      <xdr:nvSpPr>
        <xdr:cNvPr id="324" name="TextBox 323"/>
        <xdr:cNvSpPr txBox="1"/>
      </xdr:nvSpPr>
      <xdr:spPr>
        <a:xfrm>
          <a:off x="20269200" y="2257425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932" cy="1587258"/>
    <xdr:sp macro="" textlink="">
      <xdr:nvSpPr>
        <xdr:cNvPr id="325" name="TextBox 324"/>
        <xdr:cNvSpPr txBox="1"/>
      </xdr:nvSpPr>
      <xdr:spPr>
        <a:xfrm>
          <a:off x="20269200" y="2257425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326" name="TextBox 325"/>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327" name="TextBox 326"/>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593" cy="1587258"/>
    <xdr:sp macro="" textlink="">
      <xdr:nvSpPr>
        <xdr:cNvPr id="328" name="TextBox 327"/>
        <xdr:cNvSpPr txBox="1"/>
      </xdr:nvSpPr>
      <xdr:spPr>
        <a:xfrm>
          <a:off x="20269200" y="2257425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8203" cy="1587258"/>
    <xdr:sp macro="" textlink="">
      <xdr:nvSpPr>
        <xdr:cNvPr id="329" name="TextBox 328"/>
        <xdr:cNvSpPr txBox="1"/>
      </xdr:nvSpPr>
      <xdr:spPr>
        <a:xfrm>
          <a:off x="20269200" y="2257425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330" name="TextBox 329"/>
        <xdr:cNvSpPr txBox="1"/>
      </xdr:nvSpPr>
      <xdr:spPr>
        <a:xfrm>
          <a:off x="20269200" y="18202275"/>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331" name="TextBox 330"/>
        <xdr:cNvSpPr txBox="1"/>
      </xdr:nvSpPr>
      <xdr:spPr>
        <a:xfrm>
          <a:off x="20269200" y="2257425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332" name="TextBox 331"/>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333" name="TextBox 332"/>
        <xdr:cNvSpPr txBox="1"/>
      </xdr:nvSpPr>
      <xdr:spPr>
        <a:xfrm>
          <a:off x="20269200" y="26412825"/>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222"/>
    <xdr:sp macro="" textlink="">
      <xdr:nvSpPr>
        <xdr:cNvPr id="334" name="TextBox 333"/>
        <xdr:cNvSpPr txBox="1"/>
      </xdr:nvSpPr>
      <xdr:spPr>
        <a:xfrm>
          <a:off x="20269200" y="2257425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748771"/>
    <xdr:sp macro="" textlink="">
      <xdr:nvSpPr>
        <xdr:cNvPr id="335" name="TextBox 334"/>
        <xdr:cNvSpPr txBox="1"/>
      </xdr:nvSpPr>
      <xdr:spPr>
        <a:xfrm>
          <a:off x="20269200" y="18202275"/>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119"/>
    <xdr:sp macro="" textlink="">
      <xdr:nvSpPr>
        <xdr:cNvPr id="336" name="TextBox 335"/>
        <xdr:cNvSpPr txBox="1"/>
      </xdr:nvSpPr>
      <xdr:spPr>
        <a:xfrm>
          <a:off x="20269200" y="2257425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114" cy="1662119"/>
    <xdr:sp macro="" textlink="">
      <xdr:nvSpPr>
        <xdr:cNvPr id="337" name="TextBox 336"/>
        <xdr:cNvSpPr txBox="1"/>
      </xdr:nvSpPr>
      <xdr:spPr>
        <a:xfrm>
          <a:off x="20269200" y="2257425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731221"/>
    <xdr:sp macro="" textlink="">
      <xdr:nvSpPr>
        <xdr:cNvPr id="338" name="TextBox 337"/>
        <xdr:cNvSpPr txBox="1"/>
      </xdr:nvSpPr>
      <xdr:spPr>
        <a:xfrm>
          <a:off x="20269200" y="18202275"/>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662119"/>
    <xdr:sp macro="" textlink="">
      <xdr:nvSpPr>
        <xdr:cNvPr id="339" name="TextBox 338"/>
        <xdr:cNvSpPr txBox="1"/>
      </xdr:nvSpPr>
      <xdr:spPr>
        <a:xfrm>
          <a:off x="20269200" y="2257425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340" name="TextBox 339"/>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731221"/>
    <xdr:sp macro="" textlink="">
      <xdr:nvSpPr>
        <xdr:cNvPr id="341" name="TextBox 340"/>
        <xdr:cNvSpPr txBox="1"/>
      </xdr:nvSpPr>
      <xdr:spPr>
        <a:xfrm>
          <a:off x="20269200" y="18202275"/>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342" name="TextBox 341"/>
        <xdr:cNvSpPr txBox="1"/>
      </xdr:nvSpPr>
      <xdr:spPr>
        <a:xfrm>
          <a:off x="20269200" y="2257425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4833" cy="1662119"/>
    <xdr:sp macro="" textlink="">
      <xdr:nvSpPr>
        <xdr:cNvPr id="343" name="TextBox 342"/>
        <xdr:cNvSpPr txBox="1"/>
      </xdr:nvSpPr>
      <xdr:spPr>
        <a:xfrm>
          <a:off x="20269200" y="2257425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731221"/>
    <xdr:sp macro="" textlink="">
      <xdr:nvSpPr>
        <xdr:cNvPr id="344" name="TextBox 343"/>
        <xdr:cNvSpPr txBox="1"/>
      </xdr:nvSpPr>
      <xdr:spPr>
        <a:xfrm>
          <a:off x="20269200" y="18202275"/>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119"/>
    <xdr:sp macro="" textlink="">
      <xdr:nvSpPr>
        <xdr:cNvPr id="345" name="TextBox 344"/>
        <xdr:cNvSpPr txBox="1"/>
      </xdr:nvSpPr>
      <xdr:spPr>
        <a:xfrm>
          <a:off x="20269200" y="2257425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877" cy="1662343"/>
    <xdr:sp macro="" textlink="">
      <xdr:nvSpPr>
        <xdr:cNvPr id="346" name="TextBox 345"/>
        <xdr:cNvSpPr txBox="1"/>
      </xdr:nvSpPr>
      <xdr:spPr>
        <a:xfrm>
          <a:off x="20269200" y="26412825"/>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343"/>
    <xdr:sp macro="" textlink="">
      <xdr:nvSpPr>
        <xdr:cNvPr id="347" name="TextBox 346"/>
        <xdr:cNvSpPr txBox="1"/>
      </xdr:nvSpPr>
      <xdr:spPr>
        <a:xfrm>
          <a:off x="20269200" y="26412825"/>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343"/>
    <xdr:sp macro="" textlink="">
      <xdr:nvSpPr>
        <xdr:cNvPr id="348" name="TextBox 347"/>
        <xdr:cNvSpPr txBox="1"/>
      </xdr:nvSpPr>
      <xdr:spPr>
        <a:xfrm>
          <a:off x="20269200" y="26412825"/>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934"/>
    <xdr:sp macro="" textlink="">
      <xdr:nvSpPr>
        <xdr:cNvPr id="349" name="TextBox 348"/>
        <xdr:cNvSpPr txBox="1"/>
      </xdr:nvSpPr>
      <xdr:spPr>
        <a:xfrm>
          <a:off x="20269200" y="2257425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742770"/>
    <xdr:sp macro="" textlink="">
      <xdr:nvSpPr>
        <xdr:cNvPr id="350" name="TextBox 349"/>
        <xdr:cNvSpPr txBox="1"/>
      </xdr:nvSpPr>
      <xdr:spPr>
        <a:xfrm>
          <a:off x="20269200" y="18202275"/>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831"/>
    <xdr:sp macro="" textlink="">
      <xdr:nvSpPr>
        <xdr:cNvPr id="351" name="TextBox 350"/>
        <xdr:cNvSpPr txBox="1"/>
      </xdr:nvSpPr>
      <xdr:spPr>
        <a:xfrm>
          <a:off x="20269200" y="2257425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5023"/>
    <xdr:sp macro="" textlink="">
      <xdr:nvSpPr>
        <xdr:cNvPr id="352" name="TextBox 351"/>
        <xdr:cNvSpPr txBox="1"/>
      </xdr:nvSpPr>
      <xdr:spPr>
        <a:xfrm>
          <a:off x="20269200" y="2257425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717993"/>
    <xdr:sp macro="" textlink="">
      <xdr:nvSpPr>
        <xdr:cNvPr id="353" name="TextBox 352"/>
        <xdr:cNvSpPr txBox="1"/>
      </xdr:nvSpPr>
      <xdr:spPr>
        <a:xfrm>
          <a:off x="20269200" y="18202275"/>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4935"/>
    <xdr:sp macro="" textlink="">
      <xdr:nvSpPr>
        <xdr:cNvPr id="354" name="TextBox 353"/>
        <xdr:cNvSpPr txBox="1"/>
      </xdr:nvSpPr>
      <xdr:spPr>
        <a:xfrm>
          <a:off x="20269200" y="2257425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4773" cy="1434935"/>
    <xdr:sp macro="" textlink="">
      <xdr:nvSpPr>
        <xdr:cNvPr id="355" name="TextBox 354"/>
        <xdr:cNvSpPr txBox="1"/>
      </xdr:nvSpPr>
      <xdr:spPr>
        <a:xfrm>
          <a:off x="20269200" y="2257425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356" name="TextBox 355"/>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357" name="TextBox 356"/>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358" name="TextBox 357"/>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359" name="TextBox 358"/>
        <xdr:cNvSpPr txBox="1"/>
      </xdr:nvSpPr>
      <xdr:spPr>
        <a:xfrm>
          <a:off x="20269200" y="2257425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360" name="TextBox 359"/>
        <xdr:cNvSpPr txBox="1"/>
      </xdr:nvSpPr>
      <xdr:spPr>
        <a:xfrm>
          <a:off x="20269200" y="18202275"/>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361" name="TextBox 360"/>
        <xdr:cNvSpPr txBox="1"/>
      </xdr:nvSpPr>
      <xdr:spPr>
        <a:xfrm>
          <a:off x="20269200" y="2257425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362" name="TextBox 361"/>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363" name="TextBox 362"/>
        <xdr:cNvSpPr txBox="1"/>
      </xdr:nvSpPr>
      <xdr:spPr>
        <a:xfrm>
          <a:off x="20269200" y="2257425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746347"/>
    <xdr:sp macro="" textlink="">
      <xdr:nvSpPr>
        <xdr:cNvPr id="364" name="TextBox 363"/>
        <xdr:cNvSpPr txBox="1"/>
      </xdr:nvSpPr>
      <xdr:spPr>
        <a:xfrm>
          <a:off x="20269200" y="18202275"/>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661857"/>
    <xdr:sp macro="" textlink="">
      <xdr:nvSpPr>
        <xdr:cNvPr id="365" name="TextBox 364"/>
        <xdr:cNvSpPr txBox="1"/>
      </xdr:nvSpPr>
      <xdr:spPr>
        <a:xfrm>
          <a:off x="20269200" y="2257425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178" cy="1661857"/>
    <xdr:sp macro="" textlink="">
      <xdr:nvSpPr>
        <xdr:cNvPr id="366" name="TextBox 365"/>
        <xdr:cNvSpPr txBox="1"/>
      </xdr:nvSpPr>
      <xdr:spPr>
        <a:xfrm>
          <a:off x="20269200" y="2257425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9642" cy="1678802"/>
    <xdr:sp macro="" textlink="">
      <xdr:nvSpPr>
        <xdr:cNvPr id="367" name="TextBox 366"/>
        <xdr:cNvSpPr txBox="1"/>
      </xdr:nvSpPr>
      <xdr:spPr>
        <a:xfrm>
          <a:off x="20269200" y="26412825"/>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419"/>
    <xdr:sp macro="" textlink="">
      <xdr:nvSpPr>
        <xdr:cNvPr id="368" name="TextBox 367"/>
        <xdr:cNvSpPr txBox="1"/>
      </xdr:nvSpPr>
      <xdr:spPr>
        <a:xfrm>
          <a:off x="20269200" y="2257425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759058"/>
    <xdr:sp macro="" textlink="">
      <xdr:nvSpPr>
        <xdr:cNvPr id="369" name="TextBox 368"/>
        <xdr:cNvSpPr txBox="1"/>
      </xdr:nvSpPr>
      <xdr:spPr>
        <a:xfrm>
          <a:off x="20269200" y="18202275"/>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316"/>
    <xdr:sp macro="" textlink="">
      <xdr:nvSpPr>
        <xdr:cNvPr id="370" name="TextBox 369"/>
        <xdr:cNvSpPr txBox="1"/>
      </xdr:nvSpPr>
      <xdr:spPr>
        <a:xfrm>
          <a:off x="20269200" y="2257425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21" cy="1650316"/>
    <xdr:sp macro="" textlink="">
      <xdr:nvSpPr>
        <xdr:cNvPr id="371" name="TextBox 370"/>
        <xdr:cNvSpPr txBox="1"/>
      </xdr:nvSpPr>
      <xdr:spPr>
        <a:xfrm>
          <a:off x="20269200" y="2257425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372" name="TextBox 371"/>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373" name="TextBox 372"/>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374" name="TextBox 373"/>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2021"/>
    <xdr:sp macro="" textlink="">
      <xdr:nvSpPr>
        <xdr:cNvPr id="375" name="TextBox 374"/>
        <xdr:cNvSpPr txBox="1"/>
      </xdr:nvSpPr>
      <xdr:spPr>
        <a:xfrm>
          <a:off x="20269200" y="2257425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748948"/>
    <xdr:sp macro="" textlink="">
      <xdr:nvSpPr>
        <xdr:cNvPr id="376" name="TextBox 375"/>
        <xdr:cNvSpPr txBox="1"/>
      </xdr:nvSpPr>
      <xdr:spPr>
        <a:xfrm>
          <a:off x="20269200" y="18202275"/>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1918"/>
    <xdr:sp macro="" textlink="">
      <xdr:nvSpPr>
        <xdr:cNvPr id="377" name="TextBox 376"/>
        <xdr:cNvSpPr txBox="1"/>
      </xdr:nvSpPr>
      <xdr:spPr>
        <a:xfrm>
          <a:off x="20269200" y="2257425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5265" cy="1661918"/>
    <xdr:sp macro="" textlink="">
      <xdr:nvSpPr>
        <xdr:cNvPr id="378" name="TextBox 377"/>
        <xdr:cNvSpPr txBox="1"/>
      </xdr:nvSpPr>
      <xdr:spPr>
        <a:xfrm>
          <a:off x="20269200" y="2257425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945" cy="1661918"/>
    <xdr:sp macro="" textlink="">
      <xdr:nvSpPr>
        <xdr:cNvPr id="379" name="TextBox 378"/>
        <xdr:cNvSpPr txBox="1"/>
      </xdr:nvSpPr>
      <xdr:spPr>
        <a:xfrm>
          <a:off x="20269200" y="2257425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2021"/>
    <xdr:sp macro="" textlink="">
      <xdr:nvSpPr>
        <xdr:cNvPr id="380" name="TextBox 379"/>
        <xdr:cNvSpPr txBox="1"/>
      </xdr:nvSpPr>
      <xdr:spPr>
        <a:xfrm>
          <a:off x="20269200" y="2257425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748948"/>
    <xdr:sp macro="" textlink="">
      <xdr:nvSpPr>
        <xdr:cNvPr id="381" name="TextBox 380"/>
        <xdr:cNvSpPr txBox="1"/>
      </xdr:nvSpPr>
      <xdr:spPr>
        <a:xfrm>
          <a:off x="20269200" y="18202275"/>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1918"/>
    <xdr:sp macro="" textlink="">
      <xdr:nvSpPr>
        <xdr:cNvPr id="382" name="TextBox 381"/>
        <xdr:cNvSpPr txBox="1"/>
      </xdr:nvSpPr>
      <xdr:spPr>
        <a:xfrm>
          <a:off x="20269200" y="2257425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383" name="TextBox 382"/>
        <xdr:cNvSpPr txBox="1"/>
      </xdr:nvSpPr>
      <xdr:spPr>
        <a:xfrm>
          <a:off x="20269200" y="2257425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746584"/>
    <xdr:sp macro="" textlink="">
      <xdr:nvSpPr>
        <xdr:cNvPr id="384" name="TextBox 383"/>
        <xdr:cNvSpPr txBox="1"/>
      </xdr:nvSpPr>
      <xdr:spPr>
        <a:xfrm>
          <a:off x="20269200" y="18202275"/>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661918"/>
    <xdr:sp macro="" textlink="">
      <xdr:nvSpPr>
        <xdr:cNvPr id="385" name="TextBox 384"/>
        <xdr:cNvSpPr txBox="1"/>
      </xdr:nvSpPr>
      <xdr:spPr>
        <a:xfrm>
          <a:off x="20269200" y="2257425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00147" cy="1661918"/>
    <xdr:sp macro="" textlink="">
      <xdr:nvSpPr>
        <xdr:cNvPr id="386" name="TextBox 385"/>
        <xdr:cNvSpPr txBox="1"/>
      </xdr:nvSpPr>
      <xdr:spPr>
        <a:xfrm>
          <a:off x="20269200" y="2257425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592" cy="1661918"/>
    <xdr:sp macro="" textlink="">
      <xdr:nvSpPr>
        <xdr:cNvPr id="387" name="TextBox 386"/>
        <xdr:cNvSpPr txBox="1"/>
      </xdr:nvSpPr>
      <xdr:spPr>
        <a:xfrm>
          <a:off x="20269200" y="2257425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746584"/>
    <xdr:sp macro="" textlink="">
      <xdr:nvSpPr>
        <xdr:cNvPr id="388" name="TextBox 387"/>
        <xdr:cNvSpPr txBox="1"/>
      </xdr:nvSpPr>
      <xdr:spPr>
        <a:xfrm>
          <a:off x="20269200" y="18202275"/>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661918"/>
    <xdr:sp macro="" textlink="">
      <xdr:nvSpPr>
        <xdr:cNvPr id="389" name="TextBox 388"/>
        <xdr:cNvSpPr txBox="1"/>
      </xdr:nvSpPr>
      <xdr:spPr>
        <a:xfrm>
          <a:off x="20269200" y="2257425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390" name="TextBox 389"/>
        <xdr:cNvSpPr txBox="1"/>
      </xdr:nvSpPr>
      <xdr:spPr>
        <a:xfrm>
          <a:off x="20269200" y="26412825"/>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391" name="TextBox 390"/>
        <xdr:cNvSpPr txBox="1"/>
      </xdr:nvSpPr>
      <xdr:spPr>
        <a:xfrm>
          <a:off x="20269200" y="26412825"/>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679418"/>
    <xdr:sp macro="" textlink="">
      <xdr:nvSpPr>
        <xdr:cNvPr id="392" name="TextBox 391"/>
        <xdr:cNvSpPr txBox="1"/>
      </xdr:nvSpPr>
      <xdr:spPr>
        <a:xfrm>
          <a:off x="15201900" y="22574250"/>
          <a:ext cx="3560766"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747852"/>
    <xdr:sp macro="" textlink="">
      <xdr:nvSpPr>
        <xdr:cNvPr id="393" name="TextBox 392"/>
        <xdr:cNvSpPr txBox="1"/>
      </xdr:nvSpPr>
      <xdr:spPr>
        <a:xfrm>
          <a:off x="15201900" y="18202275"/>
          <a:ext cx="3560766"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682488"/>
    <xdr:sp macro="" textlink="">
      <xdr:nvSpPr>
        <xdr:cNvPr id="394" name="TextBox 393"/>
        <xdr:cNvSpPr txBox="1"/>
      </xdr:nvSpPr>
      <xdr:spPr>
        <a:xfrm>
          <a:off x="15201900" y="22574250"/>
          <a:ext cx="356076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755464"/>
    <xdr:sp macro="" textlink="">
      <xdr:nvSpPr>
        <xdr:cNvPr id="395" name="TextBox 394"/>
        <xdr:cNvSpPr txBox="1"/>
      </xdr:nvSpPr>
      <xdr:spPr>
        <a:xfrm>
          <a:off x="31703010" y="18202275"/>
          <a:ext cx="3555927"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682488"/>
    <xdr:sp macro="" textlink="">
      <xdr:nvSpPr>
        <xdr:cNvPr id="396" name="TextBox 395"/>
        <xdr:cNvSpPr txBox="1"/>
      </xdr:nvSpPr>
      <xdr:spPr>
        <a:xfrm>
          <a:off x="31703010" y="22574250"/>
          <a:ext cx="3555927"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397" name="TextBox 396"/>
        <xdr:cNvSpPr txBox="1"/>
      </xdr:nvSpPr>
      <xdr:spPr>
        <a:xfrm>
          <a:off x="32417385" y="2257425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55464"/>
    <xdr:sp macro="" textlink="">
      <xdr:nvSpPr>
        <xdr:cNvPr id="398" name="TextBox 397"/>
        <xdr:cNvSpPr txBox="1"/>
      </xdr:nvSpPr>
      <xdr:spPr>
        <a:xfrm>
          <a:off x="25269825" y="18202275"/>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399" name="TextBox 398"/>
        <xdr:cNvSpPr txBox="1"/>
      </xdr:nvSpPr>
      <xdr:spPr>
        <a:xfrm>
          <a:off x="25269825" y="2257425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846" cy="1682488"/>
    <xdr:sp macro="" textlink="">
      <xdr:nvSpPr>
        <xdr:cNvPr id="400" name="TextBox 399"/>
        <xdr:cNvSpPr txBox="1"/>
      </xdr:nvSpPr>
      <xdr:spPr>
        <a:xfrm>
          <a:off x="19059525" y="22574250"/>
          <a:ext cx="355584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3718" cy="1682488"/>
    <xdr:sp macro="" textlink="">
      <xdr:nvSpPr>
        <xdr:cNvPr id="401" name="TextBox 400"/>
        <xdr:cNvSpPr txBox="1"/>
      </xdr:nvSpPr>
      <xdr:spPr>
        <a:xfrm>
          <a:off x="26698575" y="22574250"/>
          <a:ext cx="3523718"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55464"/>
    <xdr:sp macro="" textlink="">
      <xdr:nvSpPr>
        <xdr:cNvPr id="402" name="TextBox 401"/>
        <xdr:cNvSpPr txBox="1"/>
      </xdr:nvSpPr>
      <xdr:spPr>
        <a:xfrm>
          <a:off x="12633960" y="18202275"/>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403" name="TextBox 402"/>
        <xdr:cNvSpPr txBox="1"/>
      </xdr:nvSpPr>
      <xdr:spPr>
        <a:xfrm>
          <a:off x="12633960" y="2257425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741250"/>
    <xdr:sp macro="" textlink="">
      <xdr:nvSpPr>
        <xdr:cNvPr id="404" name="TextBox 403"/>
        <xdr:cNvSpPr txBox="1"/>
      </xdr:nvSpPr>
      <xdr:spPr>
        <a:xfrm>
          <a:off x="10833735" y="26412825"/>
          <a:ext cx="3555927"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41250"/>
    <xdr:sp macro="" textlink="">
      <xdr:nvSpPr>
        <xdr:cNvPr id="405" name="TextBox 404"/>
        <xdr:cNvSpPr txBox="1"/>
      </xdr:nvSpPr>
      <xdr:spPr>
        <a:xfrm>
          <a:off x="30274260" y="26412825"/>
          <a:ext cx="3556010"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679418"/>
    <xdr:sp macro="" textlink="">
      <xdr:nvSpPr>
        <xdr:cNvPr id="406" name="TextBox 405"/>
        <xdr:cNvSpPr txBox="1"/>
      </xdr:nvSpPr>
      <xdr:spPr>
        <a:xfrm>
          <a:off x="5943600" y="22574250"/>
          <a:ext cx="3537719"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747852"/>
    <xdr:sp macro="" textlink="">
      <xdr:nvSpPr>
        <xdr:cNvPr id="407" name="TextBox 406"/>
        <xdr:cNvSpPr txBox="1"/>
      </xdr:nvSpPr>
      <xdr:spPr>
        <a:xfrm>
          <a:off x="5943600" y="18202275"/>
          <a:ext cx="3537719"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672229"/>
    <xdr:sp macro="" textlink="">
      <xdr:nvSpPr>
        <xdr:cNvPr id="408" name="TextBox 407"/>
        <xdr:cNvSpPr txBox="1"/>
      </xdr:nvSpPr>
      <xdr:spPr>
        <a:xfrm>
          <a:off x="5943600" y="22574250"/>
          <a:ext cx="3537719"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409" name="TextBox 408"/>
        <xdr:cNvSpPr txBox="1"/>
      </xdr:nvSpPr>
      <xdr:spPr>
        <a:xfrm>
          <a:off x="8261985"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55464"/>
    <xdr:sp macro="" textlink="">
      <xdr:nvSpPr>
        <xdr:cNvPr id="410" name="TextBox 409"/>
        <xdr:cNvSpPr txBox="1"/>
      </xdr:nvSpPr>
      <xdr:spPr>
        <a:xfrm>
          <a:off x="15462885" y="18202275"/>
          <a:ext cx="3544382"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672229"/>
    <xdr:sp macro="" textlink="">
      <xdr:nvSpPr>
        <xdr:cNvPr id="411" name="TextBox 410"/>
        <xdr:cNvSpPr txBox="1"/>
      </xdr:nvSpPr>
      <xdr:spPr>
        <a:xfrm>
          <a:off x="15462885" y="22574250"/>
          <a:ext cx="3544382"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412" name="TextBox 411"/>
        <xdr:cNvSpPr txBox="1"/>
      </xdr:nvSpPr>
      <xdr:spPr>
        <a:xfrm>
          <a:off x="14691360"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55464"/>
    <xdr:sp macro="" textlink="">
      <xdr:nvSpPr>
        <xdr:cNvPr id="413" name="TextBox 412"/>
        <xdr:cNvSpPr txBox="1"/>
      </xdr:nvSpPr>
      <xdr:spPr>
        <a:xfrm>
          <a:off x="26940510" y="182022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414" name="TextBox 413"/>
        <xdr:cNvSpPr txBox="1"/>
      </xdr:nvSpPr>
      <xdr:spPr>
        <a:xfrm>
          <a:off x="26940510"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2831" cy="1672229"/>
    <xdr:sp macro="" textlink="">
      <xdr:nvSpPr>
        <xdr:cNvPr id="415" name="TextBox 414"/>
        <xdr:cNvSpPr txBox="1"/>
      </xdr:nvSpPr>
      <xdr:spPr>
        <a:xfrm>
          <a:off x="20983575" y="22574250"/>
          <a:ext cx="3532831"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55464"/>
    <xdr:sp macro="" textlink="">
      <xdr:nvSpPr>
        <xdr:cNvPr id="416" name="TextBox 415"/>
        <xdr:cNvSpPr txBox="1"/>
      </xdr:nvSpPr>
      <xdr:spPr>
        <a:xfrm>
          <a:off x="18034635" y="18202275"/>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417" name="TextBox 416"/>
        <xdr:cNvSpPr txBox="1"/>
      </xdr:nvSpPr>
      <xdr:spPr>
        <a:xfrm>
          <a:off x="18034635" y="2257425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41250"/>
    <xdr:sp macro="" textlink="">
      <xdr:nvSpPr>
        <xdr:cNvPr id="418" name="TextBox 417"/>
        <xdr:cNvSpPr txBox="1"/>
      </xdr:nvSpPr>
      <xdr:spPr>
        <a:xfrm>
          <a:off x="14948535" y="29136975"/>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419" name="TextBox 418"/>
        <xdr:cNvSpPr txBox="1"/>
      </xdr:nvSpPr>
      <xdr:spPr>
        <a:xfrm>
          <a:off x="25988010" y="2913697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41250"/>
    <xdr:sp macro="" textlink="">
      <xdr:nvSpPr>
        <xdr:cNvPr id="421" name="TextBox 420"/>
        <xdr:cNvSpPr txBox="1"/>
      </xdr:nvSpPr>
      <xdr:spPr>
        <a:xfrm>
          <a:off x="14948535" y="26412825"/>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422" name="TextBox 421"/>
        <xdr:cNvSpPr txBox="1"/>
      </xdr:nvSpPr>
      <xdr:spPr>
        <a:xfrm>
          <a:off x="25988010" y="2641282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423" name="TextBox 422"/>
        <xdr:cNvSpPr txBox="1"/>
      </xdr:nvSpPr>
      <xdr:spPr>
        <a:xfrm>
          <a:off x="17520285" y="2641282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83569"/>
    <xdr:sp macro="" textlink="">
      <xdr:nvSpPr>
        <xdr:cNvPr id="424" name="TextBox 423"/>
        <xdr:cNvSpPr txBox="1"/>
      </xdr:nvSpPr>
      <xdr:spPr>
        <a:xfrm>
          <a:off x="24102060" y="2297430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744986"/>
    <xdr:sp macro="" textlink="">
      <xdr:nvSpPr>
        <xdr:cNvPr id="425" name="TextBox 424"/>
        <xdr:cNvSpPr txBox="1"/>
      </xdr:nvSpPr>
      <xdr:spPr>
        <a:xfrm>
          <a:off x="24102060" y="18402300"/>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76302"/>
    <xdr:sp macro="" textlink="">
      <xdr:nvSpPr>
        <xdr:cNvPr id="426" name="TextBox 425"/>
        <xdr:cNvSpPr txBox="1"/>
      </xdr:nvSpPr>
      <xdr:spPr>
        <a:xfrm>
          <a:off x="24102060" y="2297430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427" name="TextBox 426"/>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42629"/>
    <xdr:sp macro="" textlink="">
      <xdr:nvSpPr>
        <xdr:cNvPr id="428" name="TextBox 427"/>
        <xdr:cNvSpPr txBox="1"/>
      </xdr:nvSpPr>
      <xdr:spPr>
        <a:xfrm>
          <a:off x="24102060" y="18402300"/>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676302"/>
    <xdr:sp macro="" textlink="">
      <xdr:nvSpPr>
        <xdr:cNvPr id="429" name="TextBox 428"/>
        <xdr:cNvSpPr txBox="1"/>
      </xdr:nvSpPr>
      <xdr:spPr>
        <a:xfrm>
          <a:off x="24102060" y="2297430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430" name="TextBox 429"/>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431" name="TextBox 430"/>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432" name="TextBox 431"/>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1363" cy="1676302"/>
    <xdr:sp macro="" textlink="">
      <xdr:nvSpPr>
        <xdr:cNvPr id="433" name="TextBox 432"/>
        <xdr:cNvSpPr txBox="1"/>
      </xdr:nvSpPr>
      <xdr:spPr>
        <a:xfrm>
          <a:off x="24102060" y="2297430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445197" cy="1676302"/>
    <xdr:sp macro="" textlink="">
      <xdr:nvSpPr>
        <xdr:cNvPr id="434" name="TextBox 433"/>
        <xdr:cNvSpPr txBox="1"/>
      </xdr:nvSpPr>
      <xdr:spPr>
        <a:xfrm>
          <a:off x="24102060" y="2297430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435" name="TextBox 434"/>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436" name="TextBox 435"/>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76039"/>
    <xdr:sp macro="" textlink="">
      <xdr:nvSpPr>
        <xdr:cNvPr id="437" name="TextBox 436"/>
        <xdr:cNvSpPr txBox="1"/>
      </xdr:nvSpPr>
      <xdr:spPr>
        <a:xfrm>
          <a:off x="24102060" y="26753820"/>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438" name="TextBox 437"/>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439" name="TextBox 438"/>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620421"/>
    <xdr:sp macro="" textlink="">
      <xdr:nvSpPr>
        <xdr:cNvPr id="440" name="TextBox 439"/>
        <xdr:cNvSpPr txBox="1"/>
      </xdr:nvSpPr>
      <xdr:spPr>
        <a:xfrm>
          <a:off x="24102060" y="2297430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842257"/>
    <xdr:sp macro="" textlink="">
      <xdr:nvSpPr>
        <xdr:cNvPr id="441" name="TextBox 440"/>
        <xdr:cNvSpPr txBox="1"/>
      </xdr:nvSpPr>
      <xdr:spPr>
        <a:xfrm>
          <a:off x="24102060" y="18402300"/>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587258"/>
    <xdr:sp macro="" textlink="">
      <xdr:nvSpPr>
        <xdr:cNvPr id="442" name="TextBox 441"/>
        <xdr:cNvSpPr txBox="1"/>
      </xdr:nvSpPr>
      <xdr:spPr>
        <a:xfrm>
          <a:off x="24102060" y="2297430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932" cy="1587258"/>
    <xdr:sp macro="" textlink="">
      <xdr:nvSpPr>
        <xdr:cNvPr id="443" name="TextBox 442"/>
        <xdr:cNvSpPr txBox="1"/>
      </xdr:nvSpPr>
      <xdr:spPr>
        <a:xfrm>
          <a:off x="24102060" y="2297430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444" name="TextBox 443"/>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445" name="TextBox 444"/>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593" cy="1587258"/>
    <xdr:sp macro="" textlink="">
      <xdr:nvSpPr>
        <xdr:cNvPr id="446" name="TextBox 445"/>
        <xdr:cNvSpPr txBox="1"/>
      </xdr:nvSpPr>
      <xdr:spPr>
        <a:xfrm>
          <a:off x="24102060" y="2297430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8203" cy="1587258"/>
    <xdr:sp macro="" textlink="">
      <xdr:nvSpPr>
        <xdr:cNvPr id="447" name="TextBox 446"/>
        <xdr:cNvSpPr txBox="1"/>
      </xdr:nvSpPr>
      <xdr:spPr>
        <a:xfrm>
          <a:off x="24102060" y="2297430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448" name="TextBox 447"/>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449" name="TextBox 448"/>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450" name="TextBox 449"/>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451" name="TextBox 450"/>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222"/>
    <xdr:sp macro="" textlink="">
      <xdr:nvSpPr>
        <xdr:cNvPr id="452" name="TextBox 451"/>
        <xdr:cNvSpPr txBox="1"/>
      </xdr:nvSpPr>
      <xdr:spPr>
        <a:xfrm>
          <a:off x="24102060" y="2297430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748771"/>
    <xdr:sp macro="" textlink="">
      <xdr:nvSpPr>
        <xdr:cNvPr id="453" name="TextBox 452"/>
        <xdr:cNvSpPr txBox="1"/>
      </xdr:nvSpPr>
      <xdr:spPr>
        <a:xfrm>
          <a:off x="24102060" y="18402300"/>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119"/>
    <xdr:sp macro="" textlink="">
      <xdr:nvSpPr>
        <xdr:cNvPr id="454" name="TextBox 453"/>
        <xdr:cNvSpPr txBox="1"/>
      </xdr:nvSpPr>
      <xdr:spPr>
        <a:xfrm>
          <a:off x="24102060" y="2297430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114" cy="1662119"/>
    <xdr:sp macro="" textlink="">
      <xdr:nvSpPr>
        <xdr:cNvPr id="455" name="TextBox 454"/>
        <xdr:cNvSpPr txBox="1"/>
      </xdr:nvSpPr>
      <xdr:spPr>
        <a:xfrm>
          <a:off x="24102060" y="2297430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731221"/>
    <xdr:sp macro="" textlink="">
      <xdr:nvSpPr>
        <xdr:cNvPr id="456" name="TextBox 455"/>
        <xdr:cNvSpPr txBox="1"/>
      </xdr:nvSpPr>
      <xdr:spPr>
        <a:xfrm>
          <a:off x="24102060" y="18402300"/>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662119"/>
    <xdr:sp macro="" textlink="">
      <xdr:nvSpPr>
        <xdr:cNvPr id="457" name="TextBox 456"/>
        <xdr:cNvSpPr txBox="1"/>
      </xdr:nvSpPr>
      <xdr:spPr>
        <a:xfrm>
          <a:off x="24102060" y="2297430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458" name="TextBox 457"/>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731221"/>
    <xdr:sp macro="" textlink="">
      <xdr:nvSpPr>
        <xdr:cNvPr id="459" name="TextBox 458"/>
        <xdr:cNvSpPr txBox="1"/>
      </xdr:nvSpPr>
      <xdr:spPr>
        <a:xfrm>
          <a:off x="24102060" y="18402300"/>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460" name="TextBox 459"/>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4833" cy="1662119"/>
    <xdr:sp macro="" textlink="">
      <xdr:nvSpPr>
        <xdr:cNvPr id="461" name="TextBox 460"/>
        <xdr:cNvSpPr txBox="1"/>
      </xdr:nvSpPr>
      <xdr:spPr>
        <a:xfrm>
          <a:off x="24102060" y="2297430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731221"/>
    <xdr:sp macro="" textlink="">
      <xdr:nvSpPr>
        <xdr:cNvPr id="462" name="TextBox 461"/>
        <xdr:cNvSpPr txBox="1"/>
      </xdr:nvSpPr>
      <xdr:spPr>
        <a:xfrm>
          <a:off x="24102060" y="18402300"/>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119"/>
    <xdr:sp macro="" textlink="">
      <xdr:nvSpPr>
        <xdr:cNvPr id="463" name="TextBox 462"/>
        <xdr:cNvSpPr txBox="1"/>
      </xdr:nvSpPr>
      <xdr:spPr>
        <a:xfrm>
          <a:off x="24102060" y="2297430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877" cy="1662343"/>
    <xdr:sp macro="" textlink="">
      <xdr:nvSpPr>
        <xdr:cNvPr id="464" name="TextBox 463"/>
        <xdr:cNvSpPr txBox="1"/>
      </xdr:nvSpPr>
      <xdr:spPr>
        <a:xfrm>
          <a:off x="24102060" y="26753820"/>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343"/>
    <xdr:sp macro="" textlink="">
      <xdr:nvSpPr>
        <xdr:cNvPr id="465" name="TextBox 464"/>
        <xdr:cNvSpPr txBox="1"/>
      </xdr:nvSpPr>
      <xdr:spPr>
        <a:xfrm>
          <a:off x="24102060" y="26753820"/>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343"/>
    <xdr:sp macro="" textlink="">
      <xdr:nvSpPr>
        <xdr:cNvPr id="466" name="TextBox 465"/>
        <xdr:cNvSpPr txBox="1"/>
      </xdr:nvSpPr>
      <xdr:spPr>
        <a:xfrm>
          <a:off x="24102060" y="26753820"/>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934"/>
    <xdr:sp macro="" textlink="">
      <xdr:nvSpPr>
        <xdr:cNvPr id="467" name="TextBox 466"/>
        <xdr:cNvSpPr txBox="1"/>
      </xdr:nvSpPr>
      <xdr:spPr>
        <a:xfrm>
          <a:off x="24102060" y="2297430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742770"/>
    <xdr:sp macro="" textlink="">
      <xdr:nvSpPr>
        <xdr:cNvPr id="468" name="TextBox 467"/>
        <xdr:cNvSpPr txBox="1"/>
      </xdr:nvSpPr>
      <xdr:spPr>
        <a:xfrm>
          <a:off x="24102060" y="18402300"/>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831"/>
    <xdr:sp macro="" textlink="">
      <xdr:nvSpPr>
        <xdr:cNvPr id="469" name="TextBox 468"/>
        <xdr:cNvSpPr txBox="1"/>
      </xdr:nvSpPr>
      <xdr:spPr>
        <a:xfrm>
          <a:off x="24102060" y="2297430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5023"/>
    <xdr:sp macro="" textlink="">
      <xdr:nvSpPr>
        <xdr:cNvPr id="470" name="TextBox 469"/>
        <xdr:cNvSpPr txBox="1"/>
      </xdr:nvSpPr>
      <xdr:spPr>
        <a:xfrm>
          <a:off x="24102060" y="2297430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717993"/>
    <xdr:sp macro="" textlink="">
      <xdr:nvSpPr>
        <xdr:cNvPr id="471" name="TextBox 470"/>
        <xdr:cNvSpPr txBox="1"/>
      </xdr:nvSpPr>
      <xdr:spPr>
        <a:xfrm>
          <a:off x="24102060" y="18402300"/>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4935"/>
    <xdr:sp macro="" textlink="">
      <xdr:nvSpPr>
        <xdr:cNvPr id="472" name="TextBox 471"/>
        <xdr:cNvSpPr txBox="1"/>
      </xdr:nvSpPr>
      <xdr:spPr>
        <a:xfrm>
          <a:off x="24102060" y="2297430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4773" cy="1434935"/>
    <xdr:sp macro="" textlink="">
      <xdr:nvSpPr>
        <xdr:cNvPr id="473" name="TextBox 472"/>
        <xdr:cNvSpPr txBox="1"/>
      </xdr:nvSpPr>
      <xdr:spPr>
        <a:xfrm>
          <a:off x="24102060" y="2297430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474" name="TextBox 473"/>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475" name="TextBox 474"/>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476" name="TextBox 475"/>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477" name="TextBox 476"/>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478" name="TextBox 477"/>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479" name="TextBox 478"/>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480" name="TextBox 479"/>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481" name="TextBox 480"/>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746347"/>
    <xdr:sp macro="" textlink="">
      <xdr:nvSpPr>
        <xdr:cNvPr id="482" name="TextBox 481"/>
        <xdr:cNvSpPr txBox="1"/>
      </xdr:nvSpPr>
      <xdr:spPr>
        <a:xfrm>
          <a:off x="24102060" y="18402300"/>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661857"/>
    <xdr:sp macro="" textlink="">
      <xdr:nvSpPr>
        <xdr:cNvPr id="483" name="TextBox 482"/>
        <xdr:cNvSpPr txBox="1"/>
      </xdr:nvSpPr>
      <xdr:spPr>
        <a:xfrm>
          <a:off x="24102060" y="2297430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178" cy="1661857"/>
    <xdr:sp macro="" textlink="">
      <xdr:nvSpPr>
        <xdr:cNvPr id="484" name="TextBox 483"/>
        <xdr:cNvSpPr txBox="1"/>
      </xdr:nvSpPr>
      <xdr:spPr>
        <a:xfrm>
          <a:off x="24102060" y="2297430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9642" cy="1678802"/>
    <xdr:sp macro="" textlink="">
      <xdr:nvSpPr>
        <xdr:cNvPr id="485" name="TextBox 484"/>
        <xdr:cNvSpPr txBox="1"/>
      </xdr:nvSpPr>
      <xdr:spPr>
        <a:xfrm>
          <a:off x="24102060" y="26753820"/>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419"/>
    <xdr:sp macro="" textlink="">
      <xdr:nvSpPr>
        <xdr:cNvPr id="486" name="TextBox 485"/>
        <xdr:cNvSpPr txBox="1"/>
      </xdr:nvSpPr>
      <xdr:spPr>
        <a:xfrm>
          <a:off x="24102060" y="2297430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759058"/>
    <xdr:sp macro="" textlink="">
      <xdr:nvSpPr>
        <xdr:cNvPr id="487" name="TextBox 486"/>
        <xdr:cNvSpPr txBox="1"/>
      </xdr:nvSpPr>
      <xdr:spPr>
        <a:xfrm>
          <a:off x="24102060" y="18402300"/>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316"/>
    <xdr:sp macro="" textlink="">
      <xdr:nvSpPr>
        <xdr:cNvPr id="488" name="TextBox 487"/>
        <xdr:cNvSpPr txBox="1"/>
      </xdr:nvSpPr>
      <xdr:spPr>
        <a:xfrm>
          <a:off x="24102060" y="2297430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21" cy="1650316"/>
    <xdr:sp macro="" textlink="">
      <xdr:nvSpPr>
        <xdr:cNvPr id="489" name="TextBox 488"/>
        <xdr:cNvSpPr txBox="1"/>
      </xdr:nvSpPr>
      <xdr:spPr>
        <a:xfrm>
          <a:off x="24102060" y="2297430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490" name="TextBox 489"/>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491" name="TextBox 490"/>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492" name="TextBox 491"/>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2021"/>
    <xdr:sp macro="" textlink="">
      <xdr:nvSpPr>
        <xdr:cNvPr id="493" name="TextBox 492"/>
        <xdr:cNvSpPr txBox="1"/>
      </xdr:nvSpPr>
      <xdr:spPr>
        <a:xfrm>
          <a:off x="24102060" y="2297430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748948"/>
    <xdr:sp macro="" textlink="">
      <xdr:nvSpPr>
        <xdr:cNvPr id="494" name="TextBox 493"/>
        <xdr:cNvSpPr txBox="1"/>
      </xdr:nvSpPr>
      <xdr:spPr>
        <a:xfrm>
          <a:off x="24102060" y="18402300"/>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1918"/>
    <xdr:sp macro="" textlink="">
      <xdr:nvSpPr>
        <xdr:cNvPr id="495" name="TextBox 494"/>
        <xdr:cNvSpPr txBox="1"/>
      </xdr:nvSpPr>
      <xdr:spPr>
        <a:xfrm>
          <a:off x="24102060" y="2297430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5265" cy="1661918"/>
    <xdr:sp macro="" textlink="">
      <xdr:nvSpPr>
        <xdr:cNvPr id="496" name="TextBox 495"/>
        <xdr:cNvSpPr txBox="1"/>
      </xdr:nvSpPr>
      <xdr:spPr>
        <a:xfrm>
          <a:off x="24102060" y="2297430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945" cy="1661918"/>
    <xdr:sp macro="" textlink="">
      <xdr:nvSpPr>
        <xdr:cNvPr id="497" name="TextBox 496"/>
        <xdr:cNvSpPr txBox="1"/>
      </xdr:nvSpPr>
      <xdr:spPr>
        <a:xfrm>
          <a:off x="24102060" y="2297430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2021"/>
    <xdr:sp macro="" textlink="">
      <xdr:nvSpPr>
        <xdr:cNvPr id="498" name="TextBox 497"/>
        <xdr:cNvSpPr txBox="1"/>
      </xdr:nvSpPr>
      <xdr:spPr>
        <a:xfrm>
          <a:off x="24102060" y="2297430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748948"/>
    <xdr:sp macro="" textlink="">
      <xdr:nvSpPr>
        <xdr:cNvPr id="499" name="TextBox 498"/>
        <xdr:cNvSpPr txBox="1"/>
      </xdr:nvSpPr>
      <xdr:spPr>
        <a:xfrm>
          <a:off x="24102060" y="18402300"/>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1918"/>
    <xdr:sp macro="" textlink="">
      <xdr:nvSpPr>
        <xdr:cNvPr id="500" name="TextBox 499"/>
        <xdr:cNvSpPr txBox="1"/>
      </xdr:nvSpPr>
      <xdr:spPr>
        <a:xfrm>
          <a:off x="24102060" y="2297430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501" name="TextBox 500"/>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746584"/>
    <xdr:sp macro="" textlink="">
      <xdr:nvSpPr>
        <xdr:cNvPr id="502" name="TextBox 501"/>
        <xdr:cNvSpPr txBox="1"/>
      </xdr:nvSpPr>
      <xdr:spPr>
        <a:xfrm>
          <a:off x="24102060" y="18402300"/>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661918"/>
    <xdr:sp macro="" textlink="">
      <xdr:nvSpPr>
        <xdr:cNvPr id="503" name="TextBox 502"/>
        <xdr:cNvSpPr txBox="1"/>
      </xdr:nvSpPr>
      <xdr:spPr>
        <a:xfrm>
          <a:off x="24102060" y="2297430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00147" cy="1661918"/>
    <xdr:sp macro="" textlink="">
      <xdr:nvSpPr>
        <xdr:cNvPr id="504" name="TextBox 503"/>
        <xdr:cNvSpPr txBox="1"/>
      </xdr:nvSpPr>
      <xdr:spPr>
        <a:xfrm>
          <a:off x="24102060" y="2297430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592" cy="1661918"/>
    <xdr:sp macro="" textlink="">
      <xdr:nvSpPr>
        <xdr:cNvPr id="505" name="TextBox 504"/>
        <xdr:cNvSpPr txBox="1"/>
      </xdr:nvSpPr>
      <xdr:spPr>
        <a:xfrm>
          <a:off x="24102060" y="2297430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746584"/>
    <xdr:sp macro="" textlink="">
      <xdr:nvSpPr>
        <xdr:cNvPr id="506" name="TextBox 505"/>
        <xdr:cNvSpPr txBox="1"/>
      </xdr:nvSpPr>
      <xdr:spPr>
        <a:xfrm>
          <a:off x="24102060" y="18402300"/>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661918"/>
    <xdr:sp macro="" textlink="">
      <xdr:nvSpPr>
        <xdr:cNvPr id="507" name="TextBox 506"/>
        <xdr:cNvSpPr txBox="1"/>
      </xdr:nvSpPr>
      <xdr:spPr>
        <a:xfrm>
          <a:off x="24102060" y="2297430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508" name="TextBox 507"/>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509" name="TextBox 508"/>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83569"/>
    <xdr:sp macro="" textlink="">
      <xdr:nvSpPr>
        <xdr:cNvPr id="510" name="TextBox 509"/>
        <xdr:cNvSpPr txBox="1"/>
      </xdr:nvSpPr>
      <xdr:spPr>
        <a:xfrm>
          <a:off x="24102060" y="22974300"/>
          <a:ext cx="3529844" cy="168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744986"/>
    <xdr:sp macro="" textlink="">
      <xdr:nvSpPr>
        <xdr:cNvPr id="511" name="TextBox 510"/>
        <xdr:cNvSpPr txBox="1"/>
      </xdr:nvSpPr>
      <xdr:spPr>
        <a:xfrm>
          <a:off x="24102060" y="18402300"/>
          <a:ext cx="3529844" cy="174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9844" cy="1676302"/>
    <xdr:sp macro="" textlink="">
      <xdr:nvSpPr>
        <xdr:cNvPr id="512" name="TextBox 511"/>
        <xdr:cNvSpPr txBox="1"/>
      </xdr:nvSpPr>
      <xdr:spPr>
        <a:xfrm>
          <a:off x="24102060" y="22974300"/>
          <a:ext cx="3529844"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513" name="TextBox 512"/>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42629"/>
    <xdr:sp macro="" textlink="">
      <xdr:nvSpPr>
        <xdr:cNvPr id="514" name="TextBox 513"/>
        <xdr:cNvSpPr txBox="1"/>
      </xdr:nvSpPr>
      <xdr:spPr>
        <a:xfrm>
          <a:off x="24102060" y="18402300"/>
          <a:ext cx="3542843"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676302"/>
    <xdr:sp macro="" textlink="">
      <xdr:nvSpPr>
        <xdr:cNvPr id="515" name="TextBox 514"/>
        <xdr:cNvSpPr txBox="1"/>
      </xdr:nvSpPr>
      <xdr:spPr>
        <a:xfrm>
          <a:off x="24102060" y="22974300"/>
          <a:ext cx="354284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516" name="TextBox 515"/>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517" name="TextBox 516"/>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518" name="TextBox 517"/>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1363" cy="1676302"/>
    <xdr:sp macro="" textlink="">
      <xdr:nvSpPr>
        <xdr:cNvPr id="519" name="TextBox 518"/>
        <xdr:cNvSpPr txBox="1"/>
      </xdr:nvSpPr>
      <xdr:spPr>
        <a:xfrm>
          <a:off x="24102060" y="22974300"/>
          <a:ext cx="3531363"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445197" cy="1676302"/>
    <xdr:sp macro="" textlink="">
      <xdr:nvSpPr>
        <xdr:cNvPr id="520" name="TextBox 519"/>
        <xdr:cNvSpPr txBox="1"/>
      </xdr:nvSpPr>
      <xdr:spPr>
        <a:xfrm>
          <a:off x="24102060" y="22974300"/>
          <a:ext cx="3445197"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42629"/>
    <xdr:sp macro="" textlink="">
      <xdr:nvSpPr>
        <xdr:cNvPr id="521" name="TextBox 520"/>
        <xdr:cNvSpPr txBox="1"/>
      </xdr:nvSpPr>
      <xdr:spPr>
        <a:xfrm>
          <a:off x="24102060" y="18402300"/>
          <a:ext cx="3542926" cy="1742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676302"/>
    <xdr:sp macro="" textlink="">
      <xdr:nvSpPr>
        <xdr:cNvPr id="522" name="TextBox 521"/>
        <xdr:cNvSpPr txBox="1"/>
      </xdr:nvSpPr>
      <xdr:spPr>
        <a:xfrm>
          <a:off x="24102060" y="22974300"/>
          <a:ext cx="3542926" cy="1676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843" cy="1776039"/>
    <xdr:sp macro="" textlink="">
      <xdr:nvSpPr>
        <xdr:cNvPr id="523" name="TextBox 522"/>
        <xdr:cNvSpPr txBox="1"/>
      </xdr:nvSpPr>
      <xdr:spPr>
        <a:xfrm>
          <a:off x="24102060" y="26753820"/>
          <a:ext cx="3542843"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524" name="TextBox 523"/>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2926" cy="1776039"/>
    <xdr:sp macro="" textlink="">
      <xdr:nvSpPr>
        <xdr:cNvPr id="525" name="TextBox 524"/>
        <xdr:cNvSpPr txBox="1"/>
      </xdr:nvSpPr>
      <xdr:spPr>
        <a:xfrm>
          <a:off x="24102060" y="26753820"/>
          <a:ext cx="3542926" cy="1776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620421"/>
    <xdr:sp macro="" textlink="">
      <xdr:nvSpPr>
        <xdr:cNvPr id="526" name="TextBox 525"/>
        <xdr:cNvSpPr txBox="1"/>
      </xdr:nvSpPr>
      <xdr:spPr>
        <a:xfrm>
          <a:off x="24102060" y="22974300"/>
          <a:ext cx="3585226" cy="162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842257"/>
    <xdr:sp macro="" textlink="">
      <xdr:nvSpPr>
        <xdr:cNvPr id="527" name="TextBox 526"/>
        <xdr:cNvSpPr txBox="1"/>
      </xdr:nvSpPr>
      <xdr:spPr>
        <a:xfrm>
          <a:off x="24102060" y="18402300"/>
          <a:ext cx="3585226" cy="1842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226" cy="1587258"/>
    <xdr:sp macro="" textlink="">
      <xdr:nvSpPr>
        <xdr:cNvPr id="528" name="TextBox 527"/>
        <xdr:cNvSpPr txBox="1"/>
      </xdr:nvSpPr>
      <xdr:spPr>
        <a:xfrm>
          <a:off x="24102060" y="22974300"/>
          <a:ext cx="3585226"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932" cy="1587258"/>
    <xdr:sp macro="" textlink="">
      <xdr:nvSpPr>
        <xdr:cNvPr id="529" name="TextBox 528"/>
        <xdr:cNvSpPr txBox="1"/>
      </xdr:nvSpPr>
      <xdr:spPr>
        <a:xfrm>
          <a:off x="24102060" y="22974300"/>
          <a:ext cx="3637932"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530" name="TextBox 529"/>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531" name="TextBox 530"/>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593" cy="1587258"/>
    <xdr:sp macro="" textlink="">
      <xdr:nvSpPr>
        <xdr:cNvPr id="532" name="TextBox 531"/>
        <xdr:cNvSpPr txBox="1"/>
      </xdr:nvSpPr>
      <xdr:spPr>
        <a:xfrm>
          <a:off x="24102060" y="22974300"/>
          <a:ext cx="358459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8203" cy="1587258"/>
    <xdr:sp macro="" textlink="">
      <xdr:nvSpPr>
        <xdr:cNvPr id="533" name="TextBox 532"/>
        <xdr:cNvSpPr txBox="1"/>
      </xdr:nvSpPr>
      <xdr:spPr>
        <a:xfrm>
          <a:off x="24102060" y="22974300"/>
          <a:ext cx="3528203"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44240"/>
    <xdr:sp macro="" textlink="">
      <xdr:nvSpPr>
        <xdr:cNvPr id="534" name="TextBox 533"/>
        <xdr:cNvSpPr txBox="1"/>
      </xdr:nvSpPr>
      <xdr:spPr>
        <a:xfrm>
          <a:off x="24102060" y="18402300"/>
          <a:ext cx="3591487" cy="1744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587258"/>
    <xdr:sp macro="" textlink="">
      <xdr:nvSpPr>
        <xdr:cNvPr id="535" name="TextBox 534"/>
        <xdr:cNvSpPr txBox="1"/>
      </xdr:nvSpPr>
      <xdr:spPr>
        <a:xfrm>
          <a:off x="24102060" y="22974300"/>
          <a:ext cx="3591487" cy="1587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536" name="TextBox 535"/>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1487" cy="1735625"/>
    <xdr:sp macro="" textlink="">
      <xdr:nvSpPr>
        <xdr:cNvPr id="537" name="TextBox 536"/>
        <xdr:cNvSpPr txBox="1"/>
      </xdr:nvSpPr>
      <xdr:spPr>
        <a:xfrm>
          <a:off x="24102060" y="26753820"/>
          <a:ext cx="3591487" cy="173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222"/>
    <xdr:sp macro="" textlink="">
      <xdr:nvSpPr>
        <xdr:cNvPr id="538" name="TextBox 537"/>
        <xdr:cNvSpPr txBox="1"/>
      </xdr:nvSpPr>
      <xdr:spPr>
        <a:xfrm>
          <a:off x="24102060" y="22974300"/>
          <a:ext cx="3635145" cy="166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748771"/>
    <xdr:sp macro="" textlink="">
      <xdr:nvSpPr>
        <xdr:cNvPr id="539" name="TextBox 538"/>
        <xdr:cNvSpPr txBox="1"/>
      </xdr:nvSpPr>
      <xdr:spPr>
        <a:xfrm>
          <a:off x="24102060" y="18402300"/>
          <a:ext cx="3635145" cy="1748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5145" cy="1662119"/>
    <xdr:sp macro="" textlink="">
      <xdr:nvSpPr>
        <xdr:cNvPr id="540" name="TextBox 539"/>
        <xdr:cNvSpPr txBox="1"/>
      </xdr:nvSpPr>
      <xdr:spPr>
        <a:xfrm>
          <a:off x="24102060" y="22974300"/>
          <a:ext cx="3635145"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7114" cy="1662119"/>
    <xdr:sp macro="" textlink="">
      <xdr:nvSpPr>
        <xdr:cNvPr id="541" name="TextBox 540"/>
        <xdr:cNvSpPr txBox="1"/>
      </xdr:nvSpPr>
      <xdr:spPr>
        <a:xfrm>
          <a:off x="24102060" y="22974300"/>
          <a:ext cx="3637114"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731221"/>
    <xdr:sp macro="" textlink="">
      <xdr:nvSpPr>
        <xdr:cNvPr id="542" name="TextBox 541"/>
        <xdr:cNvSpPr txBox="1"/>
      </xdr:nvSpPr>
      <xdr:spPr>
        <a:xfrm>
          <a:off x="24102060" y="18402300"/>
          <a:ext cx="3582426"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426" cy="1662119"/>
    <xdr:sp macro="" textlink="">
      <xdr:nvSpPr>
        <xdr:cNvPr id="543" name="TextBox 542"/>
        <xdr:cNvSpPr txBox="1"/>
      </xdr:nvSpPr>
      <xdr:spPr>
        <a:xfrm>
          <a:off x="24102060" y="22974300"/>
          <a:ext cx="3582426"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544" name="TextBox 543"/>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731221"/>
    <xdr:sp macro="" textlink="">
      <xdr:nvSpPr>
        <xdr:cNvPr id="545" name="TextBox 544"/>
        <xdr:cNvSpPr txBox="1"/>
      </xdr:nvSpPr>
      <xdr:spPr>
        <a:xfrm>
          <a:off x="24102060" y="18402300"/>
          <a:ext cx="3575961"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119"/>
    <xdr:sp macro="" textlink="">
      <xdr:nvSpPr>
        <xdr:cNvPr id="546" name="TextBox 545"/>
        <xdr:cNvSpPr txBox="1"/>
      </xdr:nvSpPr>
      <xdr:spPr>
        <a:xfrm>
          <a:off x="24102060" y="22974300"/>
          <a:ext cx="3575961"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34833" cy="1662119"/>
    <xdr:sp macro="" textlink="">
      <xdr:nvSpPr>
        <xdr:cNvPr id="547" name="TextBox 546"/>
        <xdr:cNvSpPr txBox="1"/>
      </xdr:nvSpPr>
      <xdr:spPr>
        <a:xfrm>
          <a:off x="24102060" y="22974300"/>
          <a:ext cx="3634833"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731221"/>
    <xdr:sp macro="" textlink="">
      <xdr:nvSpPr>
        <xdr:cNvPr id="548" name="TextBox 547"/>
        <xdr:cNvSpPr txBox="1"/>
      </xdr:nvSpPr>
      <xdr:spPr>
        <a:xfrm>
          <a:off x="24102060" y="18402300"/>
          <a:ext cx="3582510" cy="1731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119"/>
    <xdr:sp macro="" textlink="">
      <xdr:nvSpPr>
        <xdr:cNvPr id="549" name="TextBox 548"/>
        <xdr:cNvSpPr txBox="1"/>
      </xdr:nvSpPr>
      <xdr:spPr>
        <a:xfrm>
          <a:off x="24102060" y="22974300"/>
          <a:ext cx="3582510" cy="16621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877" cy="1662343"/>
    <xdr:sp macro="" textlink="">
      <xdr:nvSpPr>
        <xdr:cNvPr id="550" name="TextBox 549"/>
        <xdr:cNvSpPr txBox="1"/>
      </xdr:nvSpPr>
      <xdr:spPr>
        <a:xfrm>
          <a:off x="24102060" y="26753820"/>
          <a:ext cx="3575877"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10" cy="1662343"/>
    <xdr:sp macro="" textlink="">
      <xdr:nvSpPr>
        <xdr:cNvPr id="551" name="TextBox 550"/>
        <xdr:cNvSpPr txBox="1"/>
      </xdr:nvSpPr>
      <xdr:spPr>
        <a:xfrm>
          <a:off x="24102060" y="26753820"/>
          <a:ext cx="3582510"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5961" cy="1662343"/>
    <xdr:sp macro="" textlink="">
      <xdr:nvSpPr>
        <xdr:cNvPr id="552" name="TextBox 551"/>
        <xdr:cNvSpPr txBox="1"/>
      </xdr:nvSpPr>
      <xdr:spPr>
        <a:xfrm>
          <a:off x="24102060" y="26753820"/>
          <a:ext cx="3575961" cy="16623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934"/>
    <xdr:sp macro="" textlink="">
      <xdr:nvSpPr>
        <xdr:cNvPr id="553" name="TextBox 552"/>
        <xdr:cNvSpPr txBox="1"/>
      </xdr:nvSpPr>
      <xdr:spPr>
        <a:xfrm>
          <a:off x="24102060" y="22974300"/>
          <a:ext cx="3592128" cy="1649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742770"/>
    <xdr:sp macro="" textlink="">
      <xdr:nvSpPr>
        <xdr:cNvPr id="554" name="TextBox 553"/>
        <xdr:cNvSpPr txBox="1"/>
      </xdr:nvSpPr>
      <xdr:spPr>
        <a:xfrm>
          <a:off x="24102060" y="18402300"/>
          <a:ext cx="3592128" cy="17427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2128" cy="1649831"/>
    <xdr:sp macro="" textlink="">
      <xdr:nvSpPr>
        <xdr:cNvPr id="555" name="TextBox 554"/>
        <xdr:cNvSpPr txBox="1"/>
      </xdr:nvSpPr>
      <xdr:spPr>
        <a:xfrm>
          <a:off x="24102060" y="22974300"/>
          <a:ext cx="3592128" cy="1649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5023"/>
    <xdr:sp macro="" textlink="">
      <xdr:nvSpPr>
        <xdr:cNvPr id="556" name="TextBox 555"/>
        <xdr:cNvSpPr txBox="1"/>
      </xdr:nvSpPr>
      <xdr:spPr>
        <a:xfrm>
          <a:off x="24102060" y="22974300"/>
          <a:ext cx="3572837" cy="1435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717993"/>
    <xdr:sp macro="" textlink="">
      <xdr:nvSpPr>
        <xdr:cNvPr id="557" name="TextBox 556"/>
        <xdr:cNvSpPr txBox="1"/>
      </xdr:nvSpPr>
      <xdr:spPr>
        <a:xfrm>
          <a:off x="24102060" y="18402300"/>
          <a:ext cx="3572837" cy="1717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837" cy="1434935"/>
    <xdr:sp macro="" textlink="">
      <xdr:nvSpPr>
        <xdr:cNvPr id="558" name="TextBox 557"/>
        <xdr:cNvSpPr txBox="1"/>
      </xdr:nvSpPr>
      <xdr:spPr>
        <a:xfrm>
          <a:off x="24102060" y="22974300"/>
          <a:ext cx="3572837"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4773" cy="1434935"/>
    <xdr:sp macro="" textlink="">
      <xdr:nvSpPr>
        <xdr:cNvPr id="559" name="TextBox 558"/>
        <xdr:cNvSpPr txBox="1"/>
      </xdr:nvSpPr>
      <xdr:spPr>
        <a:xfrm>
          <a:off x="24102060" y="22974300"/>
          <a:ext cx="3574773" cy="1434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560" name="TextBox 559"/>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561" name="TextBox 560"/>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562" name="TextBox 561"/>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960"/>
    <xdr:sp macro="" textlink="">
      <xdr:nvSpPr>
        <xdr:cNvPr id="563" name="TextBox 562"/>
        <xdr:cNvSpPr txBox="1"/>
      </xdr:nvSpPr>
      <xdr:spPr>
        <a:xfrm>
          <a:off x="24102060" y="22974300"/>
          <a:ext cx="3583478" cy="1661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748711"/>
    <xdr:sp macro="" textlink="">
      <xdr:nvSpPr>
        <xdr:cNvPr id="564" name="TextBox 563"/>
        <xdr:cNvSpPr txBox="1"/>
      </xdr:nvSpPr>
      <xdr:spPr>
        <a:xfrm>
          <a:off x="24102060" y="18402300"/>
          <a:ext cx="3583478" cy="1748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478" cy="1661857"/>
    <xdr:sp macro="" textlink="">
      <xdr:nvSpPr>
        <xdr:cNvPr id="565" name="TextBox 564"/>
        <xdr:cNvSpPr txBox="1"/>
      </xdr:nvSpPr>
      <xdr:spPr>
        <a:xfrm>
          <a:off x="24102060" y="22974300"/>
          <a:ext cx="35834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566" name="TextBox 565"/>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5418" cy="1661857"/>
    <xdr:sp macro="" textlink="">
      <xdr:nvSpPr>
        <xdr:cNvPr id="567" name="TextBox 566"/>
        <xdr:cNvSpPr txBox="1"/>
      </xdr:nvSpPr>
      <xdr:spPr>
        <a:xfrm>
          <a:off x="24102060" y="22974300"/>
          <a:ext cx="358541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746347"/>
    <xdr:sp macro="" textlink="">
      <xdr:nvSpPr>
        <xdr:cNvPr id="568" name="TextBox 567"/>
        <xdr:cNvSpPr txBox="1"/>
      </xdr:nvSpPr>
      <xdr:spPr>
        <a:xfrm>
          <a:off x="24102060" y="18402300"/>
          <a:ext cx="3757028" cy="1746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757028" cy="1661857"/>
    <xdr:sp macro="" textlink="">
      <xdr:nvSpPr>
        <xdr:cNvPr id="569" name="TextBox 568"/>
        <xdr:cNvSpPr txBox="1"/>
      </xdr:nvSpPr>
      <xdr:spPr>
        <a:xfrm>
          <a:off x="24102060" y="22974300"/>
          <a:ext cx="375702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178" cy="1661857"/>
    <xdr:sp macro="" textlink="">
      <xdr:nvSpPr>
        <xdr:cNvPr id="570" name="TextBox 569"/>
        <xdr:cNvSpPr txBox="1"/>
      </xdr:nvSpPr>
      <xdr:spPr>
        <a:xfrm>
          <a:off x="24102060" y="22974300"/>
          <a:ext cx="3590178" cy="1661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9642" cy="1678802"/>
    <xdr:sp macro="" textlink="">
      <xdr:nvSpPr>
        <xdr:cNvPr id="571" name="TextBox 570"/>
        <xdr:cNvSpPr txBox="1"/>
      </xdr:nvSpPr>
      <xdr:spPr>
        <a:xfrm>
          <a:off x="24102060" y="26753820"/>
          <a:ext cx="3599642" cy="1678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419"/>
    <xdr:sp macro="" textlink="">
      <xdr:nvSpPr>
        <xdr:cNvPr id="572" name="TextBox 571"/>
        <xdr:cNvSpPr txBox="1"/>
      </xdr:nvSpPr>
      <xdr:spPr>
        <a:xfrm>
          <a:off x="24102060" y="22974300"/>
          <a:ext cx="3580582" cy="1650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759058"/>
    <xdr:sp macro="" textlink="">
      <xdr:nvSpPr>
        <xdr:cNvPr id="573" name="TextBox 572"/>
        <xdr:cNvSpPr txBox="1"/>
      </xdr:nvSpPr>
      <xdr:spPr>
        <a:xfrm>
          <a:off x="24102060" y="18402300"/>
          <a:ext cx="3580582" cy="1759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582" cy="1650316"/>
    <xdr:sp macro="" textlink="">
      <xdr:nvSpPr>
        <xdr:cNvPr id="574" name="TextBox 573"/>
        <xdr:cNvSpPr txBox="1"/>
      </xdr:nvSpPr>
      <xdr:spPr>
        <a:xfrm>
          <a:off x="24102060" y="22974300"/>
          <a:ext cx="3580582"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2521" cy="1650316"/>
    <xdr:sp macro="" textlink="">
      <xdr:nvSpPr>
        <xdr:cNvPr id="575" name="TextBox 574"/>
        <xdr:cNvSpPr txBox="1"/>
      </xdr:nvSpPr>
      <xdr:spPr>
        <a:xfrm>
          <a:off x="24102060" y="22974300"/>
          <a:ext cx="3582521" cy="1650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576" name="TextBox 575"/>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577" name="TextBox 576"/>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578" name="TextBox 577"/>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2021"/>
    <xdr:sp macro="" textlink="">
      <xdr:nvSpPr>
        <xdr:cNvPr id="579" name="TextBox 578"/>
        <xdr:cNvSpPr txBox="1"/>
      </xdr:nvSpPr>
      <xdr:spPr>
        <a:xfrm>
          <a:off x="24102060" y="22974300"/>
          <a:ext cx="3572966"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748948"/>
    <xdr:sp macro="" textlink="">
      <xdr:nvSpPr>
        <xdr:cNvPr id="580" name="TextBox 579"/>
        <xdr:cNvSpPr txBox="1"/>
      </xdr:nvSpPr>
      <xdr:spPr>
        <a:xfrm>
          <a:off x="24102060" y="18402300"/>
          <a:ext cx="3572966"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2966" cy="1661918"/>
    <xdr:sp macro="" textlink="">
      <xdr:nvSpPr>
        <xdr:cNvPr id="581" name="TextBox 580"/>
        <xdr:cNvSpPr txBox="1"/>
      </xdr:nvSpPr>
      <xdr:spPr>
        <a:xfrm>
          <a:off x="24102060" y="22974300"/>
          <a:ext cx="357296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5265" cy="1661918"/>
    <xdr:sp macro="" textlink="">
      <xdr:nvSpPr>
        <xdr:cNvPr id="582" name="TextBox 581"/>
        <xdr:cNvSpPr txBox="1"/>
      </xdr:nvSpPr>
      <xdr:spPr>
        <a:xfrm>
          <a:off x="24102060" y="22974300"/>
          <a:ext cx="356526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0945" cy="1661918"/>
    <xdr:sp macro="" textlink="">
      <xdr:nvSpPr>
        <xdr:cNvPr id="583" name="TextBox 582"/>
        <xdr:cNvSpPr txBox="1"/>
      </xdr:nvSpPr>
      <xdr:spPr>
        <a:xfrm>
          <a:off x="24102060" y="22974300"/>
          <a:ext cx="358094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2021"/>
    <xdr:sp macro="" textlink="">
      <xdr:nvSpPr>
        <xdr:cNvPr id="584" name="TextBox 583"/>
        <xdr:cNvSpPr txBox="1"/>
      </xdr:nvSpPr>
      <xdr:spPr>
        <a:xfrm>
          <a:off x="24102060" y="22974300"/>
          <a:ext cx="3573095" cy="1662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748948"/>
    <xdr:sp macro="" textlink="">
      <xdr:nvSpPr>
        <xdr:cNvPr id="585" name="TextBox 584"/>
        <xdr:cNvSpPr txBox="1"/>
      </xdr:nvSpPr>
      <xdr:spPr>
        <a:xfrm>
          <a:off x="24102060" y="18402300"/>
          <a:ext cx="3573095" cy="1748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73095" cy="1661918"/>
    <xdr:sp macro="" textlink="">
      <xdr:nvSpPr>
        <xdr:cNvPr id="586" name="TextBox 585"/>
        <xdr:cNvSpPr txBox="1"/>
      </xdr:nvSpPr>
      <xdr:spPr>
        <a:xfrm>
          <a:off x="24102060" y="22974300"/>
          <a:ext cx="3573095"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4434" cy="1661918"/>
    <xdr:sp macro="" textlink="">
      <xdr:nvSpPr>
        <xdr:cNvPr id="587" name="TextBox 586"/>
        <xdr:cNvSpPr txBox="1"/>
      </xdr:nvSpPr>
      <xdr:spPr>
        <a:xfrm>
          <a:off x="24102060" y="22974300"/>
          <a:ext cx="3584434"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746584"/>
    <xdr:sp macro="" textlink="">
      <xdr:nvSpPr>
        <xdr:cNvPr id="588" name="TextBox 587"/>
        <xdr:cNvSpPr txBox="1"/>
      </xdr:nvSpPr>
      <xdr:spPr>
        <a:xfrm>
          <a:off x="24102060" y="18402300"/>
          <a:ext cx="3586021"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021" cy="1661918"/>
    <xdr:sp macro="" textlink="">
      <xdr:nvSpPr>
        <xdr:cNvPr id="589" name="TextBox 588"/>
        <xdr:cNvSpPr txBox="1"/>
      </xdr:nvSpPr>
      <xdr:spPr>
        <a:xfrm>
          <a:off x="24102060" y="22974300"/>
          <a:ext cx="3586021"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600147" cy="1661918"/>
    <xdr:sp macro="" textlink="">
      <xdr:nvSpPr>
        <xdr:cNvPr id="590" name="TextBox 589"/>
        <xdr:cNvSpPr txBox="1"/>
      </xdr:nvSpPr>
      <xdr:spPr>
        <a:xfrm>
          <a:off x="24102060" y="22974300"/>
          <a:ext cx="3600147"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3592" cy="1661918"/>
    <xdr:sp macro="" textlink="">
      <xdr:nvSpPr>
        <xdr:cNvPr id="591" name="TextBox 590"/>
        <xdr:cNvSpPr txBox="1"/>
      </xdr:nvSpPr>
      <xdr:spPr>
        <a:xfrm>
          <a:off x="24102060" y="22974300"/>
          <a:ext cx="3583592"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746584"/>
    <xdr:sp macro="" textlink="">
      <xdr:nvSpPr>
        <xdr:cNvPr id="592" name="TextBox 591"/>
        <xdr:cNvSpPr txBox="1"/>
      </xdr:nvSpPr>
      <xdr:spPr>
        <a:xfrm>
          <a:off x="24102060" y="18402300"/>
          <a:ext cx="3586106" cy="1746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86106" cy="1661918"/>
    <xdr:sp macro="" textlink="">
      <xdr:nvSpPr>
        <xdr:cNvPr id="593" name="TextBox 592"/>
        <xdr:cNvSpPr txBox="1"/>
      </xdr:nvSpPr>
      <xdr:spPr>
        <a:xfrm>
          <a:off x="24102060" y="22974300"/>
          <a:ext cx="3586106" cy="1661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385" cy="1678725"/>
    <xdr:sp macro="" textlink="">
      <xdr:nvSpPr>
        <xdr:cNvPr id="594" name="TextBox 593"/>
        <xdr:cNvSpPr txBox="1"/>
      </xdr:nvSpPr>
      <xdr:spPr>
        <a:xfrm>
          <a:off x="24102060" y="26753820"/>
          <a:ext cx="3590385"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90469" cy="1678725"/>
    <xdr:sp macro="" textlink="">
      <xdr:nvSpPr>
        <xdr:cNvPr id="595" name="TextBox 594"/>
        <xdr:cNvSpPr txBox="1"/>
      </xdr:nvSpPr>
      <xdr:spPr>
        <a:xfrm>
          <a:off x="24102060" y="26753820"/>
          <a:ext cx="3590469" cy="1678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679418"/>
    <xdr:sp macro="" textlink="">
      <xdr:nvSpPr>
        <xdr:cNvPr id="596" name="TextBox 595"/>
        <xdr:cNvSpPr txBox="1"/>
      </xdr:nvSpPr>
      <xdr:spPr>
        <a:xfrm>
          <a:off x="18097500" y="22974300"/>
          <a:ext cx="3560766"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747852"/>
    <xdr:sp macro="" textlink="">
      <xdr:nvSpPr>
        <xdr:cNvPr id="597" name="TextBox 596"/>
        <xdr:cNvSpPr txBox="1"/>
      </xdr:nvSpPr>
      <xdr:spPr>
        <a:xfrm>
          <a:off x="18097500" y="18402300"/>
          <a:ext cx="3560766"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60766" cy="1682488"/>
    <xdr:sp macro="" textlink="">
      <xdr:nvSpPr>
        <xdr:cNvPr id="598" name="TextBox 597"/>
        <xdr:cNvSpPr txBox="1"/>
      </xdr:nvSpPr>
      <xdr:spPr>
        <a:xfrm>
          <a:off x="18097500" y="22974300"/>
          <a:ext cx="356076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755464"/>
    <xdr:sp macro="" textlink="">
      <xdr:nvSpPr>
        <xdr:cNvPr id="599" name="TextBox 598"/>
        <xdr:cNvSpPr txBox="1"/>
      </xdr:nvSpPr>
      <xdr:spPr>
        <a:xfrm>
          <a:off x="37631370" y="18402300"/>
          <a:ext cx="3555927"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682488"/>
    <xdr:sp macro="" textlink="">
      <xdr:nvSpPr>
        <xdr:cNvPr id="600" name="TextBox 599"/>
        <xdr:cNvSpPr txBox="1"/>
      </xdr:nvSpPr>
      <xdr:spPr>
        <a:xfrm>
          <a:off x="37631370" y="22974300"/>
          <a:ext cx="3555927"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601" name="TextBox 600"/>
        <xdr:cNvSpPr txBox="1"/>
      </xdr:nvSpPr>
      <xdr:spPr>
        <a:xfrm>
          <a:off x="38477190" y="2297430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603" name="TextBox 602"/>
        <xdr:cNvSpPr txBox="1"/>
      </xdr:nvSpPr>
      <xdr:spPr>
        <a:xfrm>
          <a:off x="30022800" y="2297430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846" cy="1682488"/>
    <xdr:sp macro="" textlink="">
      <xdr:nvSpPr>
        <xdr:cNvPr id="604" name="TextBox 603"/>
        <xdr:cNvSpPr txBox="1"/>
      </xdr:nvSpPr>
      <xdr:spPr>
        <a:xfrm>
          <a:off x="22669500" y="22974300"/>
          <a:ext cx="3555846"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23718" cy="1682488"/>
    <xdr:sp macro="" textlink="">
      <xdr:nvSpPr>
        <xdr:cNvPr id="605" name="TextBox 604"/>
        <xdr:cNvSpPr txBox="1"/>
      </xdr:nvSpPr>
      <xdr:spPr>
        <a:xfrm>
          <a:off x="31714440" y="22974300"/>
          <a:ext cx="3523718"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55464"/>
    <xdr:sp macro="" textlink="">
      <xdr:nvSpPr>
        <xdr:cNvPr id="606" name="TextBox 605"/>
        <xdr:cNvSpPr txBox="1"/>
      </xdr:nvSpPr>
      <xdr:spPr>
        <a:xfrm>
          <a:off x="15045690" y="18402300"/>
          <a:ext cx="3556010"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682488"/>
    <xdr:sp macro="" textlink="">
      <xdr:nvSpPr>
        <xdr:cNvPr id="607" name="TextBox 606"/>
        <xdr:cNvSpPr txBox="1"/>
      </xdr:nvSpPr>
      <xdr:spPr>
        <a:xfrm>
          <a:off x="15045690" y="22974300"/>
          <a:ext cx="3556010" cy="1682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5927" cy="1741250"/>
    <xdr:sp macro="" textlink="">
      <xdr:nvSpPr>
        <xdr:cNvPr id="608" name="TextBox 607"/>
        <xdr:cNvSpPr txBox="1"/>
      </xdr:nvSpPr>
      <xdr:spPr>
        <a:xfrm>
          <a:off x="12912090" y="26753820"/>
          <a:ext cx="3555927"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56010" cy="1741250"/>
    <xdr:sp macro="" textlink="">
      <xdr:nvSpPr>
        <xdr:cNvPr id="609" name="TextBox 608"/>
        <xdr:cNvSpPr txBox="1"/>
      </xdr:nvSpPr>
      <xdr:spPr>
        <a:xfrm>
          <a:off x="35939730" y="26753820"/>
          <a:ext cx="3556010"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679418"/>
    <xdr:sp macro="" textlink="">
      <xdr:nvSpPr>
        <xdr:cNvPr id="610" name="TextBox 609"/>
        <xdr:cNvSpPr txBox="1"/>
      </xdr:nvSpPr>
      <xdr:spPr>
        <a:xfrm>
          <a:off x="7124700" y="22974300"/>
          <a:ext cx="3537719" cy="16794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747852"/>
    <xdr:sp macro="" textlink="">
      <xdr:nvSpPr>
        <xdr:cNvPr id="611" name="TextBox 610"/>
        <xdr:cNvSpPr txBox="1"/>
      </xdr:nvSpPr>
      <xdr:spPr>
        <a:xfrm>
          <a:off x="7124700" y="18402300"/>
          <a:ext cx="3537719" cy="1747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7719" cy="1672229"/>
    <xdr:sp macro="" textlink="">
      <xdr:nvSpPr>
        <xdr:cNvPr id="612" name="TextBox 611"/>
        <xdr:cNvSpPr txBox="1"/>
      </xdr:nvSpPr>
      <xdr:spPr>
        <a:xfrm>
          <a:off x="7124700" y="22974300"/>
          <a:ext cx="3537719"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613" name="TextBox 612"/>
        <xdr:cNvSpPr txBox="1"/>
      </xdr:nvSpPr>
      <xdr:spPr>
        <a:xfrm>
          <a:off x="987171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55464"/>
    <xdr:sp macro="" textlink="">
      <xdr:nvSpPr>
        <xdr:cNvPr id="614" name="TextBox 613"/>
        <xdr:cNvSpPr txBox="1"/>
      </xdr:nvSpPr>
      <xdr:spPr>
        <a:xfrm>
          <a:off x="18406110" y="18402300"/>
          <a:ext cx="3544382"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672229"/>
    <xdr:sp macro="" textlink="">
      <xdr:nvSpPr>
        <xdr:cNvPr id="615" name="TextBox 614"/>
        <xdr:cNvSpPr txBox="1"/>
      </xdr:nvSpPr>
      <xdr:spPr>
        <a:xfrm>
          <a:off x="18406110" y="22974300"/>
          <a:ext cx="3544382"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616" name="TextBox 615"/>
        <xdr:cNvSpPr txBox="1"/>
      </xdr:nvSpPr>
      <xdr:spPr>
        <a:xfrm>
          <a:off x="1749171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55464"/>
    <xdr:sp macro="" textlink="">
      <xdr:nvSpPr>
        <xdr:cNvPr id="617" name="TextBox 616"/>
        <xdr:cNvSpPr txBox="1"/>
      </xdr:nvSpPr>
      <xdr:spPr>
        <a:xfrm>
          <a:off x="32000190" y="18402300"/>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618" name="TextBox 617"/>
        <xdr:cNvSpPr txBox="1"/>
      </xdr:nvSpPr>
      <xdr:spPr>
        <a:xfrm>
          <a:off x="3200019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32831" cy="1672229"/>
    <xdr:sp macro="" textlink="">
      <xdr:nvSpPr>
        <xdr:cNvPr id="619" name="TextBox 618"/>
        <xdr:cNvSpPr txBox="1"/>
      </xdr:nvSpPr>
      <xdr:spPr>
        <a:xfrm>
          <a:off x="24947880" y="22974300"/>
          <a:ext cx="3532831"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55464"/>
    <xdr:sp macro="" textlink="">
      <xdr:nvSpPr>
        <xdr:cNvPr id="620" name="TextBox 619"/>
        <xdr:cNvSpPr txBox="1"/>
      </xdr:nvSpPr>
      <xdr:spPr>
        <a:xfrm>
          <a:off x="21454110" y="18402300"/>
          <a:ext cx="3544465" cy="1755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672229"/>
    <xdr:sp macro="" textlink="">
      <xdr:nvSpPr>
        <xdr:cNvPr id="621" name="TextBox 620"/>
        <xdr:cNvSpPr txBox="1"/>
      </xdr:nvSpPr>
      <xdr:spPr>
        <a:xfrm>
          <a:off x="21454110" y="22974300"/>
          <a:ext cx="3544465" cy="167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200</xdr:row>
      <xdr:rowOff>0</xdr:rowOff>
    </xdr:from>
    <xdr:ext cx="3544382" cy="1741250"/>
    <xdr:sp macro="" textlink="">
      <xdr:nvSpPr>
        <xdr:cNvPr id="622" name="TextBox 621"/>
        <xdr:cNvSpPr txBox="1"/>
      </xdr:nvSpPr>
      <xdr:spPr>
        <a:xfrm>
          <a:off x="17796510" y="2923032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200</xdr:row>
      <xdr:rowOff>0</xdr:rowOff>
    </xdr:from>
    <xdr:ext cx="3544465" cy="1741250"/>
    <xdr:sp macro="" textlink="">
      <xdr:nvSpPr>
        <xdr:cNvPr id="623" name="TextBox 622"/>
        <xdr:cNvSpPr txBox="1"/>
      </xdr:nvSpPr>
      <xdr:spPr>
        <a:xfrm>
          <a:off x="30872430" y="2923032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200</xdr:row>
      <xdr:rowOff>0</xdr:rowOff>
    </xdr:from>
    <xdr:ext cx="3544465" cy="1741250"/>
    <xdr:sp macro="" textlink="">
      <xdr:nvSpPr>
        <xdr:cNvPr id="624" name="TextBox 623"/>
        <xdr:cNvSpPr txBox="1"/>
      </xdr:nvSpPr>
      <xdr:spPr>
        <a:xfrm>
          <a:off x="20844510" y="2923032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382" cy="1741250"/>
    <xdr:sp macro="" textlink="">
      <xdr:nvSpPr>
        <xdr:cNvPr id="625" name="TextBox 624"/>
        <xdr:cNvSpPr txBox="1"/>
      </xdr:nvSpPr>
      <xdr:spPr>
        <a:xfrm>
          <a:off x="17796510" y="26753820"/>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4</xdr:col>
      <xdr:colOff>0</xdr:colOff>
      <xdr:row>305</xdr:row>
      <xdr:rowOff>0</xdr:rowOff>
    </xdr:from>
    <xdr:ext cx="3544465" cy="1741250"/>
    <xdr:sp macro="" textlink="">
      <xdr:nvSpPr>
        <xdr:cNvPr id="626" name="TextBox 625"/>
        <xdr:cNvSpPr txBox="1"/>
      </xdr:nvSpPr>
      <xdr:spPr>
        <a:xfrm>
          <a:off x="30872430" y="26753820"/>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0</xdr:col>
      <xdr:colOff>0</xdr:colOff>
      <xdr:row>200</xdr:row>
      <xdr:rowOff>0</xdr:rowOff>
    </xdr:from>
    <xdr:ext cx="3544382" cy="1741250"/>
    <xdr:sp macro="" textlink="">
      <xdr:nvSpPr>
        <xdr:cNvPr id="628" name="TextBox 627"/>
        <xdr:cNvSpPr txBox="1"/>
      </xdr:nvSpPr>
      <xdr:spPr>
        <a:xfrm>
          <a:off x="9629775" y="52301775"/>
          <a:ext cx="3544382"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0</xdr:col>
      <xdr:colOff>0</xdr:colOff>
      <xdr:row>200</xdr:row>
      <xdr:rowOff>0</xdr:rowOff>
    </xdr:from>
    <xdr:ext cx="3544465" cy="1741250"/>
    <xdr:sp macro="" textlink="">
      <xdr:nvSpPr>
        <xdr:cNvPr id="629" name="TextBox 628"/>
        <xdr:cNvSpPr txBox="1"/>
      </xdr:nvSpPr>
      <xdr:spPr>
        <a:xfrm>
          <a:off x="9629775" y="5230177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oneCellAnchor>
    <xdr:from>
      <xdr:col>0</xdr:col>
      <xdr:colOff>0</xdr:colOff>
      <xdr:row>200</xdr:row>
      <xdr:rowOff>0</xdr:rowOff>
    </xdr:from>
    <xdr:ext cx="3544465" cy="1741250"/>
    <xdr:sp macro="" textlink="">
      <xdr:nvSpPr>
        <xdr:cNvPr id="630" name="TextBox 629"/>
        <xdr:cNvSpPr txBox="1"/>
      </xdr:nvSpPr>
      <xdr:spPr>
        <a:xfrm>
          <a:off x="9629775" y="52301775"/>
          <a:ext cx="3544465" cy="1741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arol/Desktop/Paul_work/Alaska/Documents%20and%20Settings/Paul/Application%20Data/Microsoft/Excel/ORWAPv1.5_Explanation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aul/documents/AtlanticMaritimes/Calculator/CalculatorsOldVersions/WESPAKse_Nontidal_v1.5_4Oct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arol/Desktop/Paul_work/Alaska/Documents%20and%20Settings/Paul/Application%20Data/Microsoft/Excel/ORWAP_08/Macro2/ORWAP_Macro/ORWAP_Macro/ORWAP%20RK%20batch.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ESP-AC_Nontidal_batch_2May2016.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FinalScores"/>
      <sheetName val="CoverPg"/>
      <sheetName val="Sketch"/>
      <sheetName val="OF"/>
      <sheetName val="FieldF"/>
      <sheetName val="FieldS"/>
      <sheetName val="Matrix"/>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HGM"/>
      <sheetName val="Plants"/>
      <sheetName val="Verts"/>
      <sheetName val="InvertsNonNativ"/>
      <sheetName val="InvertsRare"/>
      <sheetName val="IBAs"/>
      <sheetName val="WQprob"/>
      <sheetName val="NWIstats"/>
      <sheetName val="HydricTab"/>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D2">
            <v>0</v>
          </cell>
        </row>
        <row r="3">
          <cell r="G3">
            <v>0</v>
          </cell>
        </row>
        <row r="5">
          <cell r="D5">
            <v>0</v>
          </cell>
        </row>
        <row r="6">
          <cell r="D6">
            <v>1</v>
          </cell>
        </row>
        <row r="8">
          <cell r="G8" t="str">
            <v/>
          </cell>
        </row>
        <row r="9">
          <cell r="D9">
            <v>0</v>
          </cell>
        </row>
        <row r="10">
          <cell r="D10">
            <v>0</v>
          </cell>
        </row>
        <row r="15">
          <cell r="G15">
            <v>0</v>
          </cell>
        </row>
        <row r="22">
          <cell r="G22">
            <v>0.3</v>
          </cell>
        </row>
        <row r="29">
          <cell r="G29">
            <v>1</v>
          </cell>
        </row>
        <row r="36">
          <cell r="G36">
            <v>0.25</v>
          </cell>
        </row>
        <row r="42">
          <cell r="G42">
            <v>0.6</v>
          </cell>
        </row>
        <row r="48">
          <cell r="G48">
            <v>0</v>
          </cell>
        </row>
        <row r="52">
          <cell r="D52">
            <v>0</v>
          </cell>
        </row>
        <row r="53">
          <cell r="G53">
            <v>1</v>
          </cell>
        </row>
        <row r="56">
          <cell r="G56" t="str">
            <v/>
          </cell>
        </row>
        <row r="62">
          <cell r="G62">
            <v>1</v>
          </cell>
        </row>
        <row r="63">
          <cell r="G63">
            <v>0.5</v>
          </cell>
        </row>
        <row r="67">
          <cell r="G67">
            <v>1</v>
          </cell>
        </row>
        <row r="72">
          <cell r="G72">
            <v>1</v>
          </cell>
        </row>
        <row r="75">
          <cell r="G75">
            <v>0</v>
          </cell>
        </row>
        <row r="79">
          <cell r="G79">
            <v>1</v>
          </cell>
        </row>
        <row r="84">
          <cell r="G84">
            <v>1</v>
          </cell>
        </row>
        <row r="88">
          <cell r="G88">
            <v>0</v>
          </cell>
        </row>
        <row r="92">
          <cell r="G92">
            <v>1</v>
          </cell>
        </row>
        <row r="96">
          <cell r="G96">
            <v>0</v>
          </cell>
        </row>
        <row r="102">
          <cell r="G102">
            <v>0</v>
          </cell>
        </row>
        <row r="106">
          <cell r="G106">
            <v>1</v>
          </cell>
        </row>
        <row r="111">
          <cell r="G111">
            <v>0.5357142857142857</v>
          </cell>
        </row>
        <row r="112">
          <cell r="G112">
            <v>0.53749999999999998</v>
          </cell>
        </row>
        <row r="113">
          <cell r="G113" t="b">
            <v>1</v>
          </cell>
        </row>
      </sheetData>
      <sheetData sheetId="8">
        <row r="2">
          <cell r="D2">
            <v>0</v>
          </cell>
        </row>
        <row r="3">
          <cell r="G3" t="str">
            <v/>
          </cell>
        </row>
        <row r="9">
          <cell r="D9">
            <v>0</v>
          </cell>
        </row>
        <row r="10">
          <cell r="G10">
            <v>0</v>
          </cell>
        </row>
        <row r="17">
          <cell r="G17">
            <v>1</v>
          </cell>
        </row>
        <row r="24">
          <cell r="G24" t="str">
            <v/>
          </cell>
        </row>
        <row r="30">
          <cell r="G30">
            <v>0.75</v>
          </cell>
        </row>
        <row r="36">
          <cell r="G36">
            <v>0</v>
          </cell>
        </row>
        <row r="40">
          <cell r="D40">
            <v>0</v>
          </cell>
        </row>
        <row r="41">
          <cell r="G41">
            <v>1</v>
          </cell>
        </row>
        <row r="44">
          <cell r="G44" t="str">
            <v/>
          </cell>
        </row>
        <row r="50">
          <cell r="G50" t="str">
            <v/>
          </cell>
        </row>
        <row r="56">
          <cell r="G56">
            <v>1</v>
          </cell>
        </row>
        <row r="61">
          <cell r="G61">
            <v>0.5</v>
          </cell>
        </row>
        <row r="65">
          <cell r="G65">
            <v>1</v>
          </cell>
        </row>
        <row r="70">
          <cell r="G70">
            <v>1</v>
          </cell>
        </row>
        <row r="75">
          <cell r="G75">
            <v>0</v>
          </cell>
        </row>
        <row r="81">
          <cell r="G81">
            <v>1</v>
          </cell>
        </row>
        <row r="85">
          <cell r="G85">
            <v>1</v>
          </cell>
        </row>
        <row r="90">
          <cell r="G90">
            <v>0</v>
          </cell>
        </row>
        <row r="94">
          <cell r="G94">
            <v>0</v>
          </cell>
        </row>
        <row r="98">
          <cell r="G98">
            <v>1</v>
          </cell>
        </row>
        <row r="102">
          <cell r="G102">
            <v>0</v>
          </cell>
        </row>
        <row r="109">
          <cell r="D109">
            <v>0</v>
          </cell>
        </row>
        <row r="112">
          <cell r="G112" t="str">
            <v/>
          </cell>
        </row>
        <row r="116">
          <cell r="G116">
            <v>0</v>
          </cell>
        </row>
        <row r="117">
          <cell r="G117" t="str">
            <v/>
          </cell>
        </row>
        <row r="123">
          <cell r="G123">
            <v>0.83333333333333337</v>
          </cell>
        </row>
        <row r="130">
          <cell r="G130">
            <v>0.75</v>
          </cell>
        </row>
        <row r="139">
          <cell r="G139" t="str">
            <v/>
          </cell>
        </row>
        <row r="146">
          <cell r="G146">
            <v>0</v>
          </cell>
        </row>
        <row r="150">
          <cell r="G150">
            <v>0</v>
          </cell>
        </row>
        <row r="154">
          <cell r="G154">
            <v>0.5</v>
          </cell>
        </row>
        <row r="160">
          <cell r="G160">
            <v>1</v>
          </cell>
        </row>
      </sheetData>
      <sheetData sheetId="9">
        <row r="2">
          <cell r="D2">
            <v>0</v>
          </cell>
        </row>
        <row r="3">
          <cell r="G3">
            <v>0</v>
          </cell>
        </row>
        <row r="4">
          <cell r="G4" t="str">
            <v/>
          </cell>
        </row>
        <row r="10">
          <cell r="G10" t="str">
            <v/>
          </cell>
        </row>
        <row r="14">
          <cell r="G14">
            <v>1</v>
          </cell>
        </row>
        <row r="19">
          <cell r="D19">
            <v>0</v>
          </cell>
        </row>
        <row r="20">
          <cell r="G20">
            <v>0</v>
          </cell>
        </row>
        <row r="27">
          <cell r="G27">
            <v>0.75</v>
          </cell>
        </row>
        <row r="34">
          <cell r="G34">
            <v>1</v>
          </cell>
        </row>
        <row r="41">
          <cell r="G41">
            <v>0.2</v>
          </cell>
        </row>
        <row r="47">
          <cell r="G47">
            <v>0.66666666666666663</v>
          </cell>
        </row>
        <row r="53">
          <cell r="G53">
            <v>0</v>
          </cell>
        </row>
        <row r="57">
          <cell r="D57">
            <v>0</v>
          </cell>
        </row>
        <row r="58">
          <cell r="G58">
            <v>1</v>
          </cell>
        </row>
        <row r="61">
          <cell r="G61" t="str">
            <v/>
          </cell>
        </row>
        <row r="67">
          <cell r="G67" t="str">
            <v/>
          </cell>
        </row>
        <row r="73">
          <cell r="G73">
            <v>1</v>
          </cell>
        </row>
        <row r="74">
          <cell r="G74">
            <v>1</v>
          </cell>
        </row>
        <row r="75">
          <cell r="G75">
            <v>1</v>
          </cell>
        </row>
        <row r="81">
          <cell r="G81">
            <v>1</v>
          </cell>
        </row>
        <row r="86">
          <cell r="G86">
            <v>0</v>
          </cell>
        </row>
        <row r="91">
          <cell r="G91">
            <v>0.5</v>
          </cell>
        </row>
        <row r="95">
          <cell r="G95">
            <v>1</v>
          </cell>
        </row>
        <row r="105">
          <cell r="G105">
            <v>1</v>
          </cell>
        </row>
        <row r="107">
          <cell r="G107">
            <v>1</v>
          </cell>
        </row>
        <row r="111">
          <cell r="G111">
            <v>1</v>
          </cell>
        </row>
        <row r="116">
          <cell r="G116">
            <v>1</v>
          </cell>
        </row>
        <row r="120">
          <cell r="G120">
            <v>0</v>
          </cell>
        </row>
        <row r="124">
          <cell r="G124">
            <v>1</v>
          </cell>
        </row>
        <row r="128">
          <cell r="G128">
            <v>0</v>
          </cell>
        </row>
        <row r="134">
          <cell r="D134">
            <v>0</v>
          </cell>
        </row>
        <row r="137">
          <cell r="G137" t="str">
            <v/>
          </cell>
        </row>
        <row r="141">
          <cell r="G141">
            <v>0.33333333333333331</v>
          </cell>
        </row>
        <row r="146">
          <cell r="G146">
            <v>0</v>
          </cell>
        </row>
        <row r="147">
          <cell r="G147" t="str">
            <v/>
          </cell>
        </row>
        <row r="150">
          <cell r="G150">
            <v>0.5</v>
          </cell>
        </row>
        <row r="156">
          <cell r="G156">
            <v>1</v>
          </cell>
        </row>
        <row r="160">
          <cell r="G160">
            <v>0.33333333333333331</v>
          </cell>
        </row>
        <row r="161">
          <cell r="G161">
            <v>0.65416666666666656</v>
          </cell>
        </row>
        <row r="162">
          <cell r="G162">
            <v>0.6</v>
          </cell>
        </row>
        <row r="163">
          <cell r="G163">
            <v>0.9</v>
          </cell>
        </row>
        <row r="164">
          <cell r="G164">
            <v>0.625</v>
          </cell>
        </row>
        <row r="165">
          <cell r="G165">
            <v>0.33333333333333331</v>
          </cell>
        </row>
      </sheetData>
      <sheetData sheetId="10">
        <row r="2">
          <cell r="D2">
            <v>0</v>
          </cell>
        </row>
        <row r="3">
          <cell r="D3">
            <v>0</v>
          </cell>
        </row>
        <row r="4">
          <cell r="G4">
            <v>1</v>
          </cell>
        </row>
        <row r="9">
          <cell r="D9">
            <v>0</v>
          </cell>
        </row>
        <row r="10">
          <cell r="G10">
            <v>0</v>
          </cell>
        </row>
        <row r="17">
          <cell r="G17">
            <v>0.5</v>
          </cell>
        </row>
        <row r="24">
          <cell r="G24">
            <v>1</v>
          </cell>
        </row>
        <row r="31">
          <cell r="G31">
            <v>0.25</v>
          </cell>
        </row>
        <row r="37">
          <cell r="G37">
            <v>0.8</v>
          </cell>
        </row>
        <row r="43">
          <cell r="G43">
            <v>0.45</v>
          </cell>
        </row>
        <row r="44">
          <cell r="G44">
            <v>0</v>
          </cell>
        </row>
        <row r="49">
          <cell r="G49">
            <v>0</v>
          </cell>
        </row>
        <row r="53">
          <cell r="D53">
            <v>0</v>
          </cell>
        </row>
        <row r="54">
          <cell r="G54">
            <v>1</v>
          </cell>
        </row>
        <row r="57">
          <cell r="G57" t="str">
            <v/>
          </cell>
        </row>
        <row r="63">
          <cell r="G63" t="str">
            <v/>
          </cell>
        </row>
        <row r="69">
          <cell r="G69">
            <v>1</v>
          </cell>
        </row>
        <row r="75">
          <cell r="G75">
            <v>1</v>
          </cell>
        </row>
        <row r="80">
          <cell r="G80">
            <v>0</v>
          </cell>
        </row>
        <row r="84">
          <cell r="G84">
            <v>0</v>
          </cell>
        </row>
        <row r="87">
          <cell r="G87">
            <v>0.25</v>
          </cell>
        </row>
        <row r="92">
          <cell r="G92">
            <v>0.66666666666666663</v>
          </cell>
        </row>
        <row r="96">
          <cell r="G96">
            <v>1</v>
          </cell>
        </row>
        <row r="101">
          <cell r="G101">
            <v>1</v>
          </cell>
        </row>
        <row r="102">
          <cell r="G102">
            <v>0</v>
          </cell>
        </row>
        <row r="103">
          <cell r="G103">
            <v>1</v>
          </cell>
        </row>
        <row r="104">
          <cell r="G104">
            <v>1</v>
          </cell>
        </row>
        <row r="107">
          <cell r="G107">
            <v>0</v>
          </cell>
        </row>
        <row r="111">
          <cell r="G111">
            <v>1</v>
          </cell>
        </row>
        <row r="116">
          <cell r="G116">
            <v>0</v>
          </cell>
        </row>
        <row r="120">
          <cell r="G120">
            <v>0</v>
          </cell>
        </row>
        <row r="124">
          <cell r="G124">
            <v>1</v>
          </cell>
        </row>
        <row r="129">
          <cell r="D129">
            <v>0</v>
          </cell>
        </row>
        <row r="132">
          <cell r="G132" t="str">
            <v/>
          </cell>
        </row>
        <row r="136">
          <cell r="G136">
            <v>0.5</v>
          </cell>
        </row>
        <row r="139">
          <cell r="G139">
            <v>0</v>
          </cell>
        </row>
        <row r="142">
          <cell r="G142">
            <v>0.66666666666666663</v>
          </cell>
        </row>
        <row r="147">
          <cell r="G147">
            <v>0</v>
          </cell>
        </row>
        <row r="148">
          <cell r="G148" t="str">
            <v/>
          </cell>
        </row>
        <row r="151">
          <cell r="G151">
            <v>0</v>
          </cell>
        </row>
        <row r="155">
          <cell r="G155">
            <v>0.5</v>
          </cell>
        </row>
        <row r="161">
          <cell r="G161">
            <v>1</v>
          </cell>
        </row>
        <row r="165">
          <cell r="G165">
            <v>0.66666666666666663</v>
          </cell>
        </row>
        <row r="166">
          <cell r="G166">
            <v>0.63749999999999996</v>
          </cell>
        </row>
        <row r="167">
          <cell r="G167">
            <v>6.25E-2</v>
          </cell>
        </row>
        <row r="168">
          <cell r="G168">
            <v>0.7055555555555556</v>
          </cell>
        </row>
        <row r="169">
          <cell r="G169">
            <v>0.66666666666666663</v>
          </cell>
        </row>
        <row r="170">
          <cell r="G170">
            <v>0.61759259259259258</v>
          </cell>
        </row>
      </sheetData>
      <sheetData sheetId="11">
        <row r="2">
          <cell r="D2">
            <v>0</v>
          </cell>
        </row>
        <row r="3">
          <cell r="D3">
            <v>0</v>
          </cell>
        </row>
        <row r="4">
          <cell r="D4">
            <v>0</v>
          </cell>
        </row>
        <row r="5">
          <cell r="D5">
            <v>0</v>
          </cell>
        </row>
        <row r="6">
          <cell r="G6">
            <v>0</v>
          </cell>
        </row>
        <row r="13">
          <cell r="G13">
            <v>0.66666666666666663</v>
          </cell>
        </row>
        <row r="19">
          <cell r="G19">
            <v>0</v>
          </cell>
        </row>
        <row r="24">
          <cell r="G24">
            <v>1</v>
          </cell>
        </row>
        <row r="28">
          <cell r="D28">
            <v>0</v>
          </cell>
        </row>
        <row r="29">
          <cell r="G29">
            <v>0</v>
          </cell>
        </row>
        <row r="37">
          <cell r="G37">
            <v>1</v>
          </cell>
        </row>
        <row r="39">
          <cell r="D39">
            <v>0</v>
          </cell>
        </row>
        <row r="42">
          <cell r="G42">
            <v>0</v>
          </cell>
        </row>
        <row r="46">
          <cell r="G46" t="b">
            <v>0</v>
          </cell>
        </row>
        <row r="47">
          <cell r="G47" t="b">
            <v>0</v>
          </cell>
        </row>
      </sheetData>
      <sheetData sheetId="12">
        <row r="3">
          <cell r="D3">
            <v>0</v>
          </cell>
        </row>
        <row r="4">
          <cell r="D4">
            <v>0</v>
          </cell>
        </row>
        <row r="15">
          <cell r="G15">
            <v>1</v>
          </cell>
        </row>
        <row r="21">
          <cell r="G21">
            <v>1</v>
          </cell>
        </row>
        <row r="28">
          <cell r="G28" t="str">
            <v/>
          </cell>
        </row>
        <row r="35">
          <cell r="G35">
            <v>0.75</v>
          </cell>
        </row>
        <row r="41">
          <cell r="G41">
            <v>0.25</v>
          </cell>
        </row>
        <row r="47">
          <cell r="G47">
            <v>0.25</v>
          </cell>
        </row>
        <row r="53">
          <cell r="G53">
            <v>0</v>
          </cell>
        </row>
        <row r="58">
          <cell r="G58">
            <v>0</v>
          </cell>
        </row>
        <row r="63">
          <cell r="G63">
            <v>1</v>
          </cell>
        </row>
        <row r="66">
          <cell r="G66" t="str">
            <v/>
          </cell>
        </row>
        <row r="72">
          <cell r="G72" t="str">
            <v/>
          </cell>
        </row>
        <row r="75">
          <cell r="G75" t="str">
            <v/>
          </cell>
        </row>
        <row r="81">
          <cell r="G81">
            <v>1</v>
          </cell>
        </row>
        <row r="82">
          <cell r="G82">
            <v>0</v>
          </cell>
        </row>
        <row r="88">
          <cell r="G88">
            <v>0.18181818181818182</v>
          </cell>
        </row>
        <row r="101">
          <cell r="G101">
            <v>1</v>
          </cell>
        </row>
        <row r="107">
          <cell r="G107">
            <v>1</v>
          </cell>
        </row>
        <row r="112">
          <cell r="G112">
            <v>0</v>
          </cell>
        </row>
        <row r="117">
          <cell r="G117">
            <v>0.5</v>
          </cell>
        </row>
        <row r="121">
          <cell r="G121">
            <v>1</v>
          </cell>
        </row>
        <row r="126">
          <cell r="G126">
            <v>1</v>
          </cell>
        </row>
        <row r="131">
          <cell r="G131">
            <v>0</v>
          </cell>
        </row>
        <row r="135">
          <cell r="G135">
            <v>1</v>
          </cell>
        </row>
        <row r="136">
          <cell r="G136">
            <v>1</v>
          </cell>
        </row>
        <row r="137">
          <cell r="G137">
            <v>0.31168831168831168</v>
          </cell>
        </row>
        <row r="138">
          <cell r="G138">
            <v>1</v>
          </cell>
        </row>
        <row r="139">
          <cell r="G139">
            <v>0.5</v>
          </cell>
        </row>
        <row r="140">
          <cell r="G140">
            <v>0.45</v>
          </cell>
        </row>
      </sheetData>
      <sheetData sheetId="13">
        <row r="2">
          <cell r="D2">
            <v>0</v>
          </cell>
        </row>
        <row r="4">
          <cell r="G4" t="str">
            <v/>
          </cell>
        </row>
        <row r="10">
          <cell r="G10" t="str">
            <v/>
          </cell>
        </row>
        <row r="16">
          <cell r="G16">
            <v>0</v>
          </cell>
        </row>
        <row r="21">
          <cell r="D21">
            <v>0</v>
          </cell>
        </row>
        <row r="22">
          <cell r="G22">
            <v>1</v>
          </cell>
        </row>
        <row r="29">
          <cell r="G29">
            <v>0</v>
          </cell>
        </row>
        <row r="36">
          <cell r="G36">
            <v>0.25</v>
          </cell>
        </row>
        <row r="42">
          <cell r="G42">
            <v>1</v>
          </cell>
        </row>
        <row r="48">
          <cell r="G48">
            <v>0.2</v>
          </cell>
        </row>
        <row r="54">
          <cell r="G54">
            <v>0.45</v>
          </cell>
        </row>
        <row r="55">
          <cell r="G55">
            <v>1</v>
          </cell>
        </row>
        <row r="59">
          <cell r="D59">
            <v>0</v>
          </cell>
        </row>
        <row r="60">
          <cell r="G60">
            <v>0</v>
          </cell>
        </row>
        <row r="63">
          <cell r="G63" t="str">
            <v/>
          </cell>
        </row>
        <row r="69">
          <cell r="G69" t="str">
            <v/>
          </cell>
        </row>
        <row r="72">
          <cell r="G72" t="str">
            <v/>
          </cell>
        </row>
        <row r="78">
          <cell r="G78">
            <v>1</v>
          </cell>
        </row>
        <row r="79">
          <cell r="G79">
            <v>0</v>
          </cell>
        </row>
        <row r="85">
          <cell r="G85">
            <v>1</v>
          </cell>
        </row>
        <row r="91">
          <cell r="G91">
            <v>1</v>
          </cell>
        </row>
        <row r="101">
          <cell r="G101">
            <v>0.5</v>
          </cell>
        </row>
        <row r="105">
          <cell r="G105">
            <v>1</v>
          </cell>
        </row>
        <row r="110">
          <cell r="G110">
            <v>1</v>
          </cell>
        </row>
        <row r="115">
          <cell r="G115">
            <v>1</v>
          </cell>
        </row>
        <row r="116">
          <cell r="G116">
            <v>1</v>
          </cell>
        </row>
        <row r="117">
          <cell r="G117">
            <v>1</v>
          </cell>
        </row>
        <row r="118">
          <cell r="G118">
            <v>0.48333333333333334</v>
          </cell>
        </row>
        <row r="119">
          <cell r="G119">
            <v>0.75</v>
          </cell>
        </row>
        <row r="120">
          <cell r="G120">
            <v>0.45714285714285718</v>
          </cell>
        </row>
        <row r="121">
          <cell r="G121">
            <v>0.7</v>
          </cell>
        </row>
      </sheetData>
      <sheetData sheetId="14">
        <row r="2">
          <cell r="D2">
            <v>0</v>
          </cell>
        </row>
        <row r="3">
          <cell r="D3">
            <v>0</v>
          </cell>
        </row>
        <row r="4">
          <cell r="G4" t="str">
            <v/>
          </cell>
        </row>
        <row r="10">
          <cell r="G10">
            <v>0</v>
          </cell>
        </row>
        <row r="15">
          <cell r="D15">
            <v>0</v>
          </cell>
        </row>
        <row r="16">
          <cell r="G16">
            <v>0</v>
          </cell>
        </row>
        <row r="23">
          <cell r="G23">
            <v>0.5</v>
          </cell>
        </row>
        <row r="30">
          <cell r="G30">
            <v>0.33333333333333331</v>
          </cell>
        </row>
        <row r="37">
          <cell r="G37" t="str">
            <v/>
          </cell>
        </row>
        <row r="43">
          <cell r="G43">
            <v>1</v>
          </cell>
        </row>
        <row r="47">
          <cell r="G47">
            <v>0.33333333333333331</v>
          </cell>
        </row>
        <row r="53">
          <cell r="G53">
            <v>0.4</v>
          </cell>
        </row>
        <row r="59">
          <cell r="G59">
            <v>0.5</v>
          </cell>
        </row>
        <row r="63">
          <cell r="G63">
            <v>0.45</v>
          </cell>
        </row>
        <row r="64">
          <cell r="G64">
            <v>0</v>
          </cell>
        </row>
        <row r="69">
          <cell r="G69" t="str">
            <v/>
          </cell>
        </row>
        <row r="75">
          <cell r="G75">
            <v>0</v>
          </cell>
        </row>
        <row r="76">
          <cell r="G76">
            <v>0.75</v>
          </cell>
        </row>
        <row r="82">
          <cell r="G82">
            <v>0.5</v>
          </cell>
        </row>
        <row r="88">
          <cell r="G88">
            <v>0.75</v>
          </cell>
        </row>
        <row r="94">
          <cell r="G94">
            <v>0</v>
          </cell>
        </row>
        <row r="100">
          <cell r="G100">
            <v>1</v>
          </cell>
        </row>
        <row r="103">
          <cell r="G103">
            <v>1</v>
          </cell>
        </row>
        <row r="108">
          <cell r="G108">
            <v>0</v>
          </cell>
        </row>
        <row r="111">
          <cell r="G111">
            <v>0.5</v>
          </cell>
        </row>
        <row r="115">
          <cell r="G115">
            <v>1</v>
          </cell>
        </row>
        <row r="116">
          <cell r="G116">
            <v>1</v>
          </cell>
        </row>
        <row r="122">
          <cell r="G122">
            <v>0.5</v>
          </cell>
        </row>
        <row r="128">
          <cell r="G128">
            <v>0</v>
          </cell>
        </row>
        <row r="136">
          <cell r="G136">
            <v>1</v>
          </cell>
        </row>
        <row r="140">
          <cell r="G140">
            <v>1</v>
          </cell>
        </row>
        <row r="141">
          <cell r="G141">
            <v>1</v>
          </cell>
        </row>
        <row r="144">
          <cell r="G144">
            <v>0</v>
          </cell>
        </row>
        <row r="148">
          <cell r="G148">
            <v>0.4</v>
          </cell>
        </row>
        <row r="155">
          <cell r="G155">
            <v>1</v>
          </cell>
        </row>
        <row r="159">
          <cell r="G159">
            <v>0.70972222222222225</v>
          </cell>
        </row>
        <row r="160">
          <cell r="G160">
            <v>0.82874999999999999</v>
          </cell>
        </row>
        <row r="161">
          <cell r="G161">
            <v>0.56278499278499283</v>
          </cell>
        </row>
        <row r="162">
          <cell r="G162" t="e">
            <v>#REF!</v>
          </cell>
        </row>
        <row r="163">
          <cell r="G163">
            <v>0.54677777777777781</v>
          </cell>
        </row>
        <row r="164">
          <cell r="G164">
            <v>0.37724747474747478</v>
          </cell>
        </row>
        <row r="167">
          <cell r="G167">
            <v>0.44722222222222224</v>
          </cell>
        </row>
        <row r="168">
          <cell r="G168">
            <v>0.75</v>
          </cell>
        </row>
        <row r="169">
          <cell r="G169">
            <v>0.25</v>
          </cell>
        </row>
        <row r="170">
          <cell r="G170">
            <v>0.58333333333333337</v>
          </cell>
        </row>
        <row r="171">
          <cell r="G171">
            <v>0.25</v>
          </cell>
        </row>
        <row r="172">
          <cell r="G172">
            <v>1</v>
          </cell>
        </row>
      </sheetData>
      <sheetData sheetId="15">
        <row r="2">
          <cell r="D2">
            <v>0</v>
          </cell>
        </row>
        <row r="4">
          <cell r="D4">
            <v>0</v>
          </cell>
        </row>
        <row r="5">
          <cell r="D5">
            <v>0</v>
          </cell>
        </row>
        <row r="6">
          <cell r="D6">
            <v>1</v>
          </cell>
        </row>
        <row r="7">
          <cell r="D7">
            <v>1</v>
          </cell>
        </row>
        <row r="8">
          <cell r="G8" t="str">
            <v/>
          </cell>
        </row>
        <row r="20">
          <cell r="D20">
            <v>0</v>
          </cell>
        </row>
        <row r="21">
          <cell r="G21">
            <v>1</v>
          </cell>
        </row>
        <row r="28">
          <cell r="G28" t="str">
            <v/>
          </cell>
        </row>
        <row r="38">
          <cell r="G38">
            <v>1</v>
          </cell>
        </row>
        <row r="44">
          <cell r="G44">
            <v>0.45</v>
          </cell>
        </row>
        <row r="45">
          <cell r="G45">
            <v>0</v>
          </cell>
        </row>
        <row r="50">
          <cell r="G50">
            <v>1</v>
          </cell>
        </row>
        <row r="58">
          <cell r="G58" t="str">
            <v/>
          </cell>
        </row>
        <row r="64">
          <cell r="G64" t="str">
            <v/>
          </cell>
        </row>
        <row r="70">
          <cell r="G70">
            <v>0</v>
          </cell>
        </row>
        <row r="76">
          <cell r="G76">
            <v>1</v>
          </cell>
        </row>
        <row r="79">
          <cell r="G79">
            <v>1</v>
          </cell>
        </row>
        <row r="82">
          <cell r="G82">
            <v>0.5</v>
          </cell>
        </row>
        <row r="91">
          <cell r="G91">
            <v>0</v>
          </cell>
        </row>
        <row r="93">
          <cell r="G93">
            <v>0.5</v>
          </cell>
        </row>
        <row r="99">
          <cell r="G99">
            <v>0</v>
          </cell>
        </row>
        <row r="107">
          <cell r="G107">
            <v>1</v>
          </cell>
        </row>
        <row r="115">
          <cell r="G115">
            <v>0</v>
          </cell>
        </row>
        <row r="119">
          <cell r="G119">
            <v>1</v>
          </cell>
        </row>
        <row r="123">
          <cell r="G123">
            <v>1</v>
          </cell>
        </row>
        <row r="124">
          <cell r="G124" t="e">
            <v>#REF!</v>
          </cell>
        </row>
        <row r="126">
          <cell r="G126" t="b">
            <v>0</v>
          </cell>
        </row>
        <row r="127">
          <cell r="G127">
            <v>0.625</v>
          </cell>
        </row>
        <row r="128">
          <cell r="G128">
            <v>0.5</v>
          </cell>
        </row>
        <row r="129">
          <cell r="G129">
            <v>0.81666666666666676</v>
          </cell>
        </row>
        <row r="130">
          <cell r="G130">
            <v>0</v>
          </cell>
        </row>
      </sheetData>
      <sheetData sheetId="16">
        <row r="2">
          <cell r="D2">
            <v>0</v>
          </cell>
        </row>
        <row r="3">
          <cell r="D3">
            <v>1</v>
          </cell>
        </row>
        <row r="4">
          <cell r="D4">
            <v>0</v>
          </cell>
        </row>
        <row r="22">
          <cell r="D22">
            <v>0</v>
          </cell>
        </row>
        <row r="23">
          <cell r="G23">
            <v>1</v>
          </cell>
        </row>
        <row r="35">
          <cell r="D35">
            <v>0</v>
          </cell>
        </row>
        <row r="37">
          <cell r="G37">
            <v>0</v>
          </cell>
        </row>
        <row r="44">
          <cell r="G44">
            <v>1</v>
          </cell>
        </row>
        <row r="48">
          <cell r="G48">
            <v>0.75</v>
          </cell>
        </row>
        <row r="54">
          <cell r="G54">
            <v>0</v>
          </cell>
        </row>
        <row r="58">
          <cell r="G58">
            <v>0.45</v>
          </cell>
        </row>
        <row r="59">
          <cell r="G59">
            <v>1</v>
          </cell>
        </row>
        <row r="63">
          <cell r="D63">
            <v>0</v>
          </cell>
        </row>
        <row r="64">
          <cell r="G64" t="str">
            <v/>
          </cell>
        </row>
        <row r="67">
          <cell r="G67" t="str">
            <v/>
          </cell>
        </row>
        <row r="73">
          <cell r="G73" t="str">
            <v/>
          </cell>
        </row>
        <row r="82">
          <cell r="G82">
            <v>1</v>
          </cell>
        </row>
        <row r="85">
          <cell r="G85">
            <v>0</v>
          </cell>
        </row>
        <row r="88">
          <cell r="G88">
            <v>1</v>
          </cell>
        </row>
        <row r="89">
          <cell r="G89">
            <v>1</v>
          </cell>
        </row>
        <row r="96">
          <cell r="D96">
            <v>1</v>
          </cell>
        </row>
        <row r="97">
          <cell r="G97">
            <v>0.75</v>
          </cell>
        </row>
        <row r="106">
          <cell r="G106">
            <v>0</v>
          </cell>
        </row>
        <row r="111">
          <cell r="D111">
            <v>1</v>
          </cell>
        </row>
        <row r="112">
          <cell r="D112" t="e">
            <v>#REF!</v>
          </cell>
        </row>
        <row r="114">
          <cell r="G114" t="b">
            <v>0</v>
          </cell>
        </row>
        <row r="115">
          <cell r="G115">
            <v>0.69000000000000006</v>
          </cell>
        </row>
        <row r="116">
          <cell r="G116">
            <v>0.91666666666666663</v>
          </cell>
        </row>
        <row r="117">
          <cell r="G117">
            <v>1</v>
          </cell>
        </row>
        <row r="118">
          <cell r="G118">
            <v>0.625</v>
          </cell>
        </row>
      </sheetData>
      <sheetData sheetId="17">
        <row r="2">
          <cell r="D2">
            <v>0</v>
          </cell>
        </row>
        <row r="3">
          <cell r="D3">
            <v>0</v>
          </cell>
        </row>
        <row r="4">
          <cell r="D4">
            <v>1</v>
          </cell>
        </row>
        <row r="5">
          <cell r="D5">
            <v>0</v>
          </cell>
        </row>
        <row r="6">
          <cell r="G6">
            <v>0</v>
          </cell>
        </row>
        <row r="13">
          <cell r="G13">
            <v>1</v>
          </cell>
        </row>
        <row r="20">
          <cell r="G20">
            <v>1</v>
          </cell>
        </row>
        <row r="27">
          <cell r="G27" t="str">
            <v/>
          </cell>
        </row>
        <row r="33">
          <cell r="G33">
            <v>1</v>
          </cell>
        </row>
        <row r="37">
          <cell r="G37">
            <v>0.25</v>
          </cell>
        </row>
        <row r="43">
          <cell r="G43">
            <v>1</v>
          </cell>
        </row>
        <row r="48">
          <cell r="G48">
            <v>0.5</v>
          </cell>
        </row>
        <row r="49">
          <cell r="G49">
            <v>0</v>
          </cell>
        </row>
        <row r="54">
          <cell r="G54" t="str">
            <v/>
          </cell>
        </row>
        <row r="60">
          <cell r="G60">
            <v>0.25</v>
          </cell>
        </row>
        <row r="70">
          <cell r="G70">
            <v>0</v>
          </cell>
        </row>
        <row r="74">
          <cell r="G74">
            <v>0.5</v>
          </cell>
        </row>
        <row r="80">
          <cell r="G80">
            <v>0.18181818181818182</v>
          </cell>
        </row>
        <row r="93">
          <cell r="G93">
            <v>0.66666666666666663</v>
          </cell>
        </row>
        <row r="98">
          <cell r="B98" t="str">
            <v>Upland Inclusions</v>
          </cell>
        </row>
        <row r="101">
          <cell r="G101">
            <v>0</v>
          </cell>
        </row>
        <row r="104">
          <cell r="G104">
            <v>0.5</v>
          </cell>
        </row>
        <row r="108">
          <cell r="G108">
            <v>1</v>
          </cell>
        </row>
        <row r="113">
          <cell r="G113">
            <v>1</v>
          </cell>
        </row>
        <row r="118">
          <cell r="G118">
            <v>1</v>
          </cell>
        </row>
        <row r="121">
          <cell r="G121">
            <v>0</v>
          </cell>
        </row>
        <row r="125">
          <cell r="G125">
            <v>0</v>
          </cell>
        </row>
        <row r="130">
          <cell r="G130">
            <v>0.33333333333333331</v>
          </cell>
        </row>
        <row r="135">
          <cell r="G135">
            <v>0</v>
          </cell>
        </row>
        <row r="141">
          <cell r="G141">
            <v>0</v>
          </cell>
        </row>
        <row r="146">
          <cell r="G146">
            <v>0.25</v>
          </cell>
        </row>
        <row r="152">
          <cell r="G152">
            <v>0.4</v>
          </cell>
        </row>
        <row r="158">
          <cell r="G158">
            <v>0</v>
          </cell>
        </row>
        <row r="166">
          <cell r="G166">
            <v>0</v>
          </cell>
        </row>
        <row r="167">
          <cell r="G167">
            <v>0.4</v>
          </cell>
        </row>
        <row r="180">
          <cell r="G180">
            <v>0</v>
          </cell>
        </row>
        <row r="188">
          <cell r="G188">
            <v>0</v>
          </cell>
        </row>
        <row r="194">
          <cell r="G194">
            <v>0.5</v>
          </cell>
        </row>
        <row r="200">
          <cell r="G200">
            <v>0.2</v>
          </cell>
        </row>
        <row r="207">
          <cell r="G207">
            <v>1</v>
          </cell>
        </row>
        <row r="214">
          <cell r="G214" t="str">
            <v/>
          </cell>
        </row>
        <row r="220">
          <cell r="G220">
            <v>0</v>
          </cell>
        </row>
        <row r="224">
          <cell r="G224">
            <v>1</v>
          </cell>
        </row>
        <row r="228">
          <cell r="G228">
            <v>0</v>
          </cell>
        </row>
        <row r="232">
          <cell r="G232">
            <v>0</v>
          </cell>
        </row>
        <row r="237">
          <cell r="G237">
            <v>0.66666666666666663</v>
          </cell>
        </row>
        <row r="244">
          <cell r="G244">
            <v>1</v>
          </cell>
        </row>
        <row r="249">
          <cell r="G249" t="b">
            <v>0</v>
          </cell>
        </row>
        <row r="250">
          <cell r="G250">
            <v>0.50198412698412698</v>
          </cell>
        </row>
        <row r="251">
          <cell r="G251">
            <v>0.43308080808080812</v>
          </cell>
        </row>
        <row r="252">
          <cell r="G252">
            <v>0.26666666666666666</v>
          </cell>
        </row>
        <row r="253">
          <cell r="G253">
            <v>0.18</v>
          </cell>
        </row>
        <row r="254">
          <cell r="G254">
            <v>0.6</v>
          </cell>
        </row>
        <row r="255">
          <cell r="G255">
            <v>8.3333333333333329E-2</v>
          </cell>
        </row>
        <row r="256">
          <cell r="G256">
            <v>1</v>
          </cell>
        </row>
      </sheetData>
      <sheetData sheetId="18">
        <row r="2">
          <cell r="D2">
            <v>0</v>
          </cell>
        </row>
        <row r="3">
          <cell r="D3">
            <v>1</v>
          </cell>
        </row>
        <row r="4">
          <cell r="D4">
            <v>0</v>
          </cell>
        </row>
        <row r="6">
          <cell r="G6" t="str">
            <v/>
          </cell>
        </row>
        <row r="12">
          <cell r="G12" t="str">
            <v/>
          </cell>
        </row>
        <row r="18">
          <cell r="G18">
            <v>0</v>
          </cell>
        </row>
        <row r="23">
          <cell r="D23">
            <v>0</v>
          </cell>
        </row>
        <row r="24">
          <cell r="G24">
            <v>0.3</v>
          </cell>
        </row>
        <row r="30">
          <cell r="G30">
            <v>0.75</v>
          </cell>
        </row>
        <row r="37">
          <cell r="G37">
            <v>0</v>
          </cell>
        </row>
        <row r="44">
          <cell r="G44">
            <v>0.16666666666666666</v>
          </cell>
        </row>
        <row r="50">
          <cell r="G50">
            <v>0.5</v>
          </cell>
        </row>
        <row r="54">
          <cell r="G54">
            <v>0.45</v>
          </cell>
        </row>
        <row r="55">
          <cell r="G55" t="str">
            <v/>
          </cell>
        </row>
        <row r="65">
          <cell r="G65">
            <v>1</v>
          </cell>
        </row>
        <row r="71">
          <cell r="D71">
            <v>1</v>
          </cell>
        </row>
        <row r="72">
          <cell r="G72">
            <v>1</v>
          </cell>
        </row>
        <row r="78">
          <cell r="G78">
            <v>0.75</v>
          </cell>
        </row>
        <row r="84">
          <cell r="G84">
            <v>0.3</v>
          </cell>
        </row>
        <row r="90">
          <cell r="G90">
            <v>0</v>
          </cell>
        </row>
        <row r="96">
          <cell r="G96">
            <v>1</v>
          </cell>
        </row>
        <row r="97">
          <cell r="D97">
            <v>0</v>
          </cell>
        </row>
        <row r="101">
          <cell r="G101">
            <v>1</v>
          </cell>
        </row>
        <row r="102">
          <cell r="G102">
            <v>0</v>
          </cell>
        </row>
        <row r="107">
          <cell r="G107">
            <v>0.33333333333333331</v>
          </cell>
        </row>
        <row r="112">
          <cell r="G112">
            <v>0</v>
          </cell>
        </row>
        <row r="118">
          <cell r="G118">
            <v>0</v>
          </cell>
        </row>
        <row r="123">
          <cell r="G123">
            <v>0.2</v>
          </cell>
        </row>
        <row r="130">
          <cell r="G130">
            <v>1</v>
          </cell>
        </row>
        <row r="137">
          <cell r="G137">
            <v>0.5</v>
          </cell>
        </row>
        <row r="141">
          <cell r="G141">
            <v>0</v>
          </cell>
        </row>
        <row r="145">
          <cell r="G145">
            <v>0.9</v>
          </cell>
        </row>
        <row r="152">
          <cell r="G152" t="str">
            <v/>
          </cell>
        </row>
        <row r="159">
          <cell r="D159">
            <v>0</v>
          </cell>
        </row>
        <row r="164">
          <cell r="G164" t="str">
            <v/>
          </cell>
        </row>
        <row r="170">
          <cell r="G170">
            <v>0</v>
          </cell>
        </row>
        <row r="174">
          <cell r="G174">
            <v>0.4</v>
          </cell>
        </row>
        <row r="181">
          <cell r="G181">
            <v>1</v>
          </cell>
        </row>
        <row r="186">
          <cell r="G186">
            <v>0.48333333333333334</v>
          </cell>
        </row>
        <row r="187">
          <cell r="G187">
            <v>0.42499999999999999</v>
          </cell>
        </row>
        <row r="188">
          <cell r="G188">
            <v>0.68333333333333324</v>
          </cell>
        </row>
        <row r="189">
          <cell r="G189">
            <v>0.5</v>
          </cell>
        </row>
        <row r="190">
          <cell r="G190">
            <v>0.3</v>
          </cell>
        </row>
        <row r="191">
          <cell r="G191">
            <v>0.51249999999999996</v>
          </cell>
        </row>
        <row r="192">
          <cell r="G192">
            <v>0.33333333333333331</v>
          </cell>
        </row>
      </sheetData>
      <sheetData sheetId="19">
        <row r="2">
          <cell r="D2">
            <v>0</v>
          </cell>
        </row>
        <row r="3">
          <cell r="D3">
            <v>0</v>
          </cell>
        </row>
        <row r="10">
          <cell r="G10">
            <v>0</v>
          </cell>
        </row>
        <row r="16">
          <cell r="G16">
            <v>0.8</v>
          </cell>
        </row>
        <row r="23">
          <cell r="G23">
            <v>1</v>
          </cell>
        </row>
        <row r="30">
          <cell r="G30">
            <v>0.25</v>
          </cell>
        </row>
        <row r="36">
          <cell r="G36">
            <v>0.33333333333333331</v>
          </cell>
        </row>
        <row r="42">
          <cell r="G42">
            <v>0.5</v>
          </cell>
        </row>
        <row r="49">
          <cell r="G49">
            <v>0.45</v>
          </cell>
        </row>
        <row r="50">
          <cell r="G50" t="str">
            <v/>
          </cell>
        </row>
        <row r="56">
          <cell r="G56" t="str">
            <v/>
          </cell>
        </row>
        <row r="69">
          <cell r="G69">
            <v>0</v>
          </cell>
        </row>
        <row r="73">
          <cell r="D73">
            <v>1</v>
          </cell>
        </row>
        <row r="74">
          <cell r="G74">
            <v>0.75</v>
          </cell>
        </row>
        <row r="93">
          <cell r="G93">
            <v>0.5</v>
          </cell>
        </row>
        <row r="99">
          <cell r="G99">
            <v>0.25</v>
          </cell>
        </row>
        <row r="105">
          <cell r="G105">
            <v>1</v>
          </cell>
        </row>
        <row r="108">
          <cell r="G108">
            <v>1</v>
          </cell>
        </row>
        <row r="109">
          <cell r="D109">
            <v>0</v>
          </cell>
        </row>
        <row r="113">
          <cell r="G113">
            <v>1</v>
          </cell>
        </row>
        <row r="118">
          <cell r="G118">
            <v>0</v>
          </cell>
        </row>
        <row r="123">
          <cell r="G123">
            <v>0.33333333333333331</v>
          </cell>
        </row>
        <row r="128">
          <cell r="G128">
            <v>0.5</v>
          </cell>
        </row>
        <row r="134">
          <cell r="G134">
            <v>0</v>
          </cell>
        </row>
        <row r="142">
          <cell r="G142">
            <v>0.5</v>
          </cell>
        </row>
        <row r="155">
          <cell r="G155">
            <v>1</v>
          </cell>
        </row>
        <row r="162">
          <cell r="G162">
            <v>0.5</v>
          </cell>
        </row>
        <row r="163">
          <cell r="D163">
            <v>0</v>
          </cell>
        </row>
        <row r="166">
          <cell r="G166">
            <v>0.9</v>
          </cell>
        </row>
        <row r="179">
          <cell r="G179">
            <v>0.4</v>
          </cell>
        </row>
        <row r="186">
          <cell r="G186">
            <v>1</v>
          </cell>
        </row>
        <row r="192">
          <cell r="G192" t="str">
            <v/>
          </cell>
        </row>
        <row r="199">
          <cell r="G199">
            <v>0</v>
          </cell>
        </row>
        <row r="204">
          <cell r="G204">
            <v>0.4</v>
          </cell>
        </row>
        <row r="211">
          <cell r="G211">
            <v>1</v>
          </cell>
        </row>
        <row r="216">
          <cell r="G216" t="b">
            <v>0</v>
          </cell>
        </row>
        <row r="217">
          <cell r="G217" t="b">
            <v>0</v>
          </cell>
        </row>
        <row r="218">
          <cell r="G218">
            <v>0.5</v>
          </cell>
        </row>
        <row r="219">
          <cell r="G219">
            <v>0.65</v>
          </cell>
        </row>
        <row r="220">
          <cell r="G220">
            <v>0.39666666666666667</v>
          </cell>
        </row>
        <row r="221">
          <cell r="G221">
            <v>0.5625</v>
          </cell>
        </row>
        <row r="222">
          <cell r="G222">
            <v>0.4375</v>
          </cell>
        </row>
        <row r="223">
          <cell r="G223">
            <v>0.5</v>
          </cell>
        </row>
      </sheetData>
      <sheetData sheetId="20">
        <row r="2">
          <cell r="D2">
            <v>0</v>
          </cell>
        </row>
        <row r="3">
          <cell r="G3" t="str">
            <v/>
          </cell>
        </row>
        <row r="4">
          <cell r="D4">
            <v>0</v>
          </cell>
        </row>
        <row r="16">
          <cell r="D16">
            <v>0</v>
          </cell>
        </row>
        <row r="22">
          <cell r="G22">
            <v>1</v>
          </cell>
        </row>
        <row r="25">
          <cell r="G25">
            <v>0</v>
          </cell>
        </row>
        <row r="31">
          <cell r="G31">
            <v>0</v>
          </cell>
        </row>
        <row r="37">
          <cell r="G37" t="str">
            <v/>
          </cell>
        </row>
        <row r="41">
          <cell r="G41">
            <v>0.22727272727272727</v>
          </cell>
        </row>
        <row r="54">
          <cell r="G54">
            <v>1</v>
          </cell>
        </row>
        <row r="57">
          <cell r="G57">
            <v>1.6666666666666667</v>
          </cell>
        </row>
        <row r="62">
          <cell r="G62">
            <v>0</v>
          </cell>
        </row>
        <row r="66">
          <cell r="G66">
            <v>1</v>
          </cell>
        </row>
        <row r="69">
          <cell r="G69">
            <v>0</v>
          </cell>
        </row>
        <row r="72">
          <cell r="G72">
            <v>0.5</v>
          </cell>
        </row>
        <row r="77">
          <cell r="D77">
            <v>1</v>
          </cell>
        </row>
        <row r="78">
          <cell r="G78">
            <v>0</v>
          </cell>
        </row>
        <row r="79">
          <cell r="G79">
            <v>1</v>
          </cell>
        </row>
        <row r="84">
          <cell r="G84">
            <v>0</v>
          </cell>
        </row>
        <row r="89">
          <cell r="G89">
            <v>0.33333333333333331</v>
          </cell>
        </row>
        <row r="94">
          <cell r="G94">
            <v>0.4</v>
          </cell>
        </row>
        <row r="100">
          <cell r="G100">
            <v>0</v>
          </cell>
        </row>
        <row r="108">
          <cell r="G108">
            <v>0</v>
          </cell>
        </row>
        <row r="109">
          <cell r="G109">
            <v>0.4</v>
          </cell>
        </row>
        <row r="116">
          <cell r="G116">
            <v>0</v>
          </cell>
        </row>
        <row r="122">
          <cell r="G122">
            <v>0</v>
          </cell>
        </row>
        <row r="127">
          <cell r="G127">
            <v>0.25</v>
          </cell>
        </row>
        <row r="133">
          <cell r="G133">
            <v>0.25</v>
          </cell>
        </row>
        <row r="139">
          <cell r="G139">
            <v>0</v>
          </cell>
        </row>
        <row r="147">
          <cell r="G147">
            <v>0</v>
          </cell>
        </row>
        <row r="153">
          <cell r="G153">
            <v>0.5</v>
          </cell>
        </row>
        <row r="159">
          <cell r="G159">
            <v>0</v>
          </cell>
        </row>
        <row r="173">
          <cell r="G173">
            <v>0.83333333333333337</v>
          </cell>
        </row>
        <row r="180">
          <cell r="G180" t="str">
            <v/>
          </cell>
        </row>
        <row r="199">
          <cell r="G199">
            <v>0</v>
          </cell>
        </row>
        <row r="204">
          <cell r="G204">
            <v>0.4</v>
          </cell>
        </row>
        <row r="211">
          <cell r="G211">
            <v>1</v>
          </cell>
        </row>
        <row r="216">
          <cell r="G216">
            <v>0.54181818181818175</v>
          </cell>
        </row>
        <row r="217">
          <cell r="G217">
            <v>0.19166666666666665</v>
          </cell>
        </row>
        <row r="218">
          <cell r="G218">
            <v>0.1643939393939394</v>
          </cell>
        </row>
        <row r="219">
          <cell r="G219">
            <v>0.61111111111111116</v>
          </cell>
        </row>
      </sheetData>
      <sheetData sheetId="21">
        <row r="3">
          <cell r="G3" t="str">
            <v/>
          </cell>
        </row>
        <row r="9">
          <cell r="G9">
            <v>0.25</v>
          </cell>
        </row>
        <row r="18">
          <cell r="G18">
            <v>0</v>
          </cell>
        </row>
        <row r="22">
          <cell r="G22">
            <v>0</v>
          </cell>
        </row>
        <row r="31">
          <cell r="G31">
            <v>0</v>
          </cell>
        </row>
        <row r="36">
          <cell r="G36" t="str">
            <v/>
          </cell>
        </row>
        <row r="42">
          <cell r="G42">
            <v>0.24090909090909091</v>
          </cell>
        </row>
        <row r="55">
          <cell r="G55">
            <v>0</v>
          </cell>
        </row>
        <row r="61">
          <cell r="G61">
            <v>0</v>
          </cell>
        </row>
        <row r="64">
          <cell r="G64">
            <v>0.33333333333333331</v>
          </cell>
        </row>
        <row r="69">
          <cell r="G69">
            <v>0</v>
          </cell>
        </row>
        <row r="72">
          <cell r="G72">
            <v>0</v>
          </cell>
        </row>
        <row r="76">
          <cell r="G76">
            <v>0</v>
          </cell>
        </row>
        <row r="77">
          <cell r="G77">
            <v>0.5</v>
          </cell>
        </row>
        <row r="83">
          <cell r="G83">
            <v>0</v>
          </cell>
        </row>
        <row r="89">
          <cell r="G89">
            <v>0.5</v>
          </cell>
        </row>
        <row r="95">
          <cell r="G95">
            <v>0.9</v>
          </cell>
        </row>
        <row r="102">
          <cell r="G102">
            <v>1</v>
          </cell>
        </row>
        <row r="105">
          <cell r="G105">
            <v>0</v>
          </cell>
        </row>
        <row r="118">
          <cell r="G118">
            <v>0</v>
          </cell>
        </row>
        <row r="122">
          <cell r="G122">
            <v>0</v>
          </cell>
        </row>
        <row r="123">
          <cell r="G123" t="e">
            <v>#REF!</v>
          </cell>
        </row>
      </sheetData>
      <sheetData sheetId="22">
        <row r="2">
          <cell r="D2">
            <v>0</v>
          </cell>
        </row>
        <row r="3">
          <cell r="G3" t="str">
            <v/>
          </cell>
        </row>
        <row r="9">
          <cell r="G9" t="str">
            <v/>
          </cell>
        </row>
        <row r="15">
          <cell r="G15" t="str">
            <v/>
          </cell>
        </row>
        <row r="21">
          <cell r="G21" t="str">
            <v/>
          </cell>
        </row>
        <row r="28">
          <cell r="G28">
            <v>0</v>
          </cell>
        </row>
        <row r="33">
          <cell r="G33">
            <v>1</v>
          </cell>
        </row>
        <row r="37">
          <cell r="G37">
            <v>0.25</v>
          </cell>
        </row>
        <row r="43">
          <cell r="G43">
            <v>0</v>
          </cell>
        </row>
        <row r="46">
          <cell r="G46" t="str">
            <v/>
          </cell>
        </row>
        <row r="50">
          <cell r="G50">
            <v>0</v>
          </cell>
        </row>
        <row r="60">
          <cell r="G60">
            <v>1</v>
          </cell>
        </row>
        <row r="69">
          <cell r="G69">
            <v>0</v>
          </cell>
        </row>
        <row r="86">
          <cell r="G86" t="str">
            <v/>
          </cell>
        </row>
        <row r="92">
          <cell r="G92">
            <v>1</v>
          </cell>
        </row>
        <row r="95">
          <cell r="G95">
            <v>0</v>
          </cell>
        </row>
        <row r="100">
          <cell r="G100">
            <v>0.5</v>
          </cell>
        </row>
        <row r="105">
          <cell r="G105">
            <v>1</v>
          </cell>
        </row>
        <row r="109">
          <cell r="G109">
            <v>1</v>
          </cell>
        </row>
        <row r="114">
          <cell r="G114">
            <v>0.75</v>
          </cell>
        </row>
        <row r="120">
          <cell r="G120">
            <v>0</v>
          </cell>
        </row>
        <row r="125">
          <cell r="G125">
            <v>0.66666666666666663</v>
          </cell>
        </row>
        <row r="130">
          <cell r="G130">
            <v>1</v>
          </cell>
        </row>
        <row r="135">
          <cell r="G135">
            <v>0.5</v>
          </cell>
        </row>
        <row r="141">
          <cell r="G141">
            <v>0</v>
          </cell>
        </row>
        <row r="163">
          <cell r="G163">
            <v>0.4</v>
          </cell>
        </row>
        <row r="170">
          <cell r="D170">
            <v>0</v>
          </cell>
        </row>
        <row r="171">
          <cell r="D171">
            <v>0</v>
          </cell>
        </row>
        <row r="174">
          <cell r="G174">
            <v>0</v>
          </cell>
        </row>
        <row r="183">
          <cell r="G183" t="e">
            <v>#REF!</v>
          </cell>
        </row>
        <row r="188">
          <cell r="G188">
            <v>0.4</v>
          </cell>
        </row>
        <row r="195">
          <cell r="G195">
            <v>1</v>
          </cell>
        </row>
        <row r="199">
          <cell r="G199">
            <v>0.48498737373737372</v>
          </cell>
        </row>
        <row r="200">
          <cell r="G200" t="e">
            <v>#REF!</v>
          </cell>
        </row>
        <row r="201">
          <cell r="G201">
            <v>0.37724747474747478</v>
          </cell>
        </row>
        <row r="203">
          <cell r="G203">
            <v>0.33333333333333331</v>
          </cell>
        </row>
        <row r="204">
          <cell r="G204">
            <v>0.42142857142857143</v>
          </cell>
        </row>
        <row r="205">
          <cell r="G205">
            <v>0.67222222222222217</v>
          </cell>
        </row>
      </sheetData>
      <sheetData sheetId="23">
        <row r="2">
          <cell r="G2">
            <v>0.2</v>
          </cell>
        </row>
        <row r="3">
          <cell r="G3">
            <v>0</v>
          </cell>
        </row>
        <row r="4">
          <cell r="G4">
            <v>0</v>
          </cell>
        </row>
        <row r="5">
          <cell r="G5">
            <v>0</v>
          </cell>
        </row>
        <row r="6">
          <cell r="G6">
            <v>0.6</v>
          </cell>
        </row>
        <row r="7">
          <cell r="G7">
            <v>0</v>
          </cell>
        </row>
        <row r="8">
          <cell r="G8">
            <v>0.2</v>
          </cell>
        </row>
        <row r="9">
          <cell r="G9">
            <v>0</v>
          </cell>
        </row>
        <row r="10">
          <cell r="G10">
            <v>0</v>
          </cell>
        </row>
        <row r="15">
          <cell r="G15">
            <v>0</v>
          </cell>
        </row>
        <row r="19">
          <cell r="G19">
            <v>0.25</v>
          </cell>
        </row>
        <row r="25">
          <cell r="G25">
            <v>0</v>
          </cell>
        </row>
        <row r="30">
          <cell r="G30">
            <v>0.66666666666666663</v>
          </cell>
        </row>
        <row r="35">
          <cell r="G35">
            <v>1</v>
          </cell>
        </row>
        <row r="40">
          <cell r="G40">
            <v>0.5</v>
          </cell>
        </row>
        <row r="46">
          <cell r="G46">
            <v>1</v>
          </cell>
        </row>
        <row r="54">
          <cell r="G54">
            <v>0.6</v>
          </cell>
        </row>
        <row r="61">
          <cell r="G61">
            <v>1</v>
          </cell>
        </row>
        <row r="62">
          <cell r="G62">
            <v>0</v>
          </cell>
        </row>
      </sheetData>
      <sheetData sheetId="24">
        <row r="3">
          <cell r="D3">
            <v>0</v>
          </cell>
        </row>
        <row r="4">
          <cell r="D4">
            <v>0</v>
          </cell>
        </row>
        <row r="5">
          <cell r="G5">
            <v>1</v>
          </cell>
        </row>
        <row r="12">
          <cell r="G12">
            <v>0.25</v>
          </cell>
        </row>
        <row r="18">
          <cell r="G18">
            <v>0.25</v>
          </cell>
        </row>
        <row r="29">
          <cell r="G29">
            <v>0</v>
          </cell>
        </row>
        <row r="33">
          <cell r="D33">
            <v>0</v>
          </cell>
        </row>
        <row r="34">
          <cell r="G34">
            <v>1</v>
          </cell>
        </row>
        <row r="37">
          <cell r="G37" t="str">
            <v/>
          </cell>
        </row>
        <row r="40">
          <cell r="G40" t="str">
            <v/>
          </cell>
        </row>
        <row r="48">
          <cell r="G48" t="str">
            <v/>
          </cell>
        </row>
        <row r="52">
          <cell r="G52" t="str">
            <v/>
          </cell>
        </row>
        <row r="56">
          <cell r="G56" t="str">
            <v/>
          </cell>
        </row>
        <row r="62">
          <cell r="G62">
            <v>1</v>
          </cell>
        </row>
        <row r="68">
          <cell r="G68">
            <v>0</v>
          </cell>
        </row>
        <row r="71">
          <cell r="G71">
            <v>0</v>
          </cell>
        </row>
        <row r="80">
          <cell r="G80" t="str">
            <v/>
          </cell>
        </row>
        <row r="86">
          <cell r="G86" t="str">
            <v/>
          </cell>
        </row>
        <row r="89">
          <cell r="G89" t="str">
            <v/>
          </cell>
        </row>
        <row r="105">
          <cell r="G105">
            <v>0</v>
          </cell>
        </row>
        <row r="110">
          <cell r="G110">
            <v>0</v>
          </cell>
        </row>
        <row r="115">
          <cell r="G115">
            <v>0</v>
          </cell>
        </row>
        <row r="116">
          <cell r="G116" t="str">
            <v/>
          </cell>
        </row>
        <row r="122">
          <cell r="G122" t="str">
            <v/>
          </cell>
        </row>
        <row r="127">
          <cell r="G127">
            <v>1</v>
          </cell>
        </row>
        <row r="133">
          <cell r="G133">
            <v>0.5</v>
          </cell>
        </row>
        <row r="146">
          <cell r="G146">
            <v>0</v>
          </cell>
        </row>
        <row r="153">
          <cell r="G153">
            <v>0.5</v>
          </cell>
        </row>
        <row r="157">
          <cell r="G157">
            <v>0</v>
          </cell>
        </row>
        <row r="163">
          <cell r="G163">
            <v>0.9</v>
          </cell>
        </row>
        <row r="170">
          <cell r="G170">
            <v>0</v>
          </cell>
        </row>
        <row r="174">
          <cell r="G174">
            <v>0</v>
          </cell>
        </row>
        <row r="179">
          <cell r="G179">
            <v>0.6</v>
          </cell>
        </row>
        <row r="186">
          <cell r="G186" t="b">
            <v>0</v>
          </cell>
        </row>
        <row r="187">
          <cell r="G187">
            <v>0.25</v>
          </cell>
        </row>
        <row r="188">
          <cell r="G188">
            <v>0.33333333333333331</v>
          </cell>
        </row>
        <row r="189">
          <cell r="G189">
            <v>0.55999999999999994</v>
          </cell>
        </row>
      </sheetData>
      <sheetData sheetId="25">
        <row r="3">
          <cell r="G3">
            <v>0</v>
          </cell>
        </row>
        <row r="13">
          <cell r="G13">
            <v>0.6</v>
          </cell>
        </row>
        <row r="20">
          <cell r="G20">
            <v>1</v>
          </cell>
        </row>
        <row r="23">
          <cell r="G23" t="str">
            <v/>
          </cell>
        </row>
        <row r="27">
          <cell r="G27" t="str">
            <v/>
          </cell>
        </row>
        <row r="37">
          <cell r="G37">
            <v>1</v>
          </cell>
        </row>
        <row r="46">
          <cell r="G46">
            <v>0</v>
          </cell>
        </row>
        <row r="49">
          <cell r="G49">
            <v>1</v>
          </cell>
        </row>
        <row r="55">
          <cell r="G55" t="str">
            <v/>
          </cell>
        </row>
        <row r="65">
          <cell r="G65" t="str">
            <v/>
          </cell>
        </row>
        <row r="76">
          <cell r="G76" t="e">
            <v>#REF!</v>
          </cell>
        </row>
      </sheetData>
      <sheetData sheetId="26">
        <row r="2">
          <cell r="G2">
            <v>1</v>
          </cell>
        </row>
        <row r="6">
          <cell r="G6">
            <v>-1</v>
          </cell>
        </row>
        <row r="9">
          <cell r="G9">
            <v>1</v>
          </cell>
        </row>
        <row r="16">
          <cell r="G16">
            <v>0.66666666666666663</v>
          </cell>
        </row>
        <row r="20">
          <cell r="G20" t="str">
            <v/>
          </cell>
        </row>
        <row r="22">
          <cell r="G22" t="str">
            <v/>
          </cell>
        </row>
        <row r="24">
          <cell r="G24" t="str">
            <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OF"/>
      <sheetName val="F"/>
      <sheetName val="S"/>
      <sheetName val="Scores"/>
      <sheetName val="AllSites"/>
      <sheetName val="Stats"/>
      <sheetName val="SAVEvars"/>
      <sheetName val="WS"/>
      <sheetName val="SFS"/>
      <sheetName val="WC"/>
      <sheetName val="SR"/>
      <sheetName val="PR"/>
      <sheetName val="NR"/>
      <sheetName val="CS"/>
      <sheetName val="OE"/>
      <sheetName val="FA"/>
      <sheetName val="FR"/>
      <sheetName val="INV"/>
      <sheetName val="AM"/>
      <sheetName val="WBF"/>
      <sheetName val="WBN"/>
      <sheetName val="SBM"/>
      <sheetName val="POL"/>
      <sheetName val="PH"/>
      <sheetName val="PU"/>
      <sheetName val="EC"/>
      <sheetName val="Sen"/>
      <sheetName val="STR"/>
    </sheetNames>
    <sheetDataSet>
      <sheetData sheetId="0">
        <row r="34">
          <cell r="C34" t="str">
            <v>Draw a 5-km radius circle measured from the center of the AA.  Ignoring all permanent water in the circle, the percent of the remaining area that is NOT lawn, row crops, heavily grazed land, clearcuts, or conifer plantations is: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dimension ref="A1:B75"/>
  <sheetViews>
    <sheetView workbookViewId="0">
      <selection activeCell="A28" sqref="A28"/>
    </sheetView>
  </sheetViews>
  <sheetFormatPr defaultRowHeight="13.2"/>
  <cols>
    <col min="1" max="1" width="70.77734375" customWidth="1"/>
    <col min="2" max="2" width="29.109375" customWidth="1"/>
  </cols>
  <sheetData>
    <row r="1" spans="1:2" ht="18.600000000000001" thickBot="1">
      <c r="A1" s="1963" t="s">
        <v>2966</v>
      </c>
      <c r="B1" s="1964" t="s">
        <v>2980</v>
      </c>
    </row>
    <row r="2" spans="1:2" ht="13.8">
      <c r="A2" s="1965" t="s">
        <v>2967</v>
      </c>
      <c r="B2" s="1966"/>
    </row>
    <row r="3" spans="1:2" ht="13.8">
      <c r="A3" s="1967" t="s">
        <v>2968</v>
      </c>
      <c r="B3" s="1968"/>
    </row>
    <row r="4" spans="1:2" ht="13.8">
      <c r="A4" s="1967" t="s">
        <v>2969</v>
      </c>
      <c r="B4" s="1969"/>
    </row>
    <row r="5" spans="1:2" ht="13.8">
      <c r="A5" s="1967" t="s">
        <v>2970</v>
      </c>
      <c r="B5" s="1968"/>
    </row>
    <row r="6" spans="1:2" ht="13.8">
      <c r="A6" s="1967" t="s">
        <v>2971</v>
      </c>
      <c r="B6" s="1970"/>
    </row>
    <row r="7" spans="1:2" ht="13.8">
      <c r="A7" s="1967" t="s">
        <v>2972</v>
      </c>
      <c r="B7" s="1970"/>
    </row>
    <row r="8" spans="1:2" ht="13.8">
      <c r="A8" s="1967" t="s">
        <v>2973</v>
      </c>
      <c r="B8" s="1971"/>
    </row>
    <row r="9" spans="1:2" ht="27.6">
      <c r="A9" s="1967" t="s">
        <v>2974</v>
      </c>
      <c r="B9" s="1972"/>
    </row>
    <row r="10" spans="1:2" ht="13.8">
      <c r="A10" s="1973" t="s">
        <v>2975</v>
      </c>
      <c r="B10" s="1974"/>
    </row>
    <row r="11" spans="1:2" ht="13.8">
      <c r="A11" s="1973" t="s">
        <v>2976</v>
      </c>
      <c r="B11" s="1974"/>
    </row>
    <row r="12" spans="1:2" ht="27.6">
      <c r="A12" s="1973" t="s">
        <v>2977</v>
      </c>
      <c r="B12" s="1968"/>
    </row>
    <row r="13" spans="1:2" ht="18" customHeight="1">
      <c r="A13" s="1973" t="s">
        <v>2978</v>
      </c>
      <c r="B13" s="1975"/>
    </row>
    <row r="14" spans="1:2" ht="28.2" thickBot="1">
      <c r="A14" s="1976" t="s">
        <v>2979</v>
      </c>
      <c r="B14" s="1977"/>
    </row>
    <row r="15" spans="1:2" s="2088" customFormat="1"/>
    <row r="16" spans="1:2" s="2088" customFormat="1"/>
    <row r="17" s="2088" customFormat="1"/>
    <row r="18" s="2088" customFormat="1"/>
    <row r="19" s="2088" customFormat="1"/>
    <row r="20" s="2088" customFormat="1"/>
    <row r="21" s="2088" customFormat="1"/>
    <row r="22" s="2088" customFormat="1"/>
    <row r="23" s="2088" customFormat="1"/>
    <row r="24" s="2088" customFormat="1"/>
    <row r="25" s="2088" customFormat="1"/>
    <row r="26" s="2088" customFormat="1"/>
    <row r="27" s="2088" customFormat="1"/>
    <row r="28" s="2088" customFormat="1"/>
    <row r="29" s="2088" customFormat="1"/>
    <row r="30" s="2088" customFormat="1"/>
    <row r="31" s="2088" customFormat="1"/>
    <row r="32" s="2088" customFormat="1"/>
    <row r="33" s="2088" customFormat="1"/>
    <row r="34" s="2088" customFormat="1"/>
    <row r="35" s="2088" customFormat="1"/>
    <row r="36" s="2088" customFormat="1"/>
    <row r="37" s="2088" customFormat="1"/>
    <row r="38" s="2088" customFormat="1"/>
    <row r="39" s="2088" customFormat="1"/>
    <row r="40" s="2088" customFormat="1"/>
    <row r="41" s="2088" customFormat="1"/>
    <row r="42" s="2088" customFormat="1"/>
    <row r="43" s="2088" customFormat="1"/>
    <row r="44" s="2088" customFormat="1"/>
    <row r="45" s="2088" customFormat="1"/>
    <row r="46" s="2088" customFormat="1"/>
    <row r="47" s="2088" customFormat="1"/>
    <row r="48" s="2088" customFormat="1"/>
    <row r="49" s="2088" customFormat="1"/>
    <row r="50" s="2088" customFormat="1"/>
    <row r="51" s="2088" customFormat="1"/>
    <row r="52" s="2088" customFormat="1"/>
    <row r="53" s="2088" customFormat="1"/>
    <row r="54" s="2088" customFormat="1"/>
    <row r="55" s="2088" customFormat="1"/>
    <row r="56" s="2088" customFormat="1"/>
    <row r="57" s="2088" customFormat="1"/>
    <row r="58" s="2088" customFormat="1"/>
    <row r="59" s="2088" customFormat="1"/>
    <row r="60" s="2088" customFormat="1"/>
    <row r="61" s="2088" customFormat="1"/>
    <row r="62" s="2088" customFormat="1"/>
    <row r="63" s="2088" customFormat="1"/>
    <row r="64" s="2088" customFormat="1"/>
    <row r="65" s="2088" customFormat="1"/>
    <row r="66" s="2088" customFormat="1"/>
    <row r="67" s="2088" customFormat="1"/>
    <row r="68" s="2088" customFormat="1"/>
    <row r="69" s="2088" customFormat="1"/>
    <row r="70" s="2088" customFormat="1"/>
    <row r="71" s="2088" customFormat="1"/>
    <row r="72" s="2088" customFormat="1"/>
    <row r="73" s="2088" customFormat="1"/>
    <row r="74" s="2088" customFormat="1"/>
    <row r="75" s="2088" customFormat="1"/>
  </sheetData>
  <sheetProtection password="C74A"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4" enableFormatConditionsCalculation="0">
    <tabColor rgb="FF92D050"/>
  </sheetPr>
  <dimension ref="A1:CM165"/>
  <sheetViews>
    <sheetView zoomScaleNormal="100" workbookViewId="0">
      <selection sqref="A1:B1"/>
    </sheetView>
  </sheetViews>
  <sheetFormatPr defaultColWidth="9.33203125" defaultRowHeight="15" customHeight="1"/>
  <cols>
    <col min="1" max="1" width="5.77734375" style="107" customWidth="1"/>
    <col min="2" max="2" width="18.77734375" style="107" customWidth="1"/>
    <col min="3" max="3" width="107.77734375" style="24" customWidth="1"/>
    <col min="4" max="4" width="7.77734375" style="1070" customWidth="1"/>
    <col min="5" max="5" width="65.77734375" style="107" customWidth="1"/>
    <col min="6" max="91" width="9.33203125" style="1404"/>
    <col min="92" max="16384" width="9.33203125" style="1033"/>
  </cols>
  <sheetData>
    <row r="1" spans="1:91" s="1525" customFormat="1" ht="27" customHeight="1" thickBot="1">
      <c r="A1" s="2168" t="s">
        <v>2129</v>
      </c>
      <c r="B1" s="2169"/>
      <c r="C1" s="2084" t="s">
        <v>2613</v>
      </c>
      <c r="D1" s="2166" t="s">
        <v>2614</v>
      </c>
      <c r="E1" s="2167"/>
      <c r="F1" s="1524"/>
      <c r="G1" s="1524"/>
      <c r="H1" s="1524"/>
      <c r="I1" s="1524"/>
      <c r="J1" s="1524"/>
      <c r="K1" s="1524"/>
      <c r="L1" s="1524"/>
      <c r="M1" s="1524"/>
      <c r="N1" s="1524"/>
      <c r="O1" s="1524"/>
      <c r="P1" s="1524"/>
      <c r="Q1" s="1524"/>
      <c r="R1" s="1524"/>
      <c r="S1" s="1524"/>
      <c r="T1" s="1524"/>
      <c r="U1" s="1524"/>
      <c r="V1" s="1524"/>
      <c r="W1" s="1524"/>
      <c r="X1" s="1524"/>
      <c r="Y1" s="1524"/>
      <c r="Z1" s="1524"/>
      <c r="AA1" s="1524"/>
      <c r="AB1" s="1524"/>
      <c r="AC1" s="1524"/>
      <c r="AD1" s="1524"/>
      <c r="AE1" s="1524"/>
      <c r="AF1" s="1524"/>
      <c r="AG1" s="1524"/>
      <c r="AH1" s="1524"/>
      <c r="AI1" s="1524"/>
      <c r="AJ1" s="1524"/>
      <c r="AK1" s="1524"/>
      <c r="AL1" s="1524"/>
      <c r="AM1" s="1524"/>
      <c r="AN1" s="1524"/>
      <c r="AO1" s="1524"/>
      <c r="AP1" s="1524"/>
      <c r="AQ1" s="1524"/>
      <c r="AR1" s="1524"/>
      <c r="AS1" s="1524"/>
      <c r="AT1" s="1524"/>
      <c r="AU1" s="1524"/>
      <c r="AV1" s="1524"/>
      <c r="AW1" s="1524"/>
      <c r="AX1" s="1524"/>
      <c r="AY1" s="1524"/>
      <c r="AZ1" s="1524"/>
      <c r="BA1" s="1524"/>
      <c r="BB1" s="1524"/>
      <c r="BC1" s="1524"/>
      <c r="BD1" s="1524"/>
      <c r="BE1" s="1524"/>
      <c r="BF1" s="1524"/>
      <c r="BG1" s="1524"/>
      <c r="BH1" s="1524"/>
      <c r="BI1" s="1524"/>
      <c r="BJ1" s="1524"/>
      <c r="BK1" s="1524"/>
      <c r="BL1" s="1524"/>
      <c r="BM1" s="1524"/>
      <c r="BN1" s="1524"/>
      <c r="BO1" s="1524"/>
      <c r="BP1" s="1524"/>
      <c r="BQ1" s="1524"/>
      <c r="BR1" s="1524"/>
      <c r="BS1" s="1524"/>
      <c r="BT1" s="1524"/>
      <c r="BU1" s="1524"/>
      <c r="BV1" s="1524"/>
      <c r="BW1" s="1524"/>
      <c r="BX1" s="1524"/>
      <c r="BY1" s="1524"/>
      <c r="BZ1" s="1524"/>
      <c r="CA1" s="1524"/>
      <c r="CB1" s="1524"/>
      <c r="CC1" s="1524"/>
      <c r="CD1" s="1524"/>
      <c r="CE1" s="1524"/>
      <c r="CF1" s="1524"/>
      <c r="CG1" s="1524"/>
      <c r="CH1" s="1524"/>
      <c r="CI1" s="1524"/>
      <c r="CJ1" s="1524"/>
      <c r="CK1" s="1524"/>
      <c r="CL1" s="1524"/>
      <c r="CM1" s="1524"/>
    </row>
    <row r="2" spans="1:91" s="1478" customFormat="1" ht="120" customHeight="1" thickBot="1">
      <c r="A2" s="2142" t="s">
        <v>2941</v>
      </c>
      <c r="B2" s="2143"/>
      <c r="C2" s="2144"/>
      <c r="D2" s="2014"/>
      <c r="E2" s="1936"/>
      <c r="F2" s="1482"/>
      <c r="G2" s="1482"/>
      <c r="H2" s="1482"/>
      <c r="I2" s="1482"/>
      <c r="J2" s="1482"/>
      <c r="K2" s="1482"/>
      <c r="L2" s="1482"/>
      <c r="M2" s="1482"/>
      <c r="N2" s="1482"/>
      <c r="O2" s="1482"/>
      <c r="P2" s="1482"/>
      <c r="Q2" s="1482"/>
      <c r="R2" s="1482"/>
      <c r="S2" s="1482"/>
      <c r="T2" s="1482"/>
      <c r="U2" s="1482"/>
      <c r="V2" s="1482"/>
      <c r="W2" s="1482"/>
      <c r="X2" s="1482"/>
      <c r="Y2" s="1482"/>
      <c r="Z2" s="1482"/>
      <c r="AA2" s="1482"/>
      <c r="AB2" s="1482"/>
      <c r="AC2" s="1482"/>
      <c r="AD2" s="1482"/>
      <c r="AE2" s="1482"/>
      <c r="AF2" s="1482"/>
      <c r="AG2" s="1482"/>
      <c r="AH2" s="1482"/>
      <c r="AI2" s="1482"/>
      <c r="AJ2" s="1482"/>
      <c r="AK2" s="1482"/>
      <c r="AL2" s="1482"/>
      <c r="AM2" s="1482"/>
      <c r="AN2" s="1482"/>
      <c r="AO2" s="1482"/>
      <c r="AP2" s="1482"/>
      <c r="AQ2" s="1482"/>
      <c r="AR2" s="1482"/>
      <c r="AS2" s="1482"/>
      <c r="AT2" s="1482"/>
      <c r="AU2" s="1482"/>
      <c r="AV2" s="1482"/>
      <c r="AW2" s="1482"/>
      <c r="AX2" s="1482"/>
      <c r="AY2" s="1482"/>
      <c r="AZ2" s="1482"/>
      <c r="BA2" s="1482"/>
      <c r="BB2" s="1482"/>
      <c r="BC2" s="1482"/>
      <c r="BD2" s="1482"/>
      <c r="BE2" s="1482"/>
      <c r="BF2" s="1482"/>
      <c r="BG2" s="1482"/>
      <c r="BH2" s="1482"/>
      <c r="BI2" s="1482"/>
      <c r="BJ2" s="1482"/>
      <c r="BK2" s="1482"/>
      <c r="BL2" s="1482"/>
      <c r="BM2" s="1482"/>
      <c r="BN2" s="1482"/>
      <c r="BO2" s="1482"/>
      <c r="BP2" s="1482"/>
      <c r="BQ2" s="1482"/>
      <c r="BR2" s="1482"/>
      <c r="BS2" s="1482"/>
      <c r="BT2" s="1482"/>
      <c r="BU2" s="1482"/>
      <c r="BV2" s="1482"/>
      <c r="BW2" s="1482"/>
      <c r="BX2" s="1482"/>
      <c r="BY2" s="1482"/>
      <c r="BZ2" s="1482"/>
      <c r="CA2" s="1482"/>
      <c r="CB2" s="1482"/>
      <c r="CC2" s="1482"/>
      <c r="CD2" s="1482"/>
      <c r="CE2" s="1482"/>
      <c r="CF2" s="1482"/>
      <c r="CG2" s="1482"/>
      <c r="CH2" s="1482"/>
      <c r="CI2" s="1482"/>
      <c r="CJ2" s="1482"/>
      <c r="CK2" s="1482"/>
      <c r="CL2" s="1482"/>
      <c r="CM2" s="1482"/>
    </row>
    <row r="3" spans="1:91" s="1487" customFormat="1" ht="36" customHeight="1" thickBot="1">
      <c r="A3" s="1930" t="s">
        <v>1292</v>
      </c>
      <c r="B3" s="1931" t="s">
        <v>1117</v>
      </c>
      <c r="C3" s="1932" t="s">
        <v>1354</v>
      </c>
      <c r="D3" s="2015" t="s">
        <v>64</v>
      </c>
      <c r="E3" s="1931" t="s">
        <v>2390</v>
      </c>
    </row>
    <row r="4" spans="1:91" s="1129" customFormat="1" ht="30" customHeight="1" thickBot="1">
      <c r="A4" s="2151" t="s">
        <v>753</v>
      </c>
      <c r="B4" s="2146" t="s">
        <v>1582</v>
      </c>
      <c r="C4" s="1479" t="s">
        <v>2389</v>
      </c>
      <c r="D4" s="2019"/>
      <c r="E4" s="2146" t="s">
        <v>2876</v>
      </c>
      <c r="F4" s="1404"/>
      <c r="G4" s="1407"/>
      <c r="H4" s="1407"/>
      <c r="I4" s="1407"/>
      <c r="J4" s="1407"/>
      <c r="K4" s="1407"/>
      <c r="L4" s="1407"/>
      <c r="M4" s="1407"/>
      <c r="N4" s="1407"/>
      <c r="O4" s="1407"/>
      <c r="P4" s="1407"/>
      <c r="Q4" s="1407"/>
      <c r="R4" s="1407"/>
      <c r="S4" s="1407"/>
      <c r="T4" s="1407"/>
      <c r="U4" s="1407"/>
      <c r="V4" s="1407"/>
      <c r="W4" s="1407"/>
      <c r="X4" s="1407"/>
      <c r="Y4" s="1407"/>
      <c r="Z4" s="1407"/>
      <c r="AA4" s="1407"/>
      <c r="AB4" s="1407"/>
      <c r="AC4" s="1407"/>
      <c r="AD4" s="1407"/>
      <c r="AE4" s="1407"/>
      <c r="AF4" s="1407"/>
      <c r="AG4" s="1407"/>
      <c r="AH4" s="1407"/>
      <c r="AI4" s="1407"/>
      <c r="AJ4" s="1407"/>
      <c r="AK4" s="1407"/>
      <c r="AL4" s="1407"/>
      <c r="AM4" s="1407"/>
      <c r="AN4" s="1407"/>
      <c r="AO4" s="1407"/>
      <c r="AP4" s="1407"/>
      <c r="AQ4" s="1407"/>
      <c r="AR4" s="1407"/>
      <c r="AS4" s="1407"/>
      <c r="AT4" s="1407"/>
      <c r="AU4" s="1407"/>
      <c r="AV4" s="1407"/>
      <c r="AW4" s="1407"/>
      <c r="AX4" s="1407"/>
      <c r="AY4" s="1407"/>
      <c r="AZ4" s="1407"/>
      <c r="BA4" s="1407"/>
      <c r="BB4" s="1407"/>
      <c r="BC4" s="1407"/>
      <c r="BD4" s="1407"/>
      <c r="BE4" s="1407"/>
      <c r="BF4" s="1407"/>
      <c r="BG4" s="1407"/>
      <c r="BH4" s="1407"/>
      <c r="BI4" s="1407"/>
      <c r="BJ4" s="1407"/>
      <c r="BK4" s="1407"/>
      <c r="BL4" s="1407"/>
      <c r="BM4" s="1407"/>
      <c r="BN4" s="1407"/>
      <c r="BO4" s="1407"/>
      <c r="BP4" s="1407"/>
      <c r="BQ4" s="1407"/>
      <c r="BR4" s="1407"/>
      <c r="BS4" s="1407"/>
      <c r="BT4" s="1407"/>
      <c r="BU4" s="1407"/>
      <c r="BV4" s="1407"/>
      <c r="BW4" s="1407"/>
      <c r="BX4" s="1407"/>
      <c r="BY4" s="1407"/>
      <c r="BZ4" s="1407"/>
      <c r="CA4" s="1407"/>
      <c r="CB4" s="1407"/>
      <c r="CC4" s="1407"/>
      <c r="CD4" s="1407"/>
      <c r="CE4" s="1407"/>
      <c r="CF4" s="1407"/>
      <c r="CG4" s="1407"/>
      <c r="CH4" s="1407"/>
      <c r="CI4" s="1407"/>
      <c r="CJ4" s="1407"/>
      <c r="CK4" s="1407"/>
      <c r="CL4" s="1407"/>
      <c r="CM4" s="1407"/>
    </row>
    <row r="5" spans="1:91" s="1129" customFormat="1" ht="15" customHeight="1" thickBot="1">
      <c r="A5" s="2151"/>
      <c r="B5" s="2146"/>
      <c r="C5" s="1488" t="s">
        <v>2485</v>
      </c>
      <c r="D5" s="2020">
        <v>0</v>
      </c>
      <c r="E5" s="2146"/>
      <c r="F5" s="1404"/>
      <c r="G5" s="1407"/>
      <c r="H5" s="1407"/>
      <c r="I5" s="1407"/>
      <c r="J5" s="1407"/>
      <c r="K5" s="1407"/>
      <c r="L5" s="1407"/>
      <c r="M5" s="1407"/>
      <c r="N5" s="1407"/>
      <c r="O5" s="1407"/>
      <c r="P5" s="1407"/>
      <c r="Q5" s="1407"/>
      <c r="R5" s="1407"/>
      <c r="S5" s="1407"/>
      <c r="T5" s="1407"/>
      <c r="U5" s="1407"/>
      <c r="V5" s="1407"/>
      <c r="W5" s="1407"/>
      <c r="X5" s="1407"/>
      <c r="Y5" s="1407"/>
      <c r="Z5" s="1407"/>
      <c r="AA5" s="1407"/>
      <c r="AB5" s="1407"/>
      <c r="AC5" s="1407"/>
      <c r="AD5" s="1407"/>
      <c r="AE5" s="1407"/>
      <c r="AF5" s="1407"/>
      <c r="AG5" s="1407"/>
      <c r="AH5" s="1407"/>
      <c r="AI5" s="1407"/>
      <c r="AJ5" s="1407"/>
      <c r="AK5" s="1407"/>
      <c r="AL5" s="1407"/>
      <c r="AM5" s="1407"/>
      <c r="AN5" s="1407"/>
      <c r="AO5" s="1407"/>
      <c r="AP5" s="1407"/>
      <c r="AQ5" s="1407"/>
      <c r="AR5" s="1407"/>
      <c r="AS5" s="1407"/>
      <c r="AT5" s="1407"/>
      <c r="AU5" s="1407"/>
      <c r="AV5" s="1407"/>
      <c r="AW5" s="1407"/>
      <c r="AX5" s="1407"/>
      <c r="AY5" s="1407"/>
      <c r="AZ5" s="1407"/>
      <c r="BA5" s="1407"/>
      <c r="BB5" s="1407"/>
      <c r="BC5" s="1407"/>
      <c r="BD5" s="1407"/>
      <c r="BE5" s="1407"/>
      <c r="BF5" s="1407"/>
      <c r="BG5" s="1407"/>
      <c r="BH5" s="1407"/>
      <c r="BI5" s="1407"/>
      <c r="BJ5" s="1407"/>
      <c r="BK5" s="1407"/>
      <c r="BL5" s="1407"/>
      <c r="BM5" s="1407"/>
      <c r="BN5" s="1407"/>
      <c r="BO5" s="1407"/>
      <c r="BP5" s="1407"/>
      <c r="BQ5" s="1407"/>
      <c r="BR5" s="1407"/>
      <c r="BS5" s="1407"/>
      <c r="BT5" s="1407"/>
      <c r="BU5" s="1407"/>
      <c r="BV5" s="1407"/>
      <c r="BW5" s="1407"/>
      <c r="BX5" s="1407"/>
      <c r="BY5" s="1407"/>
      <c r="BZ5" s="1407"/>
      <c r="CA5" s="1407"/>
      <c r="CB5" s="1407"/>
      <c r="CC5" s="1407"/>
      <c r="CD5" s="1407"/>
      <c r="CE5" s="1407"/>
      <c r="CF5" s="1407"/>
      <c r="CG5" s="1407"/>
      <c r="CH5" s="1407"/>
      <c r="CI5" s="1407"/>
      <c r="CJ5" s="1407"/>
      <c r="CK5" s="1407"/>
      <c r="CL5" s="1407"/>
      <c r="CM5" s="1407"/>
    </row>
    <row r="6" spans="1:91" s="1129" customFormat="1" ht="15" customHeight="1" thickBot="1">
      <c r="A6" s="2151"/>
      <c r="B6" s="2146"/>
      <c r="C6" s="1489" t="s">
        <v>1543</v>
      </c>
      <c r="D6" s="2020">
        <v>0</v>
      </c>
      <c r="E6" s="2146"/>
      <c r="F6" s="1404"/>
      <c r="G6" s="1407"/>
      <c r="H6" s="1407"/>
      <c r="I6" s="1407"/>
      <c r="J6" s="1407"/>
      <c r="K6" s="1407"/>
      <c r="L6" s="1407"/>
      <c r="M6" s="1407"/>
      <c r="N6" s="1407"/>
      <c r="O6" s="1407"/>
      <c r="P6" s="1407"/>
      <c r="Q6" s="1407"/>
      <c r="R6" s="1407"/>
      <c r="S6" s="1407"/>
      <c r="T6" s="1407"/>
      <c r="U6" s="1407"/>
      <c r="V6" s="1407"/>
      <c r="W6" s="1407"/>
      <c r="X6" s="1407"/>
      <c r="Y6" s="1407"/>
      <c r="Z6" s="1407"/>
      <c r="AA6" s="1407"/>
      <c r="AB6" s="1407"/>
      <c r="AC6" s="1407"/>
      <c r="AD6" s="1407"/>
      <c r="AE6" s="1407"/>
      <c r="AF6" s="1407"/>
      <c r="AG6" s="1407"/>
      <c r="AH6" s="1407"/>
      <c r="AI6" s="1407"/>
      <c r="AJ6" s="1407"/>
      <c r="AK6" s="1407"/>
      <c r="AL6" s="1407"/>
      <c r="AM6" s="1407"/>
      <c r="AN6" s="1407"/>
      <c r="AO6" s="1407"/>
      <c r="AP6" s="1407"/>
      <c r="AQ6" s="1407"/>
      <c r="AR6" s="1407"/>
      <c r="AS6" s="1407"/>
      <c r="AT6" s="1407"/>
      <c r="AU6" s="1407"/>
      <c r="AV6" s="1407"/>
      <c r="AW6" s="1407"/>
      <c r="AX6" s="1407"/>
      <c r="AY6" s="1407"/>
      <c r="AZ6" s="1407"/>
      <c r="BA6" s="1407"/>
      <c r="BB6" s="1407"/>
      <c r="BC6" s="1407"/>
      <c r="BD6" s="1407"/>
      <c r="BE6" s="1407"/>
      <c r="BF6" s="1407"/>
      <c r="BG6" s="1407"/>
      <c r="BH6" s="1407"/>
      <c r="BI6" s="1407"/>
      <c r="BJ6" s="1407"/>
      <c r="BK6" s="1407"/>
      <c r="BL6" s="1407"/>
      <c r="BM6" s="1407"/>
      <c r="BN6" s="1407"/>
      <c r="BO6" s="1407"/>
      <c r="BP6" s="1407"/>
      <c r="BQ6" s="1407"/>
      <c r="BR6" s="1407"/>
      <c r="BS6" s="1407"/>
      <c r="BT6" s="1407"/>
      <c r="BU6" s="1407"/>
      <c r="BV6" s="1407"/>
      <c r="BW6" s="1407"/>
      <c r="BX6" s="1407"/>
      <c r="BY6" s="1407"/>
      <c r="BZ6" s="1407"/>
      <c r="CA6" s="1407"/>
      <c r="CB6" s="1407"/>
      <c r="CC6" s="1407"/>
      <c r="CD6" s="1407"/>
      <c r="CE6" s="1407"/>
      <c r="CF6" s="1407"/>
      <c r="CG6" s="1407"/>
      <c r="CH6" s="1407"/>
      <c r="CI6" s="1407"/>
      <c r="CJ6" s="1407"/>
      <c r="CK6" s="1407"/>
      <c r="CL6" s="1407"/>
      <c r="CM6" s="1407"/>
    </row>
    <row r="7" spans="1:91" s="1129" customFormat="1" ht="15" customHeight="1" thickBot="1">
      <c r="A7" s="2151"/>
      <c r="B7" s="2146"/>
      <c r="C7" s="1489" t="s">
        <v>1544</v>
      </c>
      <c r="D7" s="2020">
        <v>0</v>
      </c>
      <c r="E7" s="2146"/>
      <c r="F7" s="1404"/>
      <c r="G7" s="1407"/>
      <c r="H7" s="1407"/>
      <c r="I7" s="1407"/>
      <c r="J7" s="1407"/>
      <c r="K7" s="1407"/>
      <c r="L7" s="1407"/>
      <c r="M7" s="1407"/>
      <c r="N7" s="1407"/>
      <c r="O7" s="1407"/>
      <c r="P7" s="1407"/>
      <c r="Q7" s="1407"/>
      <c r="R7" s="1407"/>
      <c r="S7" s="1407"/>
      <c r="T7" s="1407"/>
      <c r="U7" s="1407"/>
      <c r="V7" s="1407"/>
      <c r="W7" s="1407"/>
      <c r="X7" s="1407"/>
      <c r="Y7" s="1407"/>
      <c r="Z7" s="1407"/>
      <c r="AA7" s="1407"/>
      <c r="AB7" s="1407"/>
      <c r="AC7" s="1407"/>
      <c r="AD7" s="1407"/>
      <c r="AE7" s="1407"/>
      <c r="AF7" s="1407"/>
      <c r="AG7" s="1407"/>
      <c r="AH7" s="1407"/>
      <c r="AI7" s="1407"/>
      <c r="AJ7" s="1407"/>
      <c r="AK7" s="1407"/>
      <c r="AL7" s="1407"/>
      <c r="AM7" s="1407"/>
      <c r="AN7" s="1407"/>
      <c r="AO7" s="1407"/>
      <c r="AP7" s="1407"/>
      <c r="AQ7" s="1407"/>
      <c r="AR7" s="1407"/>
      <c r="AS7" s="1407"/>
      <c r="AT7" s="1407"/>
      <c r="AU7" s="1407"/>
      <c r="AV7" s="1407"/>
      <c r="AW7" s="1407"/>
      <c r="AX7" s="1407"/>
      <c r="AY7" s="1407"/>
      <c r="AZ7" s="1407"/>
      <c r="BA7" s="1407"/>
      <c r="BB7" s="1407"/>
      <c r="BC7" s="1407"/>
      <c r="BD7" s="1407"/>
      <c r="BE7" s="1407"/>
      <c r="BF7" s="1407"/>
      <c r="BG7" s="1407"/>
      <c r="BH7" s="1407"/>
      <c r="BI7" s="1407"/>
      <c r="BJ7" s="1407"/>
      <c r="BK7" s="1407"/>
      <c r="BL7" s="1407"/>
      <c r="BM7" s="1407"/>
      <c r="BN7" s="1407"/>
      <c r="BO7" s="1407"/>
      <c r="BP7" s="1407"/>
      <c r="BQ7" s="1407"/>
      <c r="BR7" s="1407"/>
      <c r="BS7" s="1407"/>
      <c r="BT7" s="1407"/>
      <c r="BU7" s="1407"/>
      <c r="BV7" s="1407"/>
      <c r="BW7" s="1407"/>
      <c r="BX7" s="1407"/>
      <c r="BY7" s="1407"/>
      <c r="BZ7" s="1407"/>
      <c r="CA7" s="1407"/>
      <c r="CB7" s="1407"/>
      <c r="CC7" s="1407"/>
      <c r="CD7" s="1407"/>
      <c r="CE7" s="1407"/>
      <c r="CF7" s="1407"/>
      <c r="CG7" s="1407"/>
      <c r="CH7" s="1407"/>
      <c r="CI7" s="1407"/>
      <c r="CJ7" s="1407"/>
      <c r="CK7" s="1407"/>
      <c r="CL7" s="1407"/>
      <c r="CM7" s="1407"/>
    </row>
    <row r="8" spans="1:91" s="1129" customFormat="1" ht="15" customHeight="1" thickBot="1">
      <c r="A8" s="2151"/>
      <c r="B8" s="2146"/>
      <c r="C8" s="1490" t="s">
        <v>1545</v>
      </c>
      <c r="D8" s="2020">
        <v>0</v>
      </c>
      <c r="E8" s="2146"/>
      <c r="F8" s="1404"/>
      <c r="G8" s="1407"/>
      <c r="H8" s="1407"/>
      <c r="I8" s="1407"/>
      <c r="J8" s="1407"/>
      <c r="K8" s="1407"/>
      <c r="L8" s="1407"/>
      <c r="M8" s="1407"/>
      <c r="N8" s="1407"/>
      <c r="O8" s="1407"/>
      <c r="P8" s="1407"/>
      <c r="Q8" s="1407"/>
      <c r="R8" s="1407"/>
      <c r="S8" s="1407"/>
      <c r="T8" s="1407"/>
      <c r="U8" s="1407"/>
      <c r="V8" s="1407"/>
      <c r="W8" s="1407"/>
      <c r="X8" s="1407"/>
      <c r="Y8" s="1407"/>
      <c r="Z8" s="1407"/>
      <c r="AA8" s="1407"/>
      <c r="AB8" s="1407"/>
      <c r="AC8" s="1407"/>
      <c r="AD8" s="1407"/>
      <c r="AE8" s="1407"/>
      <c r="AF8" s="1407"/>
      <c r="AG8" s="1407"/>
      <c r="AH8" s="1407"/>
      <c r="AI8" s="1407"/>
      <c r="AJ8" s="1407"/>
      <c r="AK8" s="1407"/>
      <c r="AL8" s="1407"/>
      <c r="AM8" s="1407"/>
      <c r="AN8" s="1407"/>
      <c r="AO8" s="1407"/>
      <c r="AP8" s="1407"/>
      <c r="AQ8" s="1407"/>
      <c r="AR8" s="1407"/>
      <c r="AS8" s="1407"/>
      <c r="AT8" s="1407"/>
      <c r="AU8" s="1407"/>
      <c r="AV8" s="1407"/>
      <c r="AW8" s="1407"/>
      <c r="AX8" s="1407"/>
      <c r="AY8" s="1407"/>
      <c r="AZ8" s="1407"/>
      <c r="BA8" s="1407"/>
      <c r="BB8" s="1407"/>
      <c r="BC8" s="1407"/>
      <c r="BD8" s="1407"/>
      <c r="BE8" s="1407"/>
      <c r="BF8" s="1407"/>
      <c r="BG8" s="1407"/>
      <c r="BH8" s="1407"/>
      <c r="BI8" s="1407"/>
      <c r="BJ8" s="1407"/>
      <c r="BK8" s="1407"/>
      <c r="BL8" s="1407"/>
      <c r="BM8" s="1407"/>
      <c r="BN8" s="1407"/>
      <c r="BO8" s="1407"/>
      <c r="BP8" s="1407"/>
      <c r="BQ8" s="1407"/>
      <c r="BR8" s="1407"/>
      <c r="BS8" s="1407"/>
      <c r="BT8" s="1407"/>
      <c r="BU8" s="1407"/>
      <c r="BV8" s="1407"/>
      <c r="BW8" s="1407"/>
      <c r="BX8" s="1407"/>
      <c r="BY8" s="1407"/>
      <c r="BZ8" s="1407"/>
      <c r="CA8" s="1407"/>
      <c r="CB8" s="1407"/>
      <c r="CC8" s="1407"/>
      <c r="CD8" s="1407"/>
      <c r="CE8" s="1407"/>
      <c r="CF8" s="1407"/>
      <c r="CG8" s="1407"/>
      <c r="CH8" s="1407"/>
      <c r="CI8" s="1407"/>
      <c r="CJ8" s="1407"/>
      <c r="CK8" s="1407"/>
      <c r="CL8" s="1407"/>
      <c r="CM8" s="1407"/>
    </row>
    <row r="9" spans="1:91" s="1129" customFormat="1" ht="15" customHeight="1" thickBot="1">
      <c r="A9" s="2151"/>
      <c r="B9" s="2146"/>
      <c r="C9" s="1490" t="s">
        <v>1546</v>
      </c>
      <c r="D9" s="2020">
        <v>0</v>
      </c>
      <c r="E9" s="2146"/>
      <c r="F9" s="1404"/>
      <c r="G9" s="1407"/>
      <c r="H9" s="1407"/>
      <c r="I9" s="1407"/>
      <c r="J9" s="1407"/>
      <c r="K9" s="1407"/>
      <c r="L9" s="1407"/>
      <c r="M9" s="1407"/>
      <c r="N9" s="1407"/>
      <c r="O9" s="1407"/>
      <c r="P9" s="1407"/>
      <c r="Q9" s="1407"/>
      <c r="R9" s="1407"/>
      <c r="S9" s="1407"/>
      <c r="T9" s="1407"/>
      <c r="U9" s="1407"/>
      <c r="V9" s="1407"/>
      <c r="W9" s="1407"/>
      <c r="X9" s="1407"/>
      <c r="Y9" s="1407"/>
      <c r="Z9" s="1407"/>
      <c r="AA9" s="1407"/>
      <c r="AB9" s="1407"/>
      <c r="AC9" s="1407"/>
      <c r="AD9" s="1407"/>
      <c r="AE9" s="1407"/>
      <c r="AF9" s="1407"/>
      <c r="AG9" s="1407"/>
      <c r="AH9" s="1407"/>
      <c r="AI9" s="1407"/>
      <c r="AJ9" s="1407"/>
      <c r="AK9" s="1407"/>
      <c r="AL9" s="1407"/>
      <c r="AM9" s="1407"/>
      <c r="AN9" s="1407"/>
      <c r="AO9" s="1407"/>
      <c r="AP9" s="1407"/>
      <c r="AQ9" s="1407"/>
      <c r="AR9" s="1407"/>
      <c r="AS9" s="1407"/>
      <c r="AT9" s="1407"/>
      <c r="AU9" s="1407"/>
      <c r="AV9" s="1407"/>
      <c r="AW9" s="1407"/>
      <c r="AX9" s="1407"/>
      <c r="AY9" s="1407"/>
      <c r="AZ9" s="1407"/>
      <c r="BA9" s="1407"/>
      <c r="BB9" s="1407"/>
      <c r="BC9" s="1407"/>
      <c r="BD9" s="1407"/>
      <c r="BE9" s="1407"/>
      <c r="BF9" s="1407"/>
      <c r="BG9" s="1407"/>
      <c r="BH9" s="1407"/>
      <c r="BI9" s="1407"/>
      <c r="BJ9" s="1407"/>
      <c r="BK9" s="1407"/>
      <c r="BL9" s="1407"/>
      <c r="BM9" s="1407"/>
      <c r="BN9" s="1407"/>
      <c r="BO9" s="1407"/>
      <c r="BP9" s="1407"/>
      <c r="BQ9" s="1407"/>
      <c r="BR9" s="1407"/>
      <c r="BS9" s="1407"/>
      <c r="BT9" s="1407"/>
      <c r="BU9" s="1407"/>
      <c r="BV9" s="1407"/>
      <c r="BW9" s="1407"/>
      <c r="BX9" s="1407"/>
      <c r="BY9" s="1407"/>
      <c r="BZ9" s="1407"/>
      <c r="CA9" s="1407"/>
      <c r="CB9" s="1407"/>
      <c r="CC9" s="1407"/>
      <c r="CD9" s="1407"/>
      <c r="CE9" s="1407"/>
      <c r="CF9" s="1407"/>
      <c r="CG9" s="1407"/>
      <c r="CH9" s="1407"/>
      <c r="CI9" s="1407"/>
      <c r="CJ9" s="1407"/>
      <c r="CK9" s="1407"/>
      <c r="CL9" s="1407"/>
      <c r="CM9" s="1407"/>
    </row>
    <row r="10" spans="1:91" s="1129" customFormat="1" ht="15" customHeight="1" thickBot="1">
      <c r="A10" s="2151"/>
      <c r="B10" s="2146"/>
      <c r="C10" s="1491" t="s">
        <v>1583</v>
      </c>
      <c r="D10" s="2021">
        <v>0</v>
      </c>
      <c r="E10" s="2146"/>
      <c r="F10" s="1404"/>
      <c r="G10" s="1407"/>
      <c r="H10" s="1407"/>
      <c r="I10" s="1407"/>
      <c r="J10" s="1407"/>
      <c r="K10" s="1407"/>
      <c r="L10" s="1407"/>
      <c r="M10" s="1407"/>
      <c r="N10" s="1407"/>
      <c r="O10" s="1407"/>
      <c r="P10" s="1407"/>
      <c r="Q10" s="1407"/>
      <c r="R10" s="1407"/>
      <c r="S10" s="1407"/>
      <c r="T10" s="1407"/>
      <c r="U10" s="1407"/>
      <c r="V10" s="1407"/>
      <c r="W10" s="1407"/>
      <c r="X10" s="1407"/>
      <c r="Y10" s="1407"/>
      <c r="Z10" s="1407"/>
      <c r="AA10" s="1407"/>
      <c r="AB10" s="1407"/>
      <c r="AC10" s="1407"/>
      <c r="AD10" s="1407"/>
      <c r="AE10" s="1407"/>
      <c r="AF10" s="1407"/>
      <c r="AG10" s="1407"/>
      <c r="AH10" s="1407"/>
      <c r="AI10" s="1407"/>
      <c r="AJ10" s="1407"/>
      <c r="AK10" s="1407"/>
      <c r="AL10" s="1407"/>
      <c r="AM10" s="1407"/>
      <c r="AN10" s="1407"/>
      <c r="AO10" s="1407"/>
      <c r="AP10" s="1407"/>
      <c r="AQ10" s="1407"/>
      <c r="AR10" s="1407"/>
      <c r="AS10" s="1407"/>
      <c r="AT10" s="1407"/>
      <c r="AU10" s="1407"/>
      <c r="AV10" s="1407"/>
      <c r="AW10" s="1407"/>
      <c r="AX10" s="1407"/>
      <c r="AY10" s="1407"/>
      <c r="AZ10" s="1407"/>
      <c r="BA10" s="1407"/>
      <c r="BB10" s="1407"/>
      <c r="BC10" s="1407"/>
      <c r="BD10" s="1407"/>
      <c r="BE10" s="1407"/>
      <c r="BF10" s="1407"/>
      <c r="BG10" s="1407"/>
      <c r="BH10" s="1407"/>
      <c r="BI10" s="1407"/>
      <c r="BJ10" s="1407"/>
      <c r="BK10" s="1407"/>
      <c r="BL10" s="1407"/>
      <c r="BM10" s="1407"/>
      <c r="BN10" s="1407"/>
      <c r="BO10" s="1407"/>
      <c r="BP10" s="1407"/>
      <c r="BQ10" s="1407"/>
      <c r="BR10" s="1407"/>
      <c r="BS10" s="1407"/>
      <c r="BT10" s="1407"/>
      <c r="BU10" s="1407"/>
      <c r="BV10" s="1407"/>
      <c r="BW10" s="1407"/>
      <c r="BX10" s="1407"/>
      <c r="BY10" s="1407"/>
      <c r="BZ10" s="1407"/>
      <c r="CA10" s="1407"/>
      <c r="CB10" s="1407"/>
      <c r="CC10" s="1407"/>
      <c r="CD10" s="1407"/>
      <c r="CE10" s="1407"/>
      <c r="CF10" s="1407"/>
      <c r="CG10" s="1407"/>
      <c r="CH10" s="1407"/>
      <c r="CI10" s="1407"/>
      <c r="CJ10" s="1407"/>
      <c r="CK10" s="1407"/>
      <c r="CL10" s="1407"/>
      <c r="CM10" s="1407"/>
    </row>
    <row r="11" spans="1:91" s="1129" customFormat="1" ht="21" customHeight="1" thickBot="1">
      <c r="A11" s="2150" t="s">
        <v>754</v>
      </c>
      <c r="B11" s="2148" t="s">
        <v>1584</v>
      </c>
      <c r="C11" s="136" t="s">
        <v>2224</v>
      </c>
      <c r="D11" s="2022"/>
      <c r="E11" s="2148" t="s">
        <v>2801</v>
      </c>
      <c r="F11" s="1404"/>
      <c r="G11" s="1407"/>
      <c r="H11" s="1407"/>
      <c r="I11" s="1407"/>
      <c r="J11" s="1407"/>
      <c r="K11" s="1407"/>
      <c r="L11" s="1407"/>
      <c r="M11" s="1407"/>
      <c r="N11" s="1407"/>
      <c r="O11" s="1407"/>
      <c r="P11" s="1407"/>
      <c r="Q11" s="1407"/>
      <c r="R11" s="1407"/>
      <c r="S11" s="1407"/>
      <c r="T11" s="1407"/>
      <c r="U11" s="1407"/>
      <c r="V11" s="1407"/>
      <c r="W11" s="1407"/>
      <c r="X11" s="1407"/>
      <c r="Y11" s="1407"/>
      <c r="Z11" s="1407"/>
      <c r="AA11" s="1407"/>
      <c r="AB11" s="1407"/>
      <c r="AC11" s="1407"/>
      <c r="AD11" s="1407"/>
      <c r="AE11" s="1407"/>
      <c r="AF11" s="1407"/>
      <c r="AG11" s="1407"/>
      <c r="AH11" s="1407"/>
      <c r="AI11" s="1407"/>
      <c r="AJ11" s="1407"/>
      <c r="AK11" s="1407"/>
      <c r="AL11" s="1407"/>
      <c r="AM11" s="1407"/>
      <c r="AN11" s="1407"/>
      <c r="AO11" s="1407"/>
      <c r="AP11" s="1407"/>
      <c r="AQ11" s="1407"/>
      <c r="AR11" s="1407"/>
      <c r="AS11" s="1407"/>
      <c r="AT11" s="1407"/>
      <c r="AU11" s="1407"/>
      <c r="AV11" s="1407"/>
      <c r="AW11" s="1407"/>
      <c r="AX11" s="1407"/>
      <c r="AY11" s="1407"/>
      <c r="AZ11" s="1407"/>
      <c r="BA11" s="1407"/>
      <c r="BB11" s="1407"/>
      <c r="BC11" s="1407"/>
      <c r="BD11" s="1407"/>
      <c r="BE11" s="1407"/>
      <c r="BF11" s="1407"/>
      <c r="BG11" s="1407"/>
      <c r="BH11" s="1407"/>
      <c r="BI11" s="1407"/>
      <c r="BJ11" s="1407"/>
      <c r="BK11" s="1407"/>
      <c r="BL11" s="1407"/>
      <c r="BM11" s="1407"/>
      <c r="BN11" s="1407"/>
      <c r="BO11" s="1407"/>
      <c r="BP11" s="1407"/>
      <c r="BQ11" s="1407"/>
      <c r="BR11" s="1407"/>
      <c r="BS11" s="1407"/>
      <c r="BT11" s="1407"/>
      <c r="BU11" s="1407"/>
      <c r="BV11" s="1407"/>
      <c r="BW11" s="1407"/>
      <c r="BX11" s="1407"/>
      <c r="BY11" s="1407"/>
      <c r="BZ11" s="1407"/>
      <c r="CA11" s="1407"/>
      <c r="CB11" s="1407"/>
      <c r="CC11" s="1407"/>
      <c r="CD11" s="1407"/>
      <c r="CE11" s="1407"/>
      <c r="CF11" s="1407"/>
      <c r="CG11" s="1407"/>
      <c r="CH11" s="1407"/>
      <c r="CI11" s="1407"/>
      <c r="CJ11" s="1407"/>
      <c r="CK11" s="1407"/>
      <c r="CL11" s="1407"/>
      <c r="CM11" s="1407"/>
    </row>
    <row r="12" spans="1:91" s="1129" customFormat="1" ht="15" customHeight="1" thickBot="1">
      <c r="A12" s="2151"/>
      <c r="B12" s="2146"/>
      <c r="C12" s="1488" t="s">
        <v>2485</v>
      </c>
      <c r="D12" s="2020">
        <v>0</v>
      </c>
      <c r="E12" s="2146"/>
      <c r="F12" s="1404"/>
      <c r="G12" s="1407"/>
      <c r="H12" s="1407"/>
      <c r="I12" s="1407"/>
      <c r="J12" s="1407"/>
      <c r="K12" s="1407"/>
      <c r="L12" s="1407"/>
      <c r="M12" s="1407"/>
      <c r="N12" s="1407"/>
      <c r="O12" s="1407"/>
      <c r="P12" s="1407"/>
      <c r="Q12" s="1407"/>
      <c r="R12" s="1407"/>
      <c r="S12" s="1407"/>
      <c r="T12" s="1407"/>
      <c r="U12" s="1407"/>
      <c r="V12" s="1407"/>
      <c r="W12" s="1407"/>
      <c r="X12" s="1407"/>
      <c r="Y12" s="1407"/>
      <c r="Z12" s="1407"/>
      <c r="AA12" s="1407"/>
      <c r="AB12" s="1407"/>
      <c r="AC12" s="1407"/>
      <c r="AD12" s="1407"/>
      <c r="AE12" s="1407"/>
      <c r="AF12" s="1407"/>
      <c r="AG12" s="1407"/>
      <c r="AH12" s="1407"/>
      <c r="AI12" s="1407"/>
      <c r="AJ12" s="1407"/>
      <c r="AK12" s="1407"/>
      <c r="AL12" s="1407"/>
      <c r="AM12" s="1407"/>
      <c r="AN12" s="1407"/>
      <c r="AO12" s="1407"/>
      <c r="AP12" s="1407"/>
      <c r="AQ12" s="1407"/>
      <c r="AR12" s="1407"/>
      <c r="AS12" s="1407"/>
      <c r="AT12" s="1407"/>
      <c r="AU12" s="1407"/>
      <c r="AV12" s="1407"/>
      <c r="AW12" s="1407"/>
      <c r="AX12" s="1407"/>
      <c r="AY12" s="1407"/>
      <c r="AZ12" s="1407"/>
      <c r="BA12" s="1407"/>
      <c r="BB12" s="1407"/>
      <c r="BC12" s="1407"/>
      <c r="BD12" s="1407"/>
      <c r="BE12" s="1407"/>
      <c r="BF12" s="1407"/>
      <c r="BG12" s="1407"/>
      <c r="BH12" s="1407"/>
      <c r="BI12" s="1407"/>
      <c r="BJ12" s="1407"/>
      <c r="BK12" s="1407"/>
      <c r="BL12" s="1407"/>
      <c r="BM12" s="1407"/>
      <c r="BN12" s="1407"/>
      <c r="BO12" s="1407"/>
      <c r="BP12" s="1407"/>
      <c r="BQ12" s="1407"/>
      <c r="BR12" s="1407"/>
      <c r="BS12" s="1407"/>
      <c r="BT12" s="1407"/>
      <c r="BU12" s="1407"/>
      <c r="BV12" s="1407"/>
      <c r="BW12" s="1407"/>
      <c r="BX12" s="1407"/>
      <c r="BY12" s="1407"/>
      <c r="BZ12" s="1407"/>
      <c r="CA12" s="1407"/>
      <c r="CB12" s="1407"/>
      <c r="CC12" s="1407"/>
      <c r="CD12" s="1407"/>
      <c r="CE12" s="1407"/>
      <c r="CF12" s="1407"/>
      <c r="CG12" s="1407"/>
      <c r="CH12" s="1407"/>
      <c r="CI12" s="1407"/>
      <c r="CJ12" s="1407"/>
      <c r="CK12" s="1407"/>
      <c r="CL12" s="1407"/>
      <c r="CM12" s="1407"/>
    </row>
    <row r="13" spans="1:91" s="1129" customFormat="1" ht="15" customHeight="1" thickBot="1">
      <c r="A13" s="2151"/>
      <c r="B13" s="2146"/>
      <c r="C13" s="1489" t="s">
        <v>1543</v>
      </c>
      <c r="D13" s="2020">
        <v>0</v>
      </c>
      <c r="E13" s="2146"/>
      <c r="F13" s="1404"/>
      <c r="G13" s="1407"/>
      <c r="H13" s="1407"/>
      <c r="I13" s="1407"/>
      <c r="J13" s="1407"/>
      <c r="K13" s="1407"/>
      <c r="L13" s="1407"/>
      <c r="M13" s="1407"/>
      <c r="N13" s="1407"/>
      <c r="O13" s="1407"/>
      <c r="P13" s="1407"/>
      <c r="Q13" s="1407"/>
      <c r="R13" s="1407"/>
      <c r="S13" s="1407"/>
      <c r="T13" s="1407"/>
      <c r="U13" s="1407"/>
      <c r="V13" s="1407"/>
      <c r="W13" s="1407"/>
      <c r="X13" s="1407"/>
      <c r="Y13" s="1407"/>
      <c r="Z13" s="1407"/>
      <c r="AA13" s="1407"/>
      <c r="AB13" s="1407"/>
      <c r="AC13" s="1407"/>
      <c r="AD13" s="1407"/>
      <c r="AE13" s="1407"/>
      <c r="AF13" s="1407"/>
      <c r="AG13" s="1407"/>
      <c r="AH13" s="1407"/>
      <c r="AI13" s="1407"/>
      <c r="AJ13" s="1407"/>
      <c r="AK13" s="1407"/>
      <c r="AL13" s="1407"/>
      <c r="AM13" s="1407"/>
      <c r="AN13" s="1407"/>
      <c r="AO13" s="1407"/>
      <c r="AP13" s="1407"/>
      <c r="AQ13" s="1407"/>
      <c r="AR13" s="1407"/>
      <c r="AS13" s="1407"/>
      <c r="AT13" s="1407"/>
      <c r="AU13" s="1407"/>
      <c r="AV13" s="1407"/>
      <c r="AW13" s="1407"/>
      <c r="AX13" s="1407"/>
      <c r="AY13" s="1407"/>
      <c r="AZ13" s="1407"/>
      <c r="BA13" s="1407"/>
      <c r="BB13" s="1407"/>
      <c r="BC13" s="1407"/>
      <c r="BD13" s="1407"/>
      <c r="BE13" s="1407"/>
      <c r="BF13" s="1407"/>
      <c r="BG13" s="1407"/>
      <c r="BH13" s="1407"/>
      <c r="BI13" s="1407"/>
      <c r="BJ13" s="1407"/>
      <c r="BK13" s="1407"/>
      <c r="BL13" s="1407"/>
      <c r="BM13" s="1407"/>
      <c r="BN13" s="1407"/>
      <c r="BO13" s="1407"/>
      <c r="BP13" s="1407"/>
      <c r="BQ13" s="1407"/>
      <c r="BR13" s="1407"/>
      <c r="BS13" s="1407"/>
      <c r="BT13" s="1407"/>
      <c r="BU13" s="1407"/>
      <c r="BV13" s="1407"/>
      <c r="BW13" s="1407"/>
      <c r="BX13" s="1407"/>
      <c r="BY13" s="1407"/>
      <c r="BZ13" s="1407"/>
      <c r="CA13" s="1407"/>
      <c r="CB13" s="1407"/>
      <c r="CC13" s="1407"/>
      <c r="CD13" s="1407"/>
      <c r="CE13" s="1407"/>
      <c r="CF13" s="1407"/>
      <c r="CG13" s="1407"/>
      <c r="CH13" s="1407"/>
      <c r="CI13" s="1407"/>
      <c r="CJ13" s="1407"/>
      <c r="CK13" s="1407"/>
      <c r="CL13" s="1407"/>
      <c r="CM13" s="1407"/>
    </row>
    <row r="14" spans="1:91" s="1129" customFormat="1" ht="15" customHeight="1" thickBot="1">
      <c r="A14" s="2151"/>
      <c r="B14" s="2146"/>
      <c r="C14" s="1489" t="s">
        <v>1544</v>
      </c>
      <c r="D14" s="2020">
        <v>0</v>
      </c>
      <c r="E14" s="2146"/>
      <c r="F14" s="1404"/>
      <c r="G14" s="1407"/>
      <c r="H14" s="1407"/>
      <c r="I14" s="1407"/>
      <c r="J14" s="1407"/>
      <c r="K14" s="1407"/>
      <c r="L14" s="1407"/>
      <c r="M14" s="1407"/>
      <c r="N14" s="1407"/>
      <c r="O14" s="1407"/>
      <c r="P14" s="1407"/>
      <c r="Q14" s="1407"/>
      <c r="R14" s="1407"/>
      <c r="S14" s="1407"/>
      <c r="T14" s="1407"/>
      <c r="U14" s="1407"/>
      <c r="V14" s="1407"/>
      <c r="W14" s="1407"/>
      <c r="X14" s="1407"/>
      <c r="Y14" s="1407"/>
      <c r="Z14" s="1407"/>
      <c r="AA14" s="1407"/>
      <c r="AB14" s="1407"/>
      <c r="AC14" s="1407"/>
      <c r="AD14" s="1407"/>
      <c r="AE14" s="1407"/>
      <c r="AF14" s="1407"/>
      <c r="AG14" s="1407"/>
      <c r="AH14" s="1407"/>
      <c r="AI14" s="1407"/>
      <c r="AJ14" s="1407"/>
      <c r="AK14" s="1407"/>
      <c r="AL14" s="1407"/>
      <c r="AM14" s="1407"/>
      <c r="AN14" s="1407"/>
      <c r="AO14" s="1407"/>
      <c r="AP14" s="1407"/>
      <c r="AQ14" s="1407"/>
      <c r="AR14" s="1407"/>
      <c r="AS14" s="1407"/>
      <c r="AT14" s="1407"/>
      <c r="AU14" s="1407"/>
      <c r="AV14" s="1407"/>
      <c r="AW14" s="1407"/>
      <c r="AX14" s="1407"/>
      <c r="AY14" s="1407"/>
      <c r="AZ14" s="1407"/>
      <c r="BA14" s="1407"/>
      <c r="BB14" s="1407"/>
      <c r="BC14" s="1407"/>
      <c r="BD14" s="1407"/>
      <c r="BE14" s="1407"/>
      <c r="BF14" s="1407"/>
      <c r="BG14" s="1407"/>
      <c r="BH14" s="1407"/>
      <c r="BI14" s="1407"/>
      <c r="BJ14" s="1407"/>
      <c r="BK14" s="1407"/>
      <c r="BL14" s="1407"/>
      <c r="BM14" s="1407"/>
      <c r="BN14" s="1407"/>
      <c r="BO14" s="1407"/>
      <c r="BP14" s="1407"/>
      <c r="BQ14" s="1407"/>
      <c r="BR14" s="1407"/>
      <c r="BS14" s="1407"/>
      <c r="BT14" s="1407"/>
      <c r="BU14" s="1407"/>
      <c r="BV14" s="1407"/>
      <c r="BW14" s="1407"/>
      <c r="BX14" s="1407"/>
      <c r="BY14" s="1407"/>
      <c r="BZ14" s="1407"/>
      <c r="CA14" s="1407"/>
      <c r="CB14" s="1407"/>
      <c r="CC14" s="1407"/>
      <c r="CD14" s="1407"/>
      <c r="CE14" s="1407"/>
      <c r="CF14" s="1407"/>
      <c r="CG14" s="1407"/>
      <c r="CH14" s="1407"/>
      <c r="CI14" s="1407"/>
      <c r="CJ14" s="1407"/>
      <c r="CK14" s="1407"/>
      <c r="CL14" s="1407"/>
      <c r="CM14" s="1407"/>
    </row>
    <row r="15" spans="1:91" s="1129" customFormat="1" ht="15" customHeight="1" thickBot="1">
      <c r="A15" s="2151"/>
      <c r="B15" s="2146"/>
      <c r="C15" s="1490" t="s">
        <v>1545</v>
      </c>
      <c r="D15" s="2020">
        <v>0</v>
      </c>
      <c r="E15" s="2146"/>
      <c r="F15" s="1404"/>
      <c r="G15" s="1407"/>
      <c r="H15" s="1407"/>
      <c r="I15" s="1407"/>
      <c r="J15" s="1407"/>
      <c r="K15" s="1407"/>
      <c r="L15" s="1407"/>
      <c r="M15" s="1407"/>
      <c r="N15" s="1407"/>
      <c r="O15" s="1407"/>
      <c r="P15" s="1407"/>
      <c r="Q15" s="1407"/>
      <c r="R15" s="1407"/>
      <c r="S15" s="1407"/>
      <c r="T15" s="1407"/>
      <c r="U15" s="1407"/>
      <c r="V15" s="1407"/>
      <c r="W15" s="1407"/>
      <c r="X15" s="1407"/>
      <c r="Y15" s="1407"/>
      <c r="Z15" s="1407"/>
      <c r="AA15" s="1407"/>
      <c r="AB15" s="1407"/>
      <c r="AC15" s="1407"/>
      <c r="AD15" s="1407"/>
      <c r="AE15" s="1407"/>
      <c r="AF15" s="1407"/>
      <c r="AG15" s="1407"/>
      <c r="AH15" s="1407"/>
      <c r="AI15" s="1407"/>
      <c r="AJ15" s="1407"/>
      <c r="AK15" s="1407"/>
      <c r="AL15" s="1407"/>
      <c r="AM15" s="1407"/>
      <c r="AN15" s="1407"/>
      <c r="AO15" s="1407"/>
      <c r="AP15" s="1407"/>
      <c r="AQ15" s="1407"/>
      <c r="AR15" s="1407"/>
      <c r="AS15" s="1407"/>
      <c r="AT15" s="1407"/>
      <c r="AU15" s="1407"/>
      <c r="AV15" s="1407"/>
      <c r="AW15" s="1407"/>
      <c r="AX15" s="1407"/>
      <c r="AY15" s="1407"/>
      <c r="AZ15" s="1407"/>
      <c r="BA15" s="1407"/>
      <c r="BB15" s="1407"/>
      <c r="BC15" s="1407"/>
      <c r="BD15" s="1407"/>
      <c r="BE15" s="1407"/>
      <c r="BF15" s="1407"/>
      <c r="BG15" s="1407"/>
      <c r="BH15" s="1407"/>
      <c r="BI15" s="1407"/>
      <c r="BJ15" s="1407"/>
      <c r="BK15" s="1407"/>
      <c r="BL15" s="1407"/>
      <c r="BM15" s="1407"/>
      <c r="BN15" s="1407"/>
      <c r="BO15" s="1407"/>
      <c r="BP15" s="1407"/>
      <c r="BQ15" s="1407"/>
      <c r="BR15" s="1407"/>
      <c r="BS15" s="1407"/>
      <c r="BT15" s="1407"/>
      <c r="BU15" s="1407"/>
      <c r="BV15" s="1407"/>
      <c r="BW15" s="1407"/>
      <c r="BX15" s="1407"/>
      <c r="BY15" s="1407"/>
      <c r="BZ15" s="1407"/>
      <c r="CA15" s="1407"/>
      <c r="CB15" s="1407"/>
      <c r="CC15" s="1407"/>
      <c r="CD15" s="1407"/>
      <c r="CE15" s="1407"/>
      <c r="CF15" s="1407"/>
      <c r="CG15" s="1407"/>
      <c r="CH15" s="1407"/>
      <c r="CI15" s="1407"/>
      <c r="CJ15" s="1407"/>
      <c r="CK15" s="1407"/>
      <c r="CL15" s="1407"/>
      <c r="CM15" s="1407"/>
    </row>
    <row r="16" spans="1:91" s="1129" customFormat="1" ht="15" customHeight="1" thickBot="1">
      <c r="A16" s="2151"/>
      <c r="B16" s="2146"/>
      <c r="C16" s="1490" t="s">
        <v>1546</v>
      </c>
      <c r="D16" s="2020">
        <v>0</v>
      </c>
      <c r="E16" s="2146"/>
      <c r="F16" s="1404"/>
      <c r="G16" s="1407"/>
      <c r="H16" s="1407"/>
      <c r="I16" s="1407"/>
      <c r="J16" s="1407"/>
      <c r="K16" s="1407"/>
      <c r="L16" s="1407"/>
      <c r="M16" s="1407"/>
      <c r="N16" s="1407"/>
      <c r="O16" s="1407"/>
      <c r="P16" s="1407"/>
      <c r="Q16" s="1407"/>
      <c r="R16" s="1407"/>
      <c r="S16" s="1407"/>
      <c r="T16" s="1407"/>
      <c r="U16" s="1407"/>
      <c r="V16" s="1407"/>
      <c r="W16" s="1407"/>
      <c r="X16" s="1407"/>
      <c r="Y16" s="1407"/>
      <c r="Z16" s="1407"/>
      <c r="AA16" s="1407"/>
      <c r="AB16" s="1407"/>
      <c r="AC16" s="1407"/>
      <c r="AD16" s="1407"/>
      <c r="AE16" s="1407"/>
      <c r="AF16" s="1407"/>
      <c r="AG16" s="1407"/>
      <c r="AH16" s="1407"/>
      <c r="AI16" s="1407"/>
      <c r="AJ16" s="1407"/>
      <c r="AK16" s="1407"/>
      <c r="AL16" s="1407"/>
      <c r="AM16" s="1407"/>
      <c r="AN16" s="1407"/>
      <c r="AO16" s="1407"/>
      <c r="AP16" s="1407"/>
      <c r="AQ16" s="1407"/>
      <c r="AR16" s="1407"/>
      <c r="AS16" s="1407"/>
      <c r="AT16" s="1407"/>
      <c r="AU16" s="1407"/>
      <c r="AV16" s="1407"/>
      <c r="AW16" s="1407"/>
      <c r="AX16" s="1407"/>
      <c r="AY16" s="1407"/>
      <c r="AZ16" s="1407"/>
      <c r="BA16" s="1407"/>
      <c r="BB16" s="1407"/>
      <c r="BC16" s="1407"/>
      <c r="BD16" s="1407"/>
      <c r="BE16" s="1407"/>
      <c r="BF16" s="1407"/>
      <c r="BG16" s="1407"/>
      <c r="BH16" s="1407"/>
      <c r="BI16" s="1407"/>
      <c r="BJ16" s="1407"/>
      <c r="BK16" s="1407"/>
      <c r="BL16" s="1407"/>
      <c r="BM16" s="1407"/>
      <c r="BN16" s="1407"/>
      <c r="BO16" s="1407"/>
      <c r="BP16" s="1407"/>
      <c r="BQ16" s="1407"/>
      <c r="BR16" s="1407"/>
      <c r="BS16" s="1407"/>
      <c r="BT16" s="1407"/>
      <c r="BU16" s="1407"/>
      <c r="BV16" s="1407"/>
      <c r="BW16" s="1407"/>
      <c r="BX16" s="1407"/>
      <c r="BY16" s="1407"/>
      <c r="BZ16" s="1407"/>
      <c r="CA16" s="1407"/>
      <c r="CB16" s="1407"/>
      <c r="CC16" s="1407"/>
      <c r="CD16" s="1407"/>
      <c r="CE16" s="1407"/>
      <c r="CF16" s="1407"/>
      <c r="CG16" s="1407"/>
      <c r="CH16" s="1407"/>
      <c r="CI16" s="1407"/>
      <c r="CJ16" s="1407"/>
      <c r="CK16" s="1407"/>
      <c r="CL16" s="1407"/>
      <c r="CM16" s="1407"/>
    </row>
    <row r="17" spans="1:91" s="1129" customFormat="1" ht="15" customHeight="1" thickBot="1">
      <c r="A17" s="2152"/>
      <c r="B17" s="2149"/>
      <c r="C17" s="1491" t="s">
        <v>1583</v>
      </c>
      <c r="D17" s="2023">
        <v>0</v>
      </c>
      <c r="E17" s="2149"/>
      <c r="F17" s="1404"/>
      <c r="G17" s="1407"/>
      <c r="H17" s="1407"/>
      <c r="I17" s="1407"/>
      <c r="J17" s="1407"/>
      <c r="K17" s="1407"/>
      <c r="L17" s="1407"/>
      <c r="M17" s="1407"/>
      <c r="N17" s="1407"/>
      <c r="O17" s="1407"/>
      <c r="P17" s="1407"/>
      <c r="Q17" s="1407"/>
      <c r="R17" s="1407"/>
      <c r="S17" s="1407"/>
      <c r="T17" s="1407"/>
      <c r="U17" s="1407"/>
      <c r="V17" s="1407"/>
      <c r="W17" s="1407"/>
      <c r="X17" s="1407"/>
      <c r="Y17" s="1407"/>
      <c r="Z17" s="1407"/>
      <c r="AA17" s="1407"/>
      <c r="AB17" s="1407"/>
      <c r="AC17" s="1407"/>
      <c r="AD17" s="1407"/>
      <c r="AE17" s="1407"/>
      <c r="AF17" s="1407"/>
      <c r="AG17" s="1407"/>
      <c r="AH17" s="1407"/>
      <c r="AI17" s="1407"/>
      <c r="AJ17" s="1407"/>
      <c r="AK17" s="1407"/>
      <c r="AL17" s="1407"/>
      <c r="AM17" s="1407"/>
      <c r="AN17" s="1407"/>
      <c r="AO17" s="1407"/>
      <c r="AP17" s="1407"/>
      <c r="AQ17" s="1407"/>
      <c r="AR17" s="1407"/>
      <c r="AS17" s="1407"/>
      <c r="AT17" s="1407"/>
      <c r="AU17" s="1407"/>
      <c r="AV17" s="1407"/>
      <c r="AW17" s="1407"/>
      <c r="AX17" s="1407"/>
      <c r="AY17" s="1407"/>
      <c r="AZ17" s="1407"/>
      <c r="BA17" s="1407"/>
      <c r="BB17" s="1407"/>
      <c r="BC17" s="1407"/>
      <c r="BD17" s="1407"/>
      <c r="BE17" s="1407"/>
      <c r="BF17" s="1407"/>
      <c r="BG17" s="1407"/>
      <c r="BH17" s="1407"/>
      <c r="BI17" s="1407"/>
      <c r="BJ17" s="1407"/>
      <c r="BK17" s="1407"/>
      <c r="BL17" s="1407"/>
      <c r="BM17" s="1407"/>
      <c r="BN17" s="1407"/>
      <c r="BO17" s="1407"/>
      <c r="BP17" s="1407"/>
      <c r="BQ17" s="1407"/>
      <c r="BR17" s="1407"/>
      <c r="BS17" s="1407"/>
      <c r="BT17" s="1407"/>
      <c r="BU17" s="1407"/>
      <c r="BV17" s="1407"/>
      <c r="BW17" s="1407"/>
      <c r="BX17" s="1407"/>
      <c r="BY17" s="1407"/>
      <c r="BZ17" s="1407"/>
      <c r="CA17" s="1407"/>
      <c r="CB17" s="1407"/>
      <c r="CC17" s="1407"/>
      <c r="CD17" s="1407"/>
      <c r="CE17" s="1407"/>
      <c r="CF17" s="1407"/>
      <c r="CG17" s="1407"/>
      <c r="CH17" s="1407"/>
      <c r="CI17" s="1407"/>
      <c r="CJ17" s="1407"/>
      <c r="CK17" s="1407"/>
      <c r="CL17" s="1407"/>
      <c r="CM17" s="1407"/>
    </row>
    <row r="18" spans="1:91" s="1034" customFormat="1" ht="45" customHeight="1" thickBot="1">
      <c r="A18" s="2145" t="s">
        <v>755</v>
      </c>
      <c r="B18" s="2146" t="s">
        <v>1529</v>
      </c>
      <c r="C18" s="1485" t="s">
        <v>2391</v>
      </c>
      <c r="D18" s="2019"/>
      <c r="E18" s="2146" t="s">
        <v>2870</v>
      </c>
      <c r="F18" s="1404"/>
      <c r="G18" s="1404"/>
      <c r="H18" s="1404"/>
      <c r="I18" s="1404"/>
      <c r="J18" s="1404"/>
      <c r="K18" s="1404"/>
      <c r="L18" s="1404"/>
      <c r="M18" s="1404"/>
      <c r="N18" s="1404"/>
      <c r="O18" s="1404"/>
      <c r="P18" s="1404"/>
      <c r="Q18" s="1404"/>
      <c r="R18" s="1404"/>
      <c r="S18" s="1404"/>
      <c r="T18" s="1404"/>
      <c r="U18" s="1404"/>
      <c r="V18" s="1404"/>
      <c r="W18" s="1404"/>
      <c r="X18" s="1404"/>
      <c r="Y18" s="1404"/>
      <c r="Z18" s="1404"/>
      <c r="AA18" s="1404"/>
      <c r="AB18" s="1404"/>
      <c r="AC18" s="1404"/>
      <c r="AD18" s="1404"/>
      <c r="AE18" s="1404"/>
      <c r="AF18" s="1404"/>
      <c r="AG18" s="1404"/>
      <c r="AH18" s="1404"/>
      <c r="AI18" s="1404"/>
      <c r="AJ18" s="1404"/>
      <c r="AK18" s="1404"/>
      <c r="AL18" s="1404"/>
      <c r="AM18" s="1404"/>
      <c r="AN18" s="1404"/>
      <c r="AO18" s="1404"/>
      <c r="AP18" s="1404"/>
      <c r="AQ18" s="1404"/>
      <c r="AR18" s="1404"/>
      <c r="AS18" s="1404"/>
      <c r="AT18" s="1404"/>
      <c r="AU18" s="1404"/>
      <c r="AV18" s="1404"/>
      <c r="AW18" s="1404"/>
      <c r="AX18" s="1404"/>
      <c r="AY18" s="1404"/>
      <c r="AZ18" s="1404"/>
      <c r="BA18" s="1404"/>
      <c r="BB18" s="1404"/>
      <c r="BC18" s="1404"/>
      <c r="BD18" s="1404"/>
      <c r="BE18" s="1404"/>
      <c r="BF18" s="1404"/>
      <c r="BG18" s="1404"/>
      <c r="BH18" s="1404"/>
      <c r="BI18" s="1404"/>
      <c r="BJ18" s="1404"/>
      <c r="BK18" s="1404"/>
      <c r="BL18" s="1404"/>
      <c r="BM18" s="1404"/>
      <c r="BN18" s="1404"/>
      <c r="BO18" s="1404"/>
      <c r="BP18" s="1404"/>
      <c r="BQ18" s="1404"/>
      <c r="BR18" s="1404"/>
      <c r="BS18" s="1404"/>
      <c r="BT18" s="1404"/>
      <c r="BU18" s="1404"/>
      <c r="BV18" s="1404"/>
      <c r="BW18" s="1404"/>
      <c r="BX18" s="1404"/>
      <c r="BY18" s="1404"/>
      <c r="BZ18" s="1404"/>
      <c r="CA18" s="1404"/>
      <c r="CB18" s="1404"/>
      <c r="CC18" s="1404"/>
      <c r="CD18" s="1404"/>
      <c r="CE18" s="1404"/>
      <c r="CF18" s="1404"/>
      <c r="CG18" s="1404"/>
      <c r="CH18" s="1404"/>
      <c r="CI18" s="1404"/>
      <c r="CJ18" s="1404"/>
      <c r="CK18" s="1404"/>
      <c r="CL18" s="1404"/>
      <c r="CM18" s="1404"/>
    </row>
    <row r="19" spans="1:91" s="1035" customFormat="1" ht="15" customHeight="1">
      <c r="A19" s="2145"/>
      <c r="B19" s="2147"/>
      <c r="C19" s="1488" t="s">
        <v>2485</v>
      </c>
      <c r="D19" s="2020">
        <v>0</v>
      </c>
      <c r="E19" s="2147"/>
      <c r="F19" s="1404"/>
      <c r="G19" s="1404"/>
      <c r="H19" s="1404"/>
      <c r="I19" s="1404"/>
      <c r="J19" s="1404"/>
      <c r="K19" s="1404"/>
      <c r="L19" s="1404"/>
      <c r="M19" s="1404"/>
      <c r="N19" s="1404"/>
      <c r="O19" s="1404"/>
      <c r="P19" s="1404"/>
      <c r="Q19" s="1404"/>
      <c r="R19" s="1404"/>
      <c r="S19" s="1404"/>
      <c r="T19" s="1404"/>
      <c r="U19" s="1404"/>
      <c r="V19" s="1404"/>
      <c r="W19" s="1404"/>
      <c r="X19" s="1404"/>
      <c r="Y19" s="1404"/>
      <c r="Z19" s="1404"/>
      <c r="AA19" s="1404"/>
      <c r="AB19" s="1404"/>
      <c r="AC19" s="1404"/>
      <c r="AD19" s="1404"/>
      <c r="AE19" s="1404"/>
      <c r="AF19" s="1404"/>
      <c r="AG19" s="1404"/>
      <c r="AH19" s="1404"/>
      <c r="AI19" s="1404"/>
      <c r="AJ19" s="1404"/>
      <c r="AK19" s="1404"/>
      <c r="AL19" s="1404"/>
      <c r="AM19" s="1404"/>
      <c r="AN19" s="1404"/>
      <c r="AO19" s="1404"/>
      <c r="AP19" s="1404"/>
      <c r="AQ19" s="1404"/>
      <c r="AR19" s="1404"/>
      <c r="AS19" s="1404"/>
      <c r="AT19" s="1404"/>
      <c r="AU19" s="1404"/>
      <c r="AV19" s="1404"/>
      <c r="AW19" s="1404"/>
      <c r="AX19" s="1404"/>
      <c r="AY19" s="1404"/>
      <c r="AZ19" s="1404"/>
      <c r="BA19" s="1404"/>
      <c r="BB19" s="1404"/>
      <c r="BC19" s="1404"/>
      <c r="BD19" s="1404"/>
      <c r="BE19" s="1404"/>
      <c r="BF19" s="1404"/>
      <c r="BG19" s="1404"/>
      <c r="BH19" s="1404"/>
      <c r="BI19" s="1404"/>
      <c r="BJ19" s="1404"/>
      <c r="BK19" s="1404"/>
      <c r="BL19" s="1404"/>
      <c r="BM19" s="1404"/>
      <c r="BN19" s="1404"/>
      <c r="BO19" s="1404"/>
      <c r="BP19" s="1404"/>
      <c r="BQ19" s="1404"/>
      <c r="BR19" s="1404"/>
      <c r="BS19" s="1404"/>
      <c r="BT19" s="1404"/>
      <c r="BU19" s="1404"/>
      <c r="BV19" s="1404"/>
      <c r="BW19" s="1404"/>
      <c r="BX19" s="1404"/>
      <c r="BY19" s="1404"/>
      <c r="BZ19" s="1404"/>
      <c r="CA19" s="1404"/>
      <c r="CB19" s="1404"/>
      <c r="CC19" s="1404"/>
      <c r="CD19" s="1404"/>
      <c r="CE19" s="1404"/>
      <c r="CF19" s="1404"/>
      <c r="CG19" s="1404"/>
      <c r="CH19" s="1404"/>
      <c r="CI19" s="1404"/>
      <c r="CJ19" s="1404"/>
      <c r="CK19" s="1404"/>
      <c r="CL19" s="1404"/>
      <c r="CM19" s="1404"/>
    </row>
    <row r="20" spans="1:91" s="1035" customFormat="1" ht="15" customHeight="1">
      <c r="A20" s="2145"/>
      <c r="B20" s="2147"/>
      <c r="C20" s="1489" t="s">
        <v>1543</v>
      </c>
      <c r="D20" s="2020">
        <v>0</v>
      </c>
      <c r="E20" s="2147"/>
      <c r="F20" s="1404"/>
      <c r="G20" s="1404"/>
      <c r="H20" s="1404"/>
      <c r="I20" s="1404"/>
      <c r="J20" s="1404"/>
      <c r="K20" s="1404"/>
      <c r="L20" s="1404"/>
      <c r="M20" s="1404"/>
      <c r="N20" s="1404"/>
      <c r="O20" s="1404"/>
      <c r="P20" s="1404"/>
      <c r="Q20" s="1404"/>
      <c r="R20" s="1404"/>
      <c r="S20" s="1404"/>
      <c r="T20" s="1404"/>
      <c r="U20" s="1404"/>
      <c r="V20" s="1404"/>
      <c r="W20" s="1404"/>
      <c r="X20" s="1404"/>
      <c r="Y20" s="1404"/>
      <c r="Z20" s="1404"/>
      <c r="AA20" s="1404"/>
      <c r="AB20" s="1404"/>
      <c r="AC20" s="1404"/>
      <c r="AD20" s="1404"/>
      <c r="AE20" s="1404"/>
      <c r="AF20" s="1404"/>
      <c r="AG20" s="1404"/>
      <c r="AH20" s="1404"/>
      <c r="AI20" s="1404"/>
      <c r="AJ20" s="1404"/>
      <c r="AK20" s="1404"/>
      <c r="AL20" s="1404"/>
      <c r="AM20" s="1404"/>
      <c r="AN20" s="1404"/>
      <c r="AO20" s="1404"/>
      <c r="AP20" s="1404"/>
      <c r="AQ20" s="1404"/>
      <c r="AR20" s="1404"/>
      <c r="AS20" s="1404"/>
      <c r="AT20" s="1404"/>
      <c r="AU20" s="1404"/>
      <c r="AV20" s="1404"/>
      <c r="AW20" s="1404"/>
      <c r="AX20" s="1404"/>
      <c r="AY20" s="1404"/>
      <c r="AZ20" s="1404"/>
      <c r="BA20" s="1404"/>
      <c r="BB20" s="1404"/>
      <c r="BC20" s="1404"/>
      <c r="BD20" s="1404"/>
      <c r="BE20" s="1404"/>
      <c r="BF20" s="1404"/>
      <c r="BG20" s="1404"/>
      <c r="BH20" s="1404"/>
      <c r="BI20" s="1404"/>
      <c r="BJ20" s="1404"/>
      <c r="BK20" s="1404"/>
      <c r="BL20" s="1404"/>
      <c r="BM20" s="1404"/>
      <c r="BN20" s="1404"/>
      <c r="BO20" s="1404"/>
      <c r="BP20" s="1404"/>
      <c r="BQ20" s="1404"/>
      <c r="BR20" s="1404"/>
      <c r="BS20" s="1404"/>
      <c r="BT20" s="1404"/>
      <c r="BU20" s="1404"/>
      <c r="BV20" s="1404"/>
      <c r="BW20" s="1404"/>
      <c r="BX20" s="1404"/>
      <c r="BY20" s="1404"/>
      <c r="BZ20" s="1404"/>
      <c r="CA20" s="1404"/>
      <c r="CB20" s="1404"/>
      <c r="CC20" s="1404"/>
      <c r="CD20" s="1404"/>
      <c r="CE20" s="1404"/>
      <c r="CF20" s="1404"/>
      <c r="CG20" s="1404"/>
      <c r="CH20" s="1404"/>
      <c r="CI20" s="1404"/>
      <c r="CJ20" s="1404"/>
      <c r="CK20" s="1404"/>
      <c r="CL20" s="1404"/>
      <c r="CM20" s="1404"/>
    </row>
    <row r="21" spans="1:91" s="1035" customFormat="1" ht="15" customHeight="1">
      <c r="A21" s="2145"/>
      <c r="B21" s="2147"/>
      <c r="C21" s="1489" t="s">
        <v>1544</v>
      </c>
      <c r="D21" s="2020">
        <v>0</v>
      </c>
      <c r="E21" s="2147"/>
      <c r="F21" s="1404"/>
      <c r="G21" s="1404"/>
      <c r="H21" s="1404"/>
      <c r="I21" s="1404"/>
      <c r="J21" s="1404"/>
      <c r="K21" s="1404"/>
      <c r="L21" s="1404"/>
      <c r="M21" s="1404"/>
      <c r="N21" s="1404"/>
      <c r="O21" s="1404"/>
      <c r="P21" s="1404"/>
      <c r="Q21" s="1404"/>
      <c r="R21" s="1404"/>
      <c r="S21" s="1404"/>
      <c r="T21" s="1404"/>
      <c r="U21" s="1404"/>
      <c r="V21" s="1404"/>
      <c r="W21" s="1404"/>
      <c r="X21" s="1404"/>
      <c r="Y21" s="1404"/>
      <c r="Z21" s="1404"/>
      <c r="AA21" s="1404"/>
      <c r="AB21" s="1404"/>
      <c r="AC21" s="1404"/>
      <c r="AD21" s="1404"/>
      <c r="AE21" s="1404"/>
      <c r="AF21" s="1404"/>
      <c r="AG21" s="1404"/>
      <c r="AH21" s="1404"/>
      <c r="AI21" s="1404"/>
      <c r="AJ21" s="1404"/>
      <c r="AK21" s="1404"/>
      <c r="AL21" s="1404"/>
      <c r="AM21" s="1404"/>
      <c r="AN21" s="1404"/>
      <c r="AO21" s="1404"/>
      <c r="AP21" s="1404"/>
      <c r="AQ21" s="1404"/>
      <c r="AR21" s="1404"/>
      <c r="AS21" s="1404"/>
      <c r="AT21" s="1404"/>
      <c r="AU21" s="1404"/>
      <c r="AV21" s="1404"/>
      <c r="AW21" s="1404"/>
      <c r="AX21" s="1404"/>
      <c r="AY21" s="1404"/>
      <c r="AZ21" s="1404"/>
      <c r="BA21" s="1404"/>
      <c r="BB21" s="1404"/>
      <c r="BC21" s="1404"/>
      <c r="BD21" s="1404"/>
      <c r="BE21" s="1404"/>
      <c r="BF21" s="1404"/>
      <c r="BG21" s="1404"/>
      <c r="BH21" s="1404"/>
      <c r="BI21" s="1404"/>
      <c r="BJ21" s="1404"/>
      <c r="BK21" s="1404"/>
      <c r="BL21" s="1404"/>
      <c r="BM21" s="1404"/>
      <c r="BN21" s="1404"/>
      <c r="BO21" s="1404"/>
      <c r="BP21" s="1404"/>
      <c r="BQ21" s="1404"/>
      <c r="BR21" s="1404"/>
      <c r="BS21" s="1404"/>
      <c r="BT21" s="1404"/>
      <c r="BU21" s="1404"/>
      <c r="BV21" s="1404"/>
      <c r="BW21" s="1404"/>
      <c r="BX21" s="1404"/>
      <c r="BY21" s="1404"/>
      <c r="BZ21" s="1404"/>
      <c r="CA21" s="1404"/>
      <c r="CB21" s="1404"/>
      <c r="CC21" s="1404"/>
      <c r="CD21" s="1404"/>
      <c r="CE21" s="1404"/>
      <c r="CF21" s="1404"/>
      <c r="CG21" s="1404"/>
      <c r="CH21" s="1404"/>
      <c r="CI21" s="1404"/>
      <c r="CJ21" s="1404"/>
      <c r="CK21" s="1404"/>
      <c r="CL21" s="1404"/>
      <c r="CM21" s="1404"/>
    </row>
    <row r="22" spans="1:91" s="1111" customFormat="1" ht="15" customHeight="1">
      <c r="A22" s="2145"/>
      <c r="B22" s="2147"/>
      <c r="C22" s="1490" t="s">
        <v>1545</v>
      </c>
      <c r="D22" s="2020">
        <v>0</v>
      </c>
      <c r="E22" s="2147"/>
      <c r="F22" s="1404"/>
      <c r="G22" s="1404"/>
      <c r="H22" s="1404"/>
      <c r="I22" s="1404"/>
      <c r="J22" s="1404"/>
      <c r="K22" s="1404"/>
      <c r="L22" s="1404"/>
      <c r="M22" s="1404"/>
      <c r="N22" s="1404"/>
      <c r="O22" s="1404"/>
      <c r="P22" s="1404"/>
      <c r="Q22" s="1404"/>
      <c r="R22" s="1404"/>
      <c r="S22" s="1404"/>
      <c r="T22" s="1404"/>
      <c r="U22" s="1404"/>
      <c r="V22" s="1404"/>
      <c r="W22" s="1404"/>
      <c r="X22" s="1404"/>
      <c r="Y22" s="1404"/>
      <c r="Z22" s="1404"/>
      <c r="AA22" s="1404"/>
      <c r="AB22" s="1404"/>
      <c r="AC22" s="1404"/>
      <c r="AD22" s="1404"/>
      <c r="AE22" s="1404"/>
      <c r="AF22" s="1404"/>
      <c r="AG22" s="1404"/>
      <c r="AH22" s="1404"/>
      <c r="AI22" s="1404"/>
      <c r="AJ22" s="1404"/>
      <c r="AK22" s="1404"/>
      <c r="AL22" s="1404"/>
      <c r="AM22" s="1404"/>
      <c r="AN22" s="1404"/>
      <c r="AO22" s="1404"/>
      <c r="AP22" s="1404"/>
      <c r="AQ22" s="1404"/>
      <c r="AR22" s="1404"/>
      <c r="AS22" s="1404"/>
      <c r="AT22" s="1404"/>
      <c r="AU22" s="1404"/>
      <c r="AV22" s="1404"/>
      <c r="AW22" s="1404"/>
      <c r="AX22" s="1404"/>
      <c r="AY22" s="1404"/>
      <c r="AZ22" s="1404"/>
      <c r="BA22" s="1404"/>
      <c r="BB22" s="1404"/>
      <c r="BC22" s="1404"/>
      <c r="BD22" s="1404"/>
      <c r="BE22" s="1404"/>
      <c r="BF22" s="1404"/>
      <c r="BG22" s="1404"/>
      <c r="BH22" s="1404"/>
      <c r="BI22" s="1404"/>
      <c r="BJ22" s="1404"/>
      <c r="BK22" s="1404"/>
      <c r="BL22" s="1404"/>
      <c r="BM22" s="1404"/>
      <c r="BN22" s="1404"/>
      <c r="BO22" s="1404"/>
      <c r="BP22" s="1404"/>
      <c r="BQ22" s="1404"/>
      <c r="BR22" s="1404"/>
      <c r="BS22" s="1404"/>
      <c r="BT22" s="1404"/>
      <c r="BU22" s="1404"/>
      <c r="BV22" s="1404"/>
      <c r="BW22" s="1404"/>
      <c r="BX22" s="1404"/>
      <c r="BY22" s="1404"/>
      <c r="BZ22" s="1404"/>
      <c r="CA22" s="1404"/>
      <c r="CB22" s="1404"/>
      <c r="CC22" s="1404"/>
      <c r="CD22" s="1404"/>
      <c r="CE22" s="1404"/>
      <c r="CF22" s="1404"/>
      <c r="CG22" s="1404"/>
      <c r="CH22" s="1404"/>
      <c r="CI22" s="1404"/>
      <c r="CJ22" s="1404"/>
      <c r="CK22" s="1404"/>
      <c r="CL22" s="1404"/>
      <c r="CM22" s="1404"/>
    </row>
    <row r="23" spans="1:91" s="1111" customFormat="1" ht="15" customHeight="1">
      <c r="A23" s="2145"/>
      <c r="B23" s="2147"/>
      <c r="C23" s="1490" t="s">
        <v>1546</v>
      </c>
      <c r="D23" s="2020">
        <v>0</v>
      </c>
      <c r="E23" s="2147"/>
      <c r="F23" s="1404"/>
      <c r="G23" s="1404"/>
      <c r="H23" s="1404"/>
      <c r="I23" s="1404"/>
      <c r="J23" s="1404"/>
      <c r="K23" s="1404"/>
      <c r="L23" s="1404"/>
      <c r="M23" s="1404"/>
      <c r="N23" s="1404"/>
      <c r="O23" s="1404"/>
      <c r="P23" s="1404"/>
      <c r="Q23" s="1404"/>
      <c r="R23" s="1404"/>
      <c r="S23" s="1404"/>
      <c r="T23" s="1404"/>
      <c r="U23" s="1404"/>
      <c r="V23" s="1404"/>
      <c r="W23" s="1404"/>
      <c r="X23" s="1404"/>
      <c r="Y23" s="1404"/>
      <c r="Z23" s="1404"/>
      <c r="AA23" s="1404"/>
      <c r="AB23" s="1404"/>
      <c r="AC23" s="1404"/>
      <c r="AD23" s="1404"/>
      <c r="AE23" s="1404"/>
      <c r="AF23" s="1404"/>
      <c r="AG23" s="1404"/>
      <c r="AH23" s="1404"/>
      <c r="AI23" s="1404"/>
      <c r="AJ23" s="1404"/>
      <c r="AK23" s="1404"/>
      <c r="AL23" s="1404"/>
      <c r="AM23" s="1404"/>
      <c r="AN23" s="1404"/>
      <c r="AO23" s="1404"/>
      <c r="AP23" s="1404"/>
      <c r="AQ23" s="1404"/>
      <c r="AR23" s="1404"/>
      <c r="AS23" s="1404"/>
      <c r="AT23" s="1404"/>
      <c r="AU23" s="1404"/>
      <c r="AV23" s="1404"/>
      <c r="AW23" s="1404"/>
      <c r="AX23" s="1404"/>
      <c r="AY23" s="1404"/>
      <c r="AZ23" s="1404"/>
      <c r="BA23" s="1404"/>
      <c r="BB23" s="1404"/>
      <c r="BC23" s="1404"/>
      <c r="BD23" s="1404"/>
      <c r="BE23" s="1404"/>
      <c r="BF23" s="1404"/>
      <c r="BG23" s="1404"/>
      <c r="BH23" s="1404"/>
      <c r="BI23" s="1404"/>
      <c r="BJ23" s="1404"/>
      <c r="BK23" s="1404"/>
      <c r="BL23" s="1404"/>
      <c r="BM23" s="1404"/>
      <c r="BN23" s="1404"/>
      <c r="BO23" s="1404"/>
      <c r="BP23" s="1404"/>
      <c r="BQ23" s="1404"/>
      <c r="BR23" s="1404"/>
      <c r="BS23" s="1404"/>
      <c r="BT23" s="1404"/>
      <c r="BU23" s="1404"/>
      <c r="BV23" s="1404"/>
      <c r="BW23" s="1404"/>
      <c r="BX23" s="1404"/>
      <c r="BY23" s="1404"/>
      <c r="BZ23" s="1404"/>
      <c r="CA23" s="1404"/>
      <c r="CB23" s="1404"/>
      <c r="CC23" s="1404"/>
      <c r="CD23" s="1404"/>
      <c r="CE23" s="1404"/>
      <c r="CF23" s="1404"/>
      <c r="CG23" s="1404"/>
      <c r="CH23" s="1404"/>
      <c r="CI23" s="1404"/>
      <c r="CJ23" s="1404"/>
      <c r="CK23" s="1404"/>
      <c r="CL23" s="1404"/>
      <c r="CM23" s="1404"/>
    </row>
    <row r="24" spans="1:91" s="1035" customFormat="1" ht="15" customHeight="1">
      <c r="A24" s="2145"/>
      <c r="B24" s="2147"/>
      <c r="C24" s="1492" t="s">
        <v>1547</v>
      </c>
      <c r="D24" s="2020">
        <v>0</v>
      </c>
      <c r="E24" s="2147"/>
      <c r="F24" s="1404"/>
      <c r="G24" s="1404"/>
      <c r="H24" s="1404"/>
      <c r="I24" s="1404"/>
      <c r="J24" s="1404"/>
      <c r="K24" s="1404"/>
      <c r="L24" s="1404"/>
      <c r="M24" s="1404"/>
      <c r="N24" s="1404"/>
      <c r="O24" s="1404"/>
      <c r="P24" s="1404"/>
      <c r="Q24" s="1404"/>
      <c r="R24" s="1404"/>
      <c r="S24" s="1404"/>
      <c r="T24" s="1404"/>
      <c r="U24" s="1404"/>
      <c r="V24" s="1404"/>
      <c r="W24" s="1404"/>
      <c r="X24" s="1404"/>
      <c r="Y24" s="1404"/>
      <c r="Z24" s="1404"/>
      <c r="AA24" s="1404"/>
      <c r="AB24" s="1404"/>
      <c r="AC24" s="1404"/>
      <c r="AD24" s="1404"/>
      <c r="AE24" s="1404"/>
      <c r="AF24" s="1404"/>
      <c r="AG24" s="1404"/>
      <c r="AH24" s="1404"/>
      <c r="AI24" s="1404"/>
      <c r="AJ24" s="1404"/>
      <c r="AK24" s="1404"/>
      <c r="AL24" s="1404"/>
      <c r="AM24" s="1404"/>
      <c r="AN24" s="1404"/>
      <c r="AO24" s="1404"/>
      <c r="AP24" s="1404"/>
      <c r="AQ24" s="1404"/>
      <c r="AR24" s="1404"/>
      <c r="AS24" s="1404"/>
      <c r="AT24" s="1404"/>
      <c r="AU24" s="1404"/>
      <c r="AV24" s="1404"/>
      <c r="AW24" s="1404"/>
      <c r="AX24" s="1404"/>
      <c r="AY24" s="1404"/>
      <c r="AZ24" s="1404"/>
      <c r="BA24" s="1404"/>
      <c r="BB24" s="1404"/>
      <c r="BC24" s="1404"/>
      <c r="BD24" s="1404"/>
      <c r="BE24" s="1404"/>
      <c r="BF24" s="1404"/>
      <c r="BG24" s="1404"/>
      <c r="BH24" s="1404"/>
      <c r="BI24" s="1404"/>
      <c r="BJ24" s="1404"/>
      <c r="BK24" s="1404"/>
      <c r="BL24" s="1404"/>
      <c r="BM24" s="1404"/>
      <c r="BN24" s="1404"/>
      <c r="BO24" s="1404"/>
      <c r="BP24" s="1404"/>
      <c r="BQ24" s="1404"/>
      <c r="BR24" s="1404"/>
      <c r="BS24" s="1404"/>
      <c r="BT24" s="1404"/>
      <c r="BU24" s="1404"/>
      <c r="BV24" s="1404"/>
      <c r="BW24" s="1404"/>
      <c r="BX24" s="1404"/>
      <c r="BY24" s="1404"/>
      <c r="BZ24" s="1404"/>
      <c r="CA24" s="1404"/>
      <c r="CB24" s="1404"/>
      <c r="CC24" s="1404"/>
      <c r="CD24" s="1404"/>
      <c r="CE24" s="1404"/>
      <c r="CF24" s="1404"/>
      <c r="CG24" s="1404"/>
      <c r="CH24" s="1404"/>
      <c r="CI24" s="1404"/>
      <c r="CJ24" s="1404"/>
      <c r="CK24" s="1404"/>
      <c r="CL24" s="1404"/>
      <c r="CM24" s="1404"/>
    </row>
    <row r="25" spans="1:91" s="1032" customFormat="1" ht="15" customHeight="1" thickBot="1">
      <c r="A25" s="2145"/>
      <c r="B25" s="2147"/>
      <c r="C25" s="1491" t="s">
        <v>2486</v>
      </c>
      <c r="D25" s="2021">
        <v>0</v>
      </c>
      <c r="E25" s="2147"/>
      <c r="F25" s="1404"/>
      <c r="G25" s="1404"/>
      <c r="H25" s="1404"/>
      <c r="I25" s="1404"/>
      <c r="J25" s="1404"/>
      <c r="K25" s="1404"/>
      <c r="L25" s="1404"/>
      <c r="M25" s="1404"/>
      <c r="N25" s="1404"/>
      <c r="O25" s="1404"/>
      <c r="P25" s="1404"/>
      <c r="Q25" s="1404"/>
      <c r="R25" s="1404"/>
      <c r="S25" s="1404"/>
      <c r="T25" s="1404"/>
      <c r="U25" s="1404"/>
      <c r="V25" s="1404"/>
      <c r="W25" s="1404"/>
      <c r="X25" s="1404"/>
      <c r="Y25" s="1404"/>
      <c r="Z25" s="1404"/>
      <c r="AA25" s="1404"/>
      <c r="AB25" s="1404"/>
      <c r="AC25" s="1404"/>
      <c r="AD25" s="1404"/>
      <c r="AE25" s="1404"/>
      <c r="AF25" s="1404"/>
      <c r="AG25" s="1404"/>
      <c r="AH25" s="1404"/>
      <c r="AI25" s="1404"/>
      <c r="AJ25" s="1404"/>
      <c r="AK25" s="1404"/>
      <c r="AL25" s="1404"/>
      <c r="AM25" s="1404"/>
      <c r="AN25" s="1404"/>
      <c r="AO25" s="1404"/>
      <c r="AP25" s="1404"/>
      <c r="AQ25" s="1404"/>
      <c r="AR25" s="1404"/>
      <c r="AS25" s="1404"/>
      <c r="AT25" s="1404"/>
      <c r="AU25" s="1404"/>
      <c r="AV25" s="1404"/>
      <c r="AW25" s="1404"/>
      <c r="AX25" s="1404"/>
      <c r="AY25" s="1404"/>
      <c r="AZ25" s="1404"/>
      <c r="BA25" s="1404"/>
      <c r="BB25" s="1404"/>
      <c r="BC25" s="1404"/>
      <c r="BD25" s="1404"/>
      <c r="BE25" s="1404"/>
      <c r="BF25" s="1404"/>
      <c r="BG25" s="1404"/>
      <c r="BH25" s="1404"/>
      <c r="BI25" s="1404"/>
      <c r="BJ25" s="1404"/>
      <c r="BK25" s="1404"/>
      <c r="BL25" s="1404"/>
      <c r="BM25" s="1404"/>
      <c r="BN25" s="1404"/>
      <c r="BO25" s="1404"/>
      <c r="BP25" s="1404"/>
      <c r="BQ25" s="1404"/>
      <c r="BR25" s="1404"/>
      <c r="BS25" s="1404"/>
      <c r="BT25" s="1404"/>
      <c r="BU25" s="1404"/>
      <c r="BV25" s="1404"/>
      <c r="BW25" s="1404"/>
      <c r="BX25" s="1404"/>
      <c r="BY25" s="1404"/>
      <c r="BZ25" s="1404"/>
      <c r="CA25" s="1404"/>
      <c r="CB25" s="1404"/>
      <c r="CC25" s="1404"/>
      <c r="CD25" s="1404"/>
      <c r="CE25" s="1404"/>
      <c r="CF25" s="1404"/>
      <c r="CG25" s="1404"/>
      <c r="CH25" s="1404"/>
      <c r="CI25" s="1404"/>
      <c r="CJ25" s="1404"/>
      <c r="CK25" s="1404"/>
      <c r="CL25" s="1404"/>
      <c r="CM25" s="1404"/>
    </row>
    <row r="26" spans="1:91" s="1034" customFormat="1" ht="30" customHeight="1" thickBot="1">
      <c r="A26" s="2155" t="s">
        <v>756</v>
      </c>
      <c r="B26" s="2148" t="s">
        <v>1574</v>
      </c>
      <c r="C26" s="405" t="s">
        <v>2989</v>
      </c>
      <c r="D26" s="2022"/>
      <c r="E26" s="2148" t="s">
        <v>2881</v>
      </c>
      <c r="F26" s="1404"/>
      <c r="G26" s="1404"/>
      <c r="H26" s="1404"/>
      <c r="I26" s="1404"/>
      <c r="J26" s="1404"/>
      <c r="K26" s="1404"/>
      <c r="L26" s="1404"/>
      <c r="M26" s="1404"/>
      <c r="N26" s="1404"/>
      <c r="O26" s="1404"/>
      <c r="P26" s="1404"/>
      <c r="Q26" s="1404"/>
      <c r="R26" s="1404"/>
      <c r="S26" s="1404"/>
      <c r="T26" s="1404"/>
      <c r="U26" s="1404"/>
      <c r="V26" s="1404"/>
      <c r="W26" s="1404"/>
      <c r="X26" s="1404"/>
      <c r="Y26" s="1404"/>
      <c r="Z26" s="1404"/>
      <c r="AA26" s="1404"/>
      <c r="AB26" s="1404"/>
      <c r="AC26" s="1404"/>
      <c r="AD26" s="1404"/>
      <c r="AE26" s="1404"/>
      <c r="AF26" s="1404"/>
      <c r="AG26" s="1404"/>
      <c r="AH26" s="1404"/>
      <c r="AI26" s="1404"/>
      <c r="AJ26" s="1404"/>
      <c r="AK26" s="1404"/>
      <c r="AL26" s="1404"/>
      <c r="AM26" s="1404"/>
      <c r="AN26" s="1404"/>
      <c r="AO26" s="1404"/>
      <c r="AP26" s="1404"/>
      <c r="AQ26" s="1404"/>
      <c r="AR26" s="1404"/>
      <c r="AS26" s="1404"/>
      <c r="AT26" s="1404"/>
      <c r="AU26" s="1404"/>
      <c r="AV26" s="1404"/>
      <c r="AW26" s="1404"/>
      <c r="AX26" s="1404"/>
      <c r="AY26" s="1404"/>
      <c r="AZ26" s="1404"/>
      <c r="BA26" s="1404"/>
      <c r="BB26" s="1404"/>
      <c r="BC26" s="1404"/>
      <c r="BD26" s="1404"/>
      <c r="BE26" s="1404"/>
      <c r="BF26" s="1404"/>
      <c r="BG26" s="1404"/>
      <c r="BH26" s="1404"/>
      <c r="BI26" s="1404"/>
      <c r="BJ26" s="1404"/>
      <c r="BK26" s="1404"/>
      <c r="BL26" s="1404"/>
      <c r="BM26" s="1404"/>
      <c r="BN26" s="1404"/>
      <c r="BO26" s="1404"/>
      <c r="BP26" s="1404"/>
      <c r="BQ26" s="1404"/>
      <c r="BR26" s="1404"/>
      <c r="BS26" s="1404"/>
      <c r="BT26" s="1404"/>
      <c r="BU26" s="1404"/>
      <c r="BV26" s="1404"/>
      <c r="BW26" s="1404"/>
      <c r="BX26" s="1404"/>
      <c r="BY26" s="1404"/>
      <c r="BZ26" s="1404"/>
      <c r="CA26" s="1404"/>
      <c r="CB26" s="1404"/>
      <c r="CC26" s="1404"/>
      <c r="CD26" s="1404"/>
      <c r="CE26" s="1404"/>
      <c r="CF26" s="1404"/>
      <c r="CG26" s="1404"/>
      <c r="CH26" s="1404"/>
      <c r="CI26" s="1404"/>
      <c r="CJ26" s="1404"/>
      <c r="CK26" s="1404"/>
      <c r="CL26" s="1404"/>
      <c r="CM26" s="1404"/>
    </row>
    <row r="27" spans="1:91" s="1035" customFormat="1" ht="27" customHeight="1">
      <c r="A27" s="2145"/>
      <c r="B27" s="2147"/>
      <c r="C27" s="1493" t="s">
        <v>2392</v>
      </c>
      <c r="D27" s="2020">
        <v>0</v>
      </c>
      <c r="E27" s="2147"/>
      <c r="F27" s="1404"/>
      <c r="G27" s="1404"/>
      <c r="H27" s="1404"/>
      <c r="I27" s="1404"/>
      <c r="J27" s="1404"/>
      <c r="K27" s="1404"/>
      <c r="L27" s="1404"/>
      <c r="M27" s="1404"/>
      <c r="N27" s="1404"/>
      <c r="O27" s="1404"/>
      <c r="P27" s="1404"/>
      <c r="Q27" s="1404"/>
      <c r="R27" s="1404"/>
      <c r="S27" s="1404"/>
      <c r="T27" s="1404"/>
      <c r="U27" s="1404"/>
      <c r="V27" s="1404"/>
      <c r="W27" s="1404"/>
      <c r="X27" s="1404"/>
      <c r="Y27" s="1404"/>
      <c r="Z27" s="1404"/>
      <c r="AA27" s="1404"/>
      <c r="AB27" s="1404"/>
      <c r="AC27" s="1404"/>
      <c r="AD27" s="1404"/>
      <c r="AE27" s="1404"/>
      <c r="AF27" s="1404"/>
      <c r="AG27" s="1404"/>
      <c r="AH27" s="1404"/>
      <c r="AI27" s="1404"/>
      <c r="AJ27" s="1404"/>
      <c r="AK27" s="1404"/>
      <c r="AL27" s="1404"/>
      <c r="AM27" s="1404"/>
      <c r="AN27" s="1404"/>
      <c r="AO27" s="1404"/>
      <c r="AP27" s="1404"/>
      <c r="AQ27" s="1404"/>
      <c r="AR27" s="1404"/>
      <c r="AS27" s="1404"/>
      <c r="AT27" s="1404"/>
      <c r="AU27" s="1404"/>
      <c r="AV27" s="1404"/>
      <c r="AW27" s="1404"/>
      <c r="AX27" s="1404"/>
      <c r="AY27" s="1404"/>
      <c r="AZ27" s="1404"/>
      <c r="BA27" s="1404"/>
      <c r="BB27" s="1404"/>
      <c r="BC27" s="1404"/>
      <c r="BD27" s="1404"/>
      <c r="BE27" s="1404"/>
      <c r="BF27" s="1404"/>
      <c r="BG27" s="1404"/>
      <c r="BH27" s="1404"/>
      <c r="BI27" s="1404"/>
      <c r="BJ27" s="1404"/>
      <c r="BK27" s="1404"/>
      <c r="BL27" s="1404"/>
      <c r="BM27" s="1404"/>
      <c r="BN27" s="1404"/>
      <c r="BO27" s="1404"/>
      <c r="BP27" s="1404"/>
      <c r="BQ27" s="1404"/>
      <c r="BR27" s="1404"/>
      <c r="BS27" s="1404"/>
      <c r="BT27" s="1404"/>
      <c r="BU27" s="1404"/>
      <c r="BV27" s="1404"/>
      <c r="BW27" s="1404"/>
      <c r="BX27" s="1404"/>
      <c r="BY27" s="1404"/>
      <c r="BZ27" s="1404"/>
      <c r="CA27" s="1404"/>
      <c r="CB27" s="1404"/>
      <c r="CC27" s="1404"/>
      <c r="CD27" s="1404"/>
      <c r="CE27" s="1404"/>
      <c r="CF27" s="1404"/>
      <c r="CG27" s="1404"/>
      <c r="CH27" s="1404"/>
      <c r="CI27" s="1404"/>
      <c r="CJ27" s="1404"/>
      <c r="CK27" s="1404"/>
      <c r="CL27" s="1404"/>
      <c r="CM27" s="1404"/>
    </row>
    <row r="28" spans="1:91" s="1111" customFormat="1" ht="15" customHeight="1">
      <c r="A28" s="2145"/>
      <c r="B28" s="2147"/>
      <c r="C28" s="1412" t="s">
        <v>2007</v>
      </c>
      <c r="D28" s="2020">
        <v>0</v>
      </c>
      <c r="E28" s="2147"/>
      <c r="F28" s="1404"/>
      <c r="G28" s="1404"/>
      <c r="H28" s="1404"/>
      <c r="I28" s="1404"/>
      <c r="J28" s="1404"/>
      <c r="K28" s="1404"/>
      <c r="L28" s="1404"/>
      <c r="M28" s="1404"/>
      <c r="N28" s="1404"/>
      <c r="O28" s="1404"/>
      <c r="P28" s="1404"/>
      <c r="Q28" s="1404"/>
      <c r="R28" s="1404"/>
      <c r="S28" s="1404"/>
      <c r="T28" s="1404"/>
      <c r="U28" s="1404"/>
      <c r="V28" s="1404"/>
      <c r="W28" s="1404"/>
      <c r="X28" s="1404"/>
      <c r="Y28" s="1404"/>
      <c r="Z28" s="1404"/>
      <c r="AA28" s="1404"/>
      <c r="AB28" s="1404"/>
      <c r="AC28" s="1404"/>
      <c r="AD28" s="1404"/>
      <c r="AE28" s="1404"/>
      <c r="AF28" s="1404"/>
      <c r="AG28" s="1404"/>
      <c r="AH28" s="1404"/>
      <c r="AI28" s="1404"/>
      <c r="AJ28" s="1404"/>
      <c r="AK28" s="1404"/>
      <c r="AL28" s="1404"/>
      <c r="AM28" s="1404"/>
      <c r="AN28" s="1404"/>
      <c r="AO28" s="1404"/>
      <c r="AP28" s="1404"/>
      <c r="AQ28" s="1404"/>
      <c r="AR28" s="1404"/>
      <c r="AS28" s="1404"/>
      <c r="AT28" s="1404"/>
      <c r="AU28" s="1404"/>
      <c r="AV28" s="1404"/>
      <c r="AW28" s="1404"/>
      <c r="AX28" s="1404"/>
      <c r="AY28" s="1404"/>
      <c r="AZ28" s="1404"/>
      <c r="BA28" s="1404"/>
      <c r="BB28" s="1404"/>
      <c r="BC28" s="1404"/>
      <c r="BD28" s="1404"/>
      <c r="BE28" s="1404"/>
      <c r="BF28" s="1404"/>
      <c r="BG28" s="1404"/>
      <c r="BH28" s="1404"/>
      <c r="BI28" s="1404"/>
      <c r="BJ28" s="1404"/>
      <c r="BK28" s="1404"/>
      <c r="BL28" s="1404"/>
      <c r="BM28" s="1404"/>
      <c r="BN28" s="1404"/>
      <c r="BO28" s="1404"/>
      <c r="BP28" s="1404"/>
      <c r="BQ28" s="1404"/>
      <c r="BR28" s="1404"/>
      <c r="BS28" s="1404"/>
      <c r="BT28" s="1404"/>
      <c r="BU28" s="1404"/>
      <c r="BV28" s="1404"/>
      <c r="BW28" s="1404"/>
      <c r="BX28" s="1404"/>
      <c r="BY28" s="1404"/>
      <c r="BZ28" s="1404"/>
      <c r="CA28" s="1404"/>
      <c r="CB28" s="1404"/>
      <c r="CC28" s="1404"/>
      <c r="CD28" s="1404"/>
      <c r="CE28" s="1404"/>
      <c r="CF28" s="1404"/>
      <c r="CG28" s="1404"/>
      <c r="CH28" s="1404"/>
      <c r="CI28" s="1404"/>
      <c r="CJ28" s="1404"/>
      <c r="CK28" s="1404"/>
      <c r="CL28" s="1404"/>
      <c r="CM28" s="1404"/>
    </row>
    <row r="29" spans="1:91" s="1111" customFormat="1" ht="15" customHeight="1">
      <c r="A29" s="2145"/>
      <c r="B29" s="2147"/>
      <c r="C29" s="1412" t="s">
        <v>2480</v>
      </c>
      <c r="D29" s="2020">
        <v>0</v>
      </c>
      <c r="E29" s="2147"/>
      <c r="F29" s="1404"/>
      <c r="G29" s="1404"/>
      <c r="H29" s="1404"/>
      <c r="I29" s="1404"/>
      <c r="J29" s="1404"/>
      <c r="K29" s="1404"/>
      <c r="L29" s="1404"/>
      <c r="M29" s="1404"/>
      <c r="N29" s="1404"/>
      <c r="O29" s="1404"/>
      <c r="P29" s="1404"/>
      <c r="Q29" s="1404"/>
      <c r="R29" s="1404"/>
      <c r="S29" s="1404"/>
      <c r="T29" s="1404"/>
      <c r="U29" s="1404"/>
      <c r="V29" s="1404"/>
      <c r="W29" s="1404"/>
      <c r="X29" s="1404"/>
      <c r="Y29" s="1404"/>
      <c r="Z29" s="1404"/>
      <c r="AA29" s="1404"/>
      <c r="AB29" s="1404"/>
      <c r="AC29" s="1404"/>
      <c r="AD29" s="1404"/>
      <c r="AE29" s="1404"/>
      <c r="AF29" s="1404"/>
      <c r="AG29" s="1404"/>
      <c r="AH29" s="1404"/>
      <c r="AI29" s="1404"/>
      <c r="AJ29" s="1404"/>
      <c r="AK29" s="1404"/>
      <c r="AL29" s="1404"/>
      <c r="AM29" s="1404"/>
      <c r="AN29" s="1404"/>
      <c r="AO29" s="1404"/>
      <c r="AP29" s="1404"/>
      <c r="AQ29" s="1404"/>
      <c r="AR29" s="1404"/>
      <c r="AS29" s="1404"/>
      <c r="AT29" s="1404"/>
      <c r="AU29" s="1404"/>
      <c r="AV29" s="1404"/>
      <c r="AW29" s="1404"/>
      <c r="AX29" s="1404"/>
      <c r="AY29" s="1404"/>
      <c r="AZ29" s="1404"/>
      <c r="BA29" s="1404"/>
      <c r="BB29" s="1404"/>
      <c r="BC29" s="1404"/>
      <c r="BD29" s="1404"/>
      <c r="BE29" s="1404"/>
      <c r="BF29" s="1404"/>
      <c r="BG29" s="1404"/>
      <c r="BH29" s="1404"/>
      <c r="BI29" s="1404"/>
      <c r="BJ29" s="1404"/>
      <c r="BK29" s="1404"/>
      <c r="BL29" s="1404"/>
      <c r="BM29" s="1404"/>
      <c r="BN29" s="1404"/>
      <c r="BO29" s="1404"/>
      <c r="BP29" s="1404"/>
      <c r="BQ29" s="1404"/>
      <c r="BR29" s="1404"/>
      <c r="BS29" s="1404"/>
      <c r="BT29" s="1404"/>
      <c r="BU29" s="1404"/>
      <c r="BV29" s="1404"/>
      <c r="BW29" s="1404"/>
      <c r="BX29" s="1404"/>
      <c r="BY29" s="1404"/>
      <c r="BZ29" s="1404"/>
      <c r="CA29" s="1404"/>
      <c r="CB29" s="1404"/>
      <c r="CC29" s="1404"/>
      <c r="CD29" s="1404"/>
      <c r="CE29" s="1404"/>
      <c r="CF29" s="1404"/>
      <c r="CG29" s="1404"/>
      <c r="CH29" s="1404"/>
      <c r="CI29" s="1404"/>
      <c r="CJ29" s="1404"/>
      <c r="CK29" s="1404"/>
      <c r="CL29" s="1404"/>
      <c r="CM29" s="1404"/>
    </row>
    <row r="30" spans="1:91" s="1035" customFormat="1" ht="15" customHeight="1">
      <c r="A30" s="2145"/>
      <c r="B30" s="2147"/>
      <c r="C30" s="1412" t="s">
        <v>2481</v>
      </c>
      <c r="D30" s="2020">
        <v>0</v>
      </c>
      <c r="E30" s="2147"/>
      <c r="F30" s="1404"/>
      <c r="G30" s="1404"/>
      <c r="H30" s="1404"/>
      <c r="I30" s="1404"/>
      <c r="J30" s="1404"/>
      <c r="K30" s="1404"/>
      <c r="L30" s="1404"/>
      <c r="M30" s="1404"/>
      <c r="N30" s="1404"/>
      <c r="O30" s="1404"/>
      <c r="P30" s="1404"/>
      <c r="Q30" s="1404"/>
      <c r="R30" s="1404"/>
      <c r="S30" s="1404"/>
      <c r="T30" s="1404"/>
      <c r="U30" s="1404"/>
      <c r="V30" s="1404"/>
      <c r="W30" s="1404"/>
      <c r="X30" s="1404"/>
      <c r="Y30" s="1404"/>
      <c r="Z30" s="1404"/>
      <c r="AA30" s="1404"/>
      <c r="AB30" s="1404"/>
      <c r="AC30" s="1404"/>
      <c r="AD30" s="1404"/>
      <c r="AE30" s="1404"/>
      <c r="AF30" s="1404"/>
      <c r="AG30" s="1404"/>
      <c r="AH30" s="1404"/>
      <c r="AI30" s="1404"/>
      <c r="AJ30" s="1404"/>
      <c r="AK30" s="1404"/>
      <c r="AL30" s="1404"/>
      <c r="AM30" s="1404"/>
      <c r="AN30" s="1404"/>
      <c r="AO30" s="1404"/>
      <c r="AP30" s="1404"/>
      <c r="AQ30" s="1404"/>
      <c r="AR30" s="1404"/>
      <c r="AS30" s="1404"/>
      <c r="AT30" s="1404"/>
      <c r="AU30" s="1404"/>
      <c r="AV30" s="1404"/>
      <c r="AW30" s="1404"/>
      <c r="AX30" s="1404"/>
      <c r="AY30" s="1404"/>
      <c r="AZ30" s="1404"/>
      <c r="BA30" s="1404"/>
      <c r="BB30" s="1404"/>
      <c r="BC30" s="1404"/>
      <c r="BD30" s="1404"/>
      <c r="BE30" s="1404"/>
      <c r="BF30" s="1404"/>
      <c r="BG30" s="1404"/>
      <c r="BH30" s="1404"/>
      <c r="BI30" s="1404"/>
      <c r="BJ30" s="1404"/>
      <c r="BK30" s="1404"/>
      <c r="BL30" s="1404"/>
      <c r="BM30" s="1404"/>
      <c r="BN30" s="1404"/>
      <c r="BO30" s="1404"/>
      <c r="BP30" s="1404"/>
      <c r="BQ30" s="1404"/>
      <c r="BR30" s="1404"/>
      <c r="BS30" s="1404"/>
      <c r="BT30" s="1404"/>
      <c r="BU30" s="1404"/>
      <c r="BV30" s="1404"/>
      <c r="BW30" s="1404"/>
      <c r="BX30" s="1404"/>
      <c r="BY30" s="1404"/>
      <c r="BZ30" s="1404"/>
      <c r="CA30" s="1404"/>
      <c r="CB30" s="1404"/>
      <c r="CC30" s="1404"/>
      <c r="CD30" s="1404"/>
      <c r="CE30" s="1404"/>
      <c r="CF30" s="1404"/>
      <c r="CG30" s="1404"/>
      <c r="CH30" s="1404"/>
      <c r="CI30" s="1404"/>
      <c r="CJ30" s="1404"/>
      <c r="CK30" s="1404"/>
      <c r="CL30" s="1404"/>
      <c r="CM30" s="1404"/>
    </row>
    <row r="31" spans="1:91" s="1035" customFormat="1" ht="15" customHeight="1">
      <c r="A31" s="2145"/>
      <c r="B31" s="2147"/>
      <c r="C31" s="1412" t="s">
        <v>2482</v>
      </c>
      <c r="D31" s="2020">
        <v>0</v>
      </c>
      <c r="E31" s="2147"/>
      <c r="F31" s="1404"/>
      <c r="G31" s="1404"/>
      <c r="H31" s="1404"/>
      <c r="I31" s="1404"/>
      <c r="J31" s="1404"/>
      <c r="K31" s="1404"/>
      <c r="L31" s="1404"/>
      <c r="M31" s="1404"/>
      <c r="N31" s="1404"/>
      <c r="O31" s="1404"/>
      <c r="P31" s="1404"/>
      <c r="Q31" s="1404"/>
      <c r="R31" s="1404"/>
      <c r="S31" s="1404"/>
      <c r="T31" s="1404"/>
      <c r="U31" s="1404"/>
      <c r="V31" s="1404"/>
      <c r="W31" s="1404"/>
      <c r="X31" s="1404"/>
      <c r="Y31" s="1404"/>
      <c r="Z31" s="1404"/>
      <c r="AA31" s="1404"/>
      <c r="AB31" s="1404"/>
      <c r="AC31" s="1404"/>
      <c r="AD31" s="1404"/>
      <c r="AE31" s="1404"/>
      <c r="AF31" s="1404"/>
      <c r="AG31" s="1404"/>
      <c r="AH31" s="1404"/>
      <c r="AI31" s="1404"/>
      <c r="AJ31" s="1404"/>
      <c r="AK31" s="1404"/>
      <c r="AL31" s="1404"/>
      <c r="AM31" s="1404"/>
      <c r="AN31" s="1404"/>
      <c r="AO31" s="1404"/>
      <c r="AP31" s="1404"/>
      <c r="AQ31" s="1404"/>
      <c r="AR31" s="1404"/>
      <c r="AS31" s="1404"/>
      <c r="AT31" s="1404"/>
      <c r="AU31" s="1404"/>
      <c r="AV31" s="1404"/>
      <c r="AW31" s="1404"/>
      <c r="AX31" s="1404"/>
      <c r="AY31" s="1404"/>
      <c r="AZ31" s="1404"/>
      <c r="BA31" s="1404"/>
      <c r="BB31" s="1404"/>
      <c r="BC31" s="1404"/>
      <c r="BD31" s="1404"/>
      <c r="BE31" s="1404"/>
      <c r="BF31" s="1404"/>
      <c r="BG31" s="1404"/>
      <c r="BH31" s="1404"/>
      <c r="BI31" s="1404"/>
      <c r="BJ31" s="1404"/>
      <c r="BK31" s="1404"/>
      <c r="BL31" s="1404"/>
      <c r="BM31" s="1404"/>
      <c r="BN31" s="1404"/>
      <c r="BO31" s="1404"/>
      <c r="BP31" s="1404"/>
      <c r="BQ31" s="1404"/>
      <c r="BR31" s="1404"/>
      <c r="BS31" s="1404"/>
      <c r="BT31" s="1404"/>
      <c r="BU31" s="1404"/>
      <c r="BV31" s="1404"/>
      <c r="BW31" s="1404"/>
      <c r="BX31" s="1404"/>
      <c r="BY31" s="1404"/>
      <c r="BZ31" s="1404"/>
      <c r="CA31" s="1404"/>
      <c r="CB31" s="1404"/>
      <c r="CC31" s="1404"/>
      <c r="CD31" s="1404"/>
      <c r="CE31" s="1404"/>
      <c r="CF31" s="1404"/>
      <c r="CG31" s="1404"/>
      <c r="CH31" s="1404"/>
      <c r="CI31" s="1404"/>
      <c r="CJ31" s="1404"/>
      <c r="CK31" s="1404"/>
      <c r="CL31" s="1404"/>
      <c r="CM31" s="1404"/>
    </row>
    <row r="32" spans="1:91" s="1035" customFormat="1" ht="15" customHeight="1">
      <c r="A32" s="2145"/>
      <c r="B32" s="2147"/>
      <c r="C32" s="1412" t="s">
        <v>2483</v>
      </c>
      <c r="D32" s="2020">
        <v>0</v>
      </c>
      <c r="E32" s="2147"/>
      <c r="F32" s="1404"/>
      <c r="G32" s="1404"/>
      <c r="H32" s="1404"/>
      <c r="I32" s="1404"/>
      <c r="J32" s="1404"/>
      <c r="K32" s="1404"/>
      <c r="L32" s="1404"/>
      <c r="M32" s="1404"/>
      <c r="N32" s="1404"/>
      <c r="O32" s="1404"/>
      <c r="P32" s="1404"/>
      <c r="Q32" s="1404"/>
      <c r="R32" s="1404"/>
      <c r="S32" s="1404"/>
      <c r="T32" s="1404"/>
      <c r="U32" s="1404"/>
      <c r="V32" s="1404"/>
      <c r="W32" s="1404"/>
      <c r="X32" s="1404"/>
      <c r="Y32" s="1404"/>
      <c r="Z32" s="1404"/>
      <c r="AA32" s="1404"/>
      <c r="AB32" s="1404"/>
      <c r="AC32" s="1404"/>
      <c r="AD32" s="1404"/>
      <c r="AE32" s="1404"/>
      <c r="AF32" s="1404"/>
      <c r="AG32" s="1404"/>
      <c r="AH32" s="1404"/>
      <c r="AI32" s="1404"/>
      <c r="AJ32" s="1404"/>
      <c r="AK32" s="1404"/>
      <c r="AL32" s="1404"/>
      <c r="AM32" s="1404"/>
      <c r="AN32" s="1404"/>
      <c r="AO32" s="1404"/>
      <c r="AP32" s="1404"/>
      <c r="AQ32" s="1404"/>
      <c r="AR32" s="1404"/>
      <c r="AS32" s="1404"/>
      <c r="AT32" s="1404"/>
      <c r="AU32" s="1404"/>
      <c r="AV32" s="1404"/>
      <c r="AW32" s="1404"/>
      <c r="AX32" s="1404"/>
      <c r="AY32" s="1404"/>
      <c r="AZ32" s="1404"/>
      <c r="BA32" s="1404"/>
      <c r="BB32" s="1404"/>
      <c r="BC32" s="1404"/>
      <c r="BD32" s="1404"/>
      <c r="BE32" s="1404"/>
      <c r="BF32" s="1404"/>
      <c r="BG32" s="1404"/>
      <c r="BH32" s="1404"/>
      <c r="BI32" s="1404"/>
      <c r="BJ32" s="1404"/>
      <c r="BK32" s="1404"/>
      <c r="BL32" s="1404"/>
      <c r="BM32" s="1404"/>
      <c r="BN32" s="1404"/>
      <c r="BO32" s="1404"/>
      <c r="BP32" s="1404"/>
      <c r="BQ32" s="1404"/>
      <c r="BR32" s="1404"/>
      <c r="BS32" s="1404"/>
      <c r="BT32" s="1404"/>
      <c r="BU32" s="1404"/>
      <c r="BV32" s="1404"/>
      <c r="BW32" s="1404"/>
      <c r="BX32" s="1404"/>
      <c r="BY32" s="1404"/>
      <c r="BZ32" s="1404"/>
      <c r="CA32" s="1404"/>
      <c r="CB32" s="1404"/>
      <c r="CC32" s="1404"/>
      <c r="CD32" s="1404"/>
      <c r="CE32" s="1404"/>
      <c r="CF32" s="1404"/>
      <c r="CG32" s="1404"/>
      <c r="CH32" s="1404"/>
      <c r="CI32" s="1404"/>
      <c r="CJ32" s="1404"/>
      <c r="CK32" s="1404"/>
      <c r="CL32" s="1404"/>
      <c r="CM32" s="1404"/>
    </row>
    <row r="33" spans="1:91" s="1032" customFormat="1" ht="15" customHeight="1" thickBot="1">
      <c r="A33" s="2163"/>
      <c r="B33" s="2153"/>
      <c r="C33" s="1410" t="s">
        <v>2484</v>
      </c>
      <c r="D33" s="2023">
        <v>0</v>
      </c>
      <c r="E33" s="2153"/>
      <c r="F33" s="1404"/>
      <c r="G33" s="1404"/>
      <c r="H33" s="1404"/>
      <c r="I33" s="1404"/>
      <c r="J33" s="1404"/>
      <c r="K33" s="1404"/>
      <c r="L33" s="1404"/>
      <c r="M33" s="1404"/>
      <c r="N33" s="1404"/>
      <c r="O33" s="1404"/>
      <c r="P33" s="1404"/>
      <c r="Q33" s="1404"/>
      <c r="R33" s="1404"/>
      <c r="S33" s="1404"/>
      <c r="T33" s="1404"/>
      <c r="U33" s="1404"/>
      <c r="V33" s="1404"/>
      <c r="W33" s="1404"/>
      <c r="X33" s="1404"/>
      <c r="Y33" s="1404"/>
      <c r="Z33" s="1404"/>
      <c r="AA33" s="1404"/>
      <c r="AB33" s="1404"/>
      <c r="AC33" s="1404"/>
      <c r="AD33" s="1404"/>
      <c r="AE33" s="1404"/>
      <c r="AF33" s="1404"/>
      <c r="AG33" s="1404"/>
      <c r="AH33" s="1404"/>
      <c r="AI33" s="1404"/>
      <c r="AJ33" s="1404"/>
      <c r="AK33" s="1404"/>
      <c r="AL33" s="1404"/>
      <c r="AM33" s="1404"/>
      <c r="AN33" s="1404"/>
      <c r="AO33" s="1404"/>
      <c r="AP33" s="1404"/>
      <c r="AQ33" s="1404"/>
      <c r="AR33" s="1404"/>
      <c r="AS33" s="1404"/>
      <c r="AT33" s="1404"/>
      <c r="AU33" s="1404"/>
      <c r="AV33" s="1404"/>
      <c r="AW33" s="1404"/>
      <c r="AX33" s="1404"/>
      <c r="AY33" s="1404"/>
      <c r="AZ33" s="1404"/>
      <c r="BA33" s="1404"/>
      <c r="BB33" s="1404"/>
      <c r="BC33" s="1404"/>
      <c r="BD33" s="1404"/>
      <c r="BE33" s="1404"/>
      <c r="BF33" s="1404"/>
      <c r="BG33" s="1404"/>
      <c r="BH33" s="1404"/>
      <c r="BI33" s="1404"/>
      <c r="BJ33" s="1404"/>
      <c r="BK33" s="1404"/>
      <c r="BL33" s="1404"/>
      <c r="BM33" s="1404"/>
      <c r="BN33" s="1404"/>
      <c r="BO33" s="1404"/>
      <c r="BP33" s="1404"/>
      <c r="BQ33" s="1404"/>
      <c r="BR33" s="1404"/>
      <c r="BS33" s="1404"/>
      <c r="BT33" s="1404"/>
      <c r="BU33" s="1404"/>
      <c r="BV33" s="1404"/>
      <c r="BW33" s="1404"/>
      <c r="BX33" s="1404"/>
      <c r="BY33" s="1404"/>
      <c r="BZ33" s="1404"/>
      <c r="CA33" s="1404"/>
      <c r="CB33" s="1404"/>
      <c r="CC33" s="1404"/>
      <c r="CD33" s="1404"/>
      <c r="CE33" s="1404"/>
      <c r="CF33" s="1404"/>
      <c r="CG33" s="1404"/>
      <c r="CH33" s="1404"/>
      <c r="CI33" s="1404"/>
      <c r="CJ33" s="1404"/>
      <c r="CK33" s="1404"/>
      <c r="CL33" s="1404"/>
      <c r="CM33" s="1404"/>
    </row>
    <row r="34" spans="1:91" s="1129" customFormat="1" ht="109.8" customHeight="1" thickBot="1">
      <c r="A34" s="488" t="s">
        <v>757</v>
      </c>
      <c r="B34" s="81" t="s">
        <v>1571</v>
      </c>
      <c r="C34" s="405" t="s">
        <v>2964</v>
      </c>
      <c r="D34" s="2024">
        <v>0</v>
      </c>
      <c r="E34" s="81" t="s">
        <v>2963</v>
      </c>
      <c r="F34" s="1404"/>
      <c r="G34" s="1407"/>
      <c r="H34" s="1407"/>
      <c r="I34" s="1407"/>
      <c r="J34" s="1407"/>
      <c r="K34" s="1407"/>
      <c r="L34" s="1407"/>
      <c r="M34" s="1407"/>
      <c r="N34" s="1407"/>
      <c r="O34" s="1407"/>
      <c r="P34" s="1407"/>
      <c r="Q34" s="1407"/>
      <c r="R34" s="1407"/>
      <c r="S34" s="1407"/>
      <c r="T34" s="1407"/>
      <c r="U34" s="1407"/>
      <c r="V34" s="1407"/>
      <c r="W34" s="1407"/>
      <c r="X34" s="1407"/>
      <c r="Y34" s="1407"/>
      <c r="Z34" s="1407"/>
      <c r="AA34" s="1407"/>
      <c r="AB34" s="1407"/>
      <c r="AC34" s="1407"/>
      <c r="AD34" s="1407"/>
      <c r="AE34" s="1407"/>
      <c r="AF34" s="1407"/>
      <c r="AG34" s="1407"/>
      <c r="AH34" s="1407"/>
      <c r="AI34" s="1407"/>
      <c r="AJ34" s="1407"/>
      <c r="AK34" s="1407"/>
      <c r="AL34" s="1407"/>
      <c r="AM34" s="1407"/>
      <c r="AN34" s="1407"/>
      <c r="AO34" s="1407"/>
      <c r="AP34" s="1407"/>
      <c r="AQ34" s="1407"/>
      <c r="AR34" s="1407"/>
      <c r="AS34" s="1407"/>
      <c r="AT34" s="1407"/>
      <c r="AU34" s="1407"/>
      <c r="AV34" s="1407"/>
      <c r="AW34" s="1407"/>
      <c r="AX34" s="1407"/>
      <c r="AY34" s="1407"/>
      <c r="AZ34" s="1407"/>
      <c r="BA34" s="1407"/>
      <c r="BB34" s="1407"/>
      <c r="BC34" s="1407"/>
      <c r="BD34" s="1407"/>
      <c r="BE34" s="1407"/>
      <c r="BF34" s="1407"/>
      <c r="BG34" s="1407"/>
      <c r="BH34" s="1407"/>
      <c r="BI34" s="1407"/>
      <c r="BJ34" s="1407"/>
      <c r="BK34" s="1407"/>
      <c r="BL34" s="1407"/>
      <c r="BM34" s="1407"/>
      <c r="BN34" s="1407"/>
      <c r="BO34" s="1407"/>
      <c r="BP34" s="1407"/>
      <c r="BQ34" s="1407"/>
      <c r="BR34" s="1407"/>
      <c r="BS34" s="1407"/>
      <c r="BT34" s="1407"/>
      <c r="BU34" s="1407"/>
      <c r="BV34" s="1407"/>
      <c r="BW34" s="1407"/>
      <c r="BX34" s="1407"/>
      <c r="BY34" s="1407"/>
      <c r="BZ34" s="1407"/>
      <c r="CA34" s="1407"/>
      <c r="CB34" s="1407"/>
      <c r="CC34" s="1407"/>
      <c r="CD34" s="1407"/>
      <c r="CE34" s="1407"/>
      <c r="CF34" s="1407"/>
      <c r="CG34" s="1407"/>
      <c r="CH34" s="1407"/>
      <c r="CI34" s="1407"/>
      <c r="CJ34" s="1407"/>
      <c r="CK34" s="1407"/>
      <c r="CL34" s="1407"/>
      <c r="CM34" s="1407"/>
    </row>
    <row r="35" spans="1:91" s="1129" customFormat="1" ht="102" customHeight="1" thickBot="1">
      <c r="A35" s="488" t="s">
        <v>758</v>
      </c>
      <c r="B35" s="81" t="s">
        <v>1587</v>
      </c>
      <c r="C35" s="1069" t="s">
        <v>2965</v>
      </c>
      <c r="D35" s="2025">
        <v>0</v>
      </c>
      <c r="E35" s="203" t="s">
        <v>2802</v>
      </c>
      <c r="F35" s="1404"/>
      <c r="G35" s="1407"/>
      <c r="H35" s="1407"/>
      <c r="I35" s="1407"/>
      <c r="J35" s="1407"/>
      <c r="K35" s="1407"/>
      <c r="L35" s="1407"/>
      <c r="M35" s="1407"/>
      <c r="N35" s="1407"/>
      <c r="O35" s="1407"/>
      <c r="P35" s="1407"/>
      <c r="Q35" s="1407"/>
      <c r="R35" s="1407"/>
      <c r="S35" s="1407"/>
      <c r="T35" s="1407"/>
      <c r="U35" s="1407"/>
      <c r="V35" s="1407"/>
      <c r="W35" s="1407"/>
      <c r="X35" s="1407"/>
      <c r="Y35" s="1407"/>
      <c r="Z35" s="1407"/>
      <c r="AA35" s="1407"/>
      <c r="AB35" s="1407"/>
      <c r="AC35" s="1407"/>
      <c r="AD35" s="1407"/>
      <c r="AE35" s="1407"/>
      <c r="AF35" s="1407"/>
      <c r="AG35" s="1407"/>
      <c r="AH35" s="1407"/>
      <c r="AI35" s="1407"/>
      <c r="AJ35" s="1407"/>
      <c r="AK35" s="1407"/>
      <c r="AL35" s="1407"/>
      <c r="AM35" s="1407"/>
      <c r="AN35" s="1407"/>
      <c r="AO35" s="1407"/>
      <c r="AP35" s="1407"/>
      <c r="AQ35" s="1407"/>
      <c r="AR35" s="1407"/>
      <c r="AS35" s="1407"/>
      <c r="AT35" s="1407"/>
      <c r="AU35" s="1407"/>
      <c r="AV35" s="1407"/>
      <c r="AW35" s="1407"/>
      <c r="AX35" s="1407"/>
      <c r="AY35" s="1407"/>
      <c r="AZ35" s="1407"/>
      <c r="BA35" s="1407"/>
      <c r="BB35" s="1407"/>
      <c r="BC35" s="1407"/>
      <c r="BD35" s="1407"/>
      <c r="BE35" s="1407"/>
      <c r="BF35" s="1407"/>
      <c r="BG35" s="1407"/>
      <c r="BH35" s="1407"/>
      <c r="BI35" s="1407"/>
      <c r="BJ35" s="1407"/>
      <c r="BK35" s="1407"/>
      <c r="BL35" s="1407"/>
      <c r="BM35" s="1407"/>
      <c r="BN35" s="1407"/>
      <c r="BO35" s="1407"/>
      <c r="BP35" s="1407"/>
      <c r="BQ35" s="1407"/>
      <c r="BR35" s="1407"/>
      <c r="BS35" s="1407"/>
      <c r="BT35" s="1407"/>
      <c r="BU35" s="1407"/>
      <c r="BV35" s="1407"/>
      <c r="BW35" s="1407"/>
      <c r="BX35" s="1407"/>
      <c r="BY35" s="1407"/>
      <c r="BZ35" s="1407"/>
      <c r="CA35" s="1407"/>
      <c r="CB35" s="1407"/>
      <c r="CC35" s="1407"/>
      <c r="CD35" s="1407"/>
      <c r="CE35" s="1407"/>
      <c r="CF35" s="1407"/>
      <c r="CG35" s="1407"/>
      <c r="CH35" s="1407"/>
      <c r="CI35" s="1407"/>
      <c r="CJ35" s="1407"/>
      <c r="CK35" s="1407"/>
      <c r="CL35" s="1407"/>
      <c r="CM35" s="1407"/>
    </row>
    <row r="36" spans="1:91" s="1034" customFormat="1" ht="30" customHeight="1" thickBot="1">
      <c r="A36" s="2151" t="s">
        <v>759</v>
      </c>
      <c r="B36" s="2146" t="s">
        <v>2994</v>
      </c>
      <c r="C36" s="2113" t="s">
        <v>2995</v>
      </c>
      <c r="D36" s="2026"/>
      <c r="E36" s="2146" t="s">
        <v>2875</v>
      </c>
      <c r="F36" s="1404"/>
      <c r="G36" s="1404"/>
      <c r="H36" s="1404"/>
      <c r="I36" s="1404"/>
      <c r="J36" s="1404"/>
      <c r="K36" s="1404"/>
      <c r="L36" s="1404"/>
      <c r="M36" s="1404"/>
      <c r="N36" s="1404"/>
      <c r="O36" s="1404"/>
      <c r="P36" s="1404"/>
      <c r="Q36" s="1404"/>
      <c r="R36" s="1404"/>
      <c r="S36" s="1404"/>
      <c r="T36" s="1404"/>
      <c r="U36" s="1404"/>
      <c r="V36" s="1404"/>
      <c r="W36" s="1404"/>
      <c r="X36" s="1404"/>
      <c r="Y36" s="1404"/>
      <c r="Z36" s="1404"/>
      <c r="AA36" s="1404"/>
      <c r="AB36" s="1404"/>
      <c r="AC36" s="1404"/>
      <c r="AD36" s="1404"/>
      <c r="AE36" s="1404"/>
      <c r="AF36" s="1404"/>
      <c r="AG36" s="1404"/>
      <c r="AH36" s="1404"/>
      <c r="AI36" s="1404"/>
      <c r="AJ36" s="1404"/>
      <c r="AK36" s="1404"/>
      <c r="AL36" s="1404"/>
      <c r="AM36" s="1404"/>
      <c r="AN36" s="1404"/>
      <c r="AO36" s="1404"/>
      <c r="AP36" s="1404"/>
      <c r="AQ36" s="1404"/>
      <c r="AR36" s="1404"/>
      <c r="AS36" s="1404"/>
      <c r="AT36" s="1404"/>
      <c r="AU36" s="1404"/>
      <c r="AV36" s="1404"/>
      <c r="AW36" s="1404"/>
      <c r="AX36" s="1404"/>
      <c r="AY36" s="1404"/>
      <c r="AZ36" s="1404"/>
      <c r="BA36" s="1404"/>
      <c r="BB36" s="1404"/>
      <c r="BC36" s="1404"/>
      <c r="BD36" s="1404"/>
      <c r="BE36" s="1404"/>
      <c r="BF36" s="1404"/>
      <c r="BG36" s="1404"/>
      <c r="BH36" s="1404"/>
      <c r="BI36" s="1404"/>
      <c r="BJ36" s="1404"/>
      <c r="BK36" s="1404"/>
      <c r="BL36" s="1404"/>
      <c r="BM36" s="1404"/>
      <c r="BN36" s="1404"/>
      <c r="BO36" s="1404"/>
      <c r="BP36" s="1404"/>
      <c r="BQ36" s="1404"/>
      <c r="BR36" s="1404"/>
      <c r="BS36" s="1404"/>
      <c r="BT36" s="1404"/>
      <c r="BU36" s="1404"/>
      <c r="BV36" s="1404"/>
      <c r="BW36" s="1404"/>
      <c r="BX36" s="1404"/>
      <c r="BY36" s="1404"/>
      <c r="BZ36" s="1404"/>
      <c r="CA36" s="1404"/>
      <c r="CB36" s="1404"/>
      <c r="CC36" s="1404"/>
      <c r="CD36" s="1404"/>
      <c r="CE36" s="1404"/>
      <c r="CF36" s="1404"/>
      <c r="CG36" s="1404"/>
      <c r="CH36" s="1404"/>
      <c r="CI36" s="1404"/>
      <c r="CJ36" s="1404"/>
      <c r="CK36" s="1404"/>
      <c r="CL36" s="1404"/>
      <c r="CM36" s="1404"/>
    </row>
    <row r="37" spans="1:91" s="1035" customFormat="1" ht="15" customHeight="1">
      <c r="A37" s="2151"/>
      <c r="B37" s="2147"/>
      <c r="C37" s="1493" t="s">
        <v>2487</v>
      </c>
      <c r="D37" s="2020">
        <v>0</v>
      </c>
      <c r="E37" s="2147"/>
      <c r="F37" s="1404"/>
      <c r="G37" s="1404"/>
      <c r="H37" s="1404"/>
      <c r="I37" s="1404"/>
      <c r="J37" s="1404"/>
      <c r="K37" s="1404"/>
      <c r="L37" s="1404"/>
      <c r="M37" s="1404"/>
      <c r="N37" s="1404"/>
      <c r="O37" s="1404"/>
      <c r="P37" s="1404"/>
      <c r="Q37" s="1404"/>
      <c r="R37" s="1404"/>
      <c r="S37" s="1404"/>
      <c r="T37" s="1404"/>
      <c r="U37" s="1404"/>
      <c r="V37" s="1404"/>
      <c r="W37" s="1404"/>
      <c r="X37" s="1404"/>
      <c r="Y37" s="1404"/>
      <c r="Z37" s="1404"/>
      <c r="AA37" s="1404"/>
      <c r="AB37" s="1404"/>
      <c r="AC37" s="1404"/>
      <c r="AD37" s="1404"/>
      <c r="AE37" s="1404"/>
      <c r="AF37" s="1404"/>
      <c r="AG37" s="1404"/>
      <c r="AH37" s="1404"/>
      <c r="AI37" s="1404"/>
      <c r="AJ37" s="1404"/>
      <c r="AK37" s="1404"/>
      <c r="AL37" s="1404"/>
      <c r="AM37" s="1404"/>
      <c r="AN37" s="1404"/>
      <c r="AO37" s="1404"/>
      <c r="AP37" s="1404"/>
      <c r="AQ37" s="1404"/>
      <c r="AR37" s="1404"/>
      <c r="AS37" s="1404"/>
      <c r="AT37" s="1404"/>
      <c r="AU37" s="1404"/>
      <c r="AV37" s="1404"/>
      <c r="AW37" s="1404"/>
      <c r="AX37" s="1404"/>
      <c r="AY37" s="1404"/>
      <c r="AZ37" s="1404"/>
      <c r="BA37" s="1404"/>
      <c r="BB37" s="1404"/>
      <c r="BC37" s="1404"/>
      <c r="BD37" s="1404"/>
      <c r="BE37" s="1404"/>
      <c r="BF37" s="1404"/>
      <c r="BG37" s="1404"/>
      <c r="BH37" s="1404"/>
      <c r="BI37" s="1404"/>
      <c r="BJ37" s="1404"/>
      <c r="BK37" s="1404"/>
      <c r="BL37" s="1404"/>
      <c r="BM37" s="1404"/>
      <c r="BN37" s="1404"/>
      <c r="BO37" s="1404"/>
      <c r="BP37" s="1404"/>
      <c r="BQ37" s="1404"/>
      <c r="BR37" s="1404"/>
      <c r="BS37" s="1404"/>
      <c r="BT37" s="1404"/>
      <c r="BU37" s="1404"/>
      <c r="BV37" s="1404"/>
      <c r="BW37" s="1404"/>
      <c r="BX37" s="1404"/>
      <c r="BY37" s="1404"/>
      <c r="BZ37" s="1404"/>
      <c r="CA37" s="1404"/>
      <c r="CB37" s="1404"/>
      <c r="CC37" s="1404"/>
      <c r="CD37" s="1404"/>
      <c r="CE37" s="1404"/>
      <c r="CF37" s="1404"/>
      <c r="CG37" s="1404"/>
      <c r="CH37" s="1404"/>
      <c r="CI37" s="1404"/>
      <c r="CJ37" s="1404"/>
      <c r="CK37" s="1404"/>
      <c r="CL37" s="1404"/>
      <c r="CM37" s="1404"/>
    </row>
    <row r="38" spans="1:91" s="1035" customFormat="1" ht="15" customHeight="1">
      <c r="A38" s="2151"/>
      <c r="B38" s="2147"/>
      <c r="C38" s="1412" t="s">
        <v>2488</v>
      </c>
      <c r="D38" s="2020">
        <v>0</v>
      </c>
      <c r="E38" s="2147"/>
      <c r="F38" s="1404"/>
      <c r="G38" s="1404"/>
      <c r="H38" s="1404"/>
      <c r="I38" s="1404"/>
      <c r="J38" s="1404"/>
      <c r="K38" s="1404"/>
      <c r="L38" s="1404"/>
      <c r="M38" s="1404"/>
      <c r="N38" s="1404"/>
      <c r="O38" s="1404"/>
      <c r="P38" s="1404"/>
      <c r="Q38" s="1404"/>
      <c r="R38" s="1404"/>
      <c r="S38" s="1404"/>
      <c r="T38" s="1404"/>
      <c r="U38" s="1404"/>
      <c r="V38" s="1404"/>
      <c r="W38" s="1404"/>
      <c r="X38" s="1404"/>
      <c r="Y38" s="1404"/>
      <c r="Z38" s="1404"/>
      <c r="AA38" s="1404"/>
      <c r="AB38" s="1404"/>
      <c r="AC38" s="1404"/>
      <c r="AD38" s="1404"/>
      <c r="AE38" s="1404"/>
      <c r="AF38" s="1404"/>
      <c r="AG38" s="1404"/>
      <c r="AH38" s="1404"/>
      <c r="AI38" s="1404"/>
      <c r="AJ38" s="1404"/>
      <c r="AK38" s="1404"/>
      <c r="AL38" s="1404"/>
      <c r="AM38" s="1404"/>
      <c r="AN38" s="1404"/>
      <c r="AO38" s="1404"/>
      <c r="AP38" s="1404"/>
      <c r="AQ38" s="1404"/>
      <c r="AR38" s="1404"/>
      <c r="AS38" s="1404"/>
      <c r="AT38" s="1404"/>
      <c r="AU38" s="1404"/>
      <c r="AV38" s="1404"/>
      <c r="AW38" s="1404"/>
      <c r="AX38" s="1404"/>
      <c r="AY38" s="1404"/>
      <c r="AZ38" s="1404"/>
      <c r="BA38" s="1404"/>
      <c r="BB38" s="1404"/>
      <c r="BC38" s="1404"/>
      <c r="BD38" s="1404"/>
      <c r="BE38" s="1404"/>
      <c r="BF38" s="1404"/>
      <c r="BG38" s="1404"/>
      <c r="BH38" s="1404"/>
      <c r="BI38" s="1404"/>
      <c r="BJ38" s="1404"/>
      <c r="BK38" s="1404"/>
      <c r="BL38" s="1404"/>
      <c r="BM38" s="1404"/>
      <c r="BN38" s="1404"/>
      <c r="BO38" s="1404"/>
      <c r="BP38" s="1404"/>
      <c r="BQ38" s="1404"/>
      <c r="BR38" s="1404"/>
      <c r="BS38" s="1404"/>
      <c r="BT38" s="1404"/>
      <c r="BU38" s="1404"/>
      <c r="BV38" s="1404"/>
      <c r="BW38" s="1404"/>
      <c r="BX38" s="1404"/>
      <c r="BY38" s="1404"/>
      <c r="BZ38" s="1404"/>
      <c r="CA38" s="1404"/>
      <c r="CB38" s="1404"/>
      <c r="CC38" s="1404"/>
      <c r="CD38" s="1404"/>
      <c r="CE38" s="1404"/>
      <c r="CF38" s="1404"/>
      <c r="CG38" s="1404"/>
      <c r="CH38" s="1404"/>
      <c r="CI38" s="1404"/>
      <c r="CJ38" s="1404"/>
      <c r="CK38" s="1404"/>
      <c r="CL38" s="1404"/>
      <c r="CM38" s="1404"/>
    </row>
    <row r="39" spans="1:91" s="1035" customFormat="1" ht="15" customHeight="1">
      <c r="A39" s="2151"/>
      <c r="B39" s="2147"/>
      <c r="C39" s="1412" t="s">
        <v>2489</v>
      </c>
      <c r="D39" s="2020">
        <v>0</v>
      </c>
      <c r="E39" s="2147"/>
      <c r="F39" s="1404"/>
      <c r="G39" s="1404"/>
      <c r="H39" s="1404"/>
      <c r="I39" s="1404"/>
      <c r="J39" s="1404"/>
      <c r="K39" s="1404"/>
      <c r="L39" s="1404"/>
      <c r="M39" s="1404"/>
      <c r="N39" s="1404"/>
      <c r="O39" s="1404"/>
      <c r="P39" s="1404"/>
      <c r="Q39" s="1404"/>
      <c r="R39" s="1404"/>
      <c r="S39" s="1404"/>
      <c r="T39" s="1404"/>
      <c r="U39" s="1404"/>
      <c r="V39" s="1404"/>
      <c r="W39" s="1404"/>
      <c r="X39" s="1404"/>
      <c r="Y39" s="1404"/>
      <c r="Z39" s="1404"/>
      <c r="AA39" s="1404"/>
      <c r="AB39" s="1404"/>
      <c r="AC39" s="1404"/>
      <c r="AD39" s="1404"/>
      <c r="AE39" s="1404"/>
      <c r="AF39" s="1404"/>
      <c r="AG39" s="1404"/>
      <c r="AH39" s="1404"/>
      <c r="AI39" s="1404"/>
      <c r="AJ39" s="1404"/>
      <c r="AK39" s="1404"/>
      <c r="AL39" s="1404"/>
      <c r="AM39" s="1404"/>
      <c r="AN39" s="1404"/>
      <c r="AO39" s="1404"/>
      <c r="AP39" s="1404"/>
      <c r="AQ39" s="1404"/>
      <c r="AR39" s="1404"/>
      <c r="AS39" s="1404"/>
      <c r="AT39" s="1404"/>
      <c r="AU39" s="1404"/>
      <c r="AV39" s="1404"/>
      <c r="AW39" s="1404"/>
      <c r="AX39" s="1404"/>
      <c r="AY39" s="1404"/>
      <c r="AZ39" s="1404"/>
      <c r="BA39" s="1404"/>
      <c r="BB39" s="1404"/>
      <c r="BC39" s="1404"/>
      <c r="BD39" s="1404"/>
      <c r="BE39" s="1404"/>
      <c r="BF39" s="1404"/>
      <c r="BG39" s="1404"/>
      <c r="BH39" s="1404"/>
      <c r="BI39" s="1404"/>
      <c r="BJ39" s="1404"/>
      <c r="BK39" s="1404"/>
      <c r="BL39" s="1404"/>
      <c r="BM39" s="1404"/>
      <c r="BN39" s="1404"/>
      <c r="BO39" s="1404"/>
      <c r="BP39" s="1404"/>
      <c r="BQ39" s="1404"/>
      <c r="BR39" s="1404"/>
      <c r="BS39" s="1404"/>
      <c r="BT39" s="1404"/>
      <c r="BU39" s="1404"/>
      <c r="BV39" s="1404"/>
      <c r="BW39" s="1404"/>
      <c r="BX39" s="1404"/>
      <c r="BY39" s="1404"/>
      <c r="BZ39" s="1404"/>
      <c r="CA39" s="1404"/>
      <c r="CB39" s="1404"/>
      <c r="CC39" s="1404"/>
      <c r="CD39" s="1404"/>
      <c r="CE39" s="1404"/>
      <c r="CF39" s="1404"/>
      <c r="CG39" s="1404"/>
      <c r="CH39" s="1404"/>
      <c r="CI39" s="1404"/>
      <c r="CJ39" s="1404"/>
      <c r="CK39" s="1404"/>
      <c r="CL39" s="1404"/>
      <c r="CM39" s="1404"/>
    </row>
    <row r="40" spans="1:91" s="1035" customFormat="1" ht="15" customHeight="1">
      <c r="A40" s="2151"/>
      <c r="B40" s="2147"/>
      <c r="C40" s="1412" t="s">
        <v>2490</v>
      </c>
      <c r="D40" s="2020">
        <v>0</v>
      </c>
      <c r="E40" s="2147"/>
      <c r="F40" s="1404"/>
      <c r="G40" s="1404"/>
      <c r="H40" s="1404"/>
      <c r="I40" s="1404"/>
      <c r="J40" s="1404"/>
      <c r="K40" s="1404"/>
      <c r="L40" s="1404"/>
      <c r="M40" s="1404"/>
      <c r="N40" s="1404"/>
      <c r="O40" s="1404"/>
      <c r="P40" s="1404"/>
      <c r="Q40" s="1404"/>
      <c r="R40" s="1404"/>
      <c r="S40" s="1404"/>
      <c r="T40" s="1404"/>
      <c r="U40" s="1404"/>
      <c r="V40" s="1404"/>
      <c r="W40" s="1404"/>
      <c r="X40" s="1404"/>
      <c r="Y40" s="1404"/>
      <c r="Z40" s="1404"/>
      <c r="AA40" s="1404"/>
      <c r="AB40" s="1404"/>
      <c r="AC40" s="1404"/>
      <c r="AD40" s="1404"/>
      <c r="AE40" s="1404"/>
      <c r="AF40" s="1404"/>
      <c r="AG40" s="1404"/>
      <c r="AH40" s="1404"/>
      <c r="AI40" s="1404"/>
      <c r="AJ40" s="1404"/>
      <c r="AK40" s="1404"/>
      <c r="AL40" s="1404"/>
      <c r="AM40" s="1404"/>
      <c r="AN40" s="1404"/>
      <c r="AO40" s="1404"/>
      <c r="AP40" s="1404"/>
      <c r="AQ40" s="1404"/>
      <c r="AR40" s="1404"/>
      <c r="AS40" s="1404"/>
      <c r="AT40" s="1404"/>
      <c r="AU40" s="1404"/>
      <c r="AV40" s="1404"/>
      <c r="AW40" s="1404"/>
      <c r="AX40" s="1404"/>
      <c r="AY40" s="1404"/>
      <c r="AZ40" s="1404"/>
      <c r="BA40" s="1404"/>
      <c r="BB40" s="1404"/>
      <c r="BC40" s="1404"/>
      <c r="BD40" s="1404"/>
      <c r="BE40" s="1404"/>
      <c r="BF40" s="1404"/>
      <c r="BG40" s="1404"/>
      <c r="BH40" s="1404"/>
      <c r="BI40" s="1404"/>
      <c r="BJ40" s="1404"/>
      <c r="BK40" s="1404"/>
      <c r="BL40" s="1404"/>
      <c r="BM40" s="1404"/>
      <c r="BN40" s="1404"/>
      <c r="BO40" s="1404"/>
      <c r="BP40" s="1404"/>
      <c r="BQ40" s="1404"/>
      <c r="BR40" s="1404"/>
      <c r="BS40" s="1404"/>
      <c r="BT40" s="1404"/>
      <c r="BU40" s="1404"/>
      <c r="BV40" s="1404"/>
      <c r="BW40" s="1404"/>
      <c r="BX40" s="1404"/>
      <c r="BY40" s="1404"/>
      <c r="BZ40" s="1404"/>
      <c r="CA40" s="1404"/>
      <c r="CB40" s="1404"/>
      <c r="CC40" s="1404"/>
      <c r="CD40" s="1404"/>
      <c r="CE40" s="1404"/>
      <c r="CF40" s="1404"/>
      <c r="CG40" s="1404"/>
      <c r="CH40" s="1404"/>
      <c r="CI40" s="1404"/>
      <c r="CJ40" s="1404"/>
      <c r="CK40" s="1404"/>
      <c r="CL40" s="1404"/>
      <c r="CM40" s="1404"/>
    </row>
    <row r="41" spans="1:91" s="1032" customFormat="1" ht="15" customHeight="1" thickBot="1">
      <c r="A41" s="2151"/>
      <c r="B41" s="2147"/>
      <c r="C41" s="1410" t="s">
        <v>2248</v>
      </c>
      <c r="D41" s="2021">
        <v>0</v>
      </c>
      <c r="E41" s="2147"/>
      <c r="F41" s="1404"/>
      <c r="G41" s="1404"/>
      <c r="H41" s="1404"/>
      <c r="I41" s="1404"/>
      <c r="J41" s="1404"/>
      <c r="K41" s="1404"/>
      <c r="L41" s="1404"/>
      <c r="M41" s="1404"/>
      <c r="N41" s="1404"/>
      <c r="O41" s="1404"/>
      <c r="P41" s="1404"/>
      <c r="Q41" s="1404"/>
      <c r="R41" s="1404"/>
      <c r="S41" s="1404"/>
      <c r="T41" s="1404"/>
      <c r="U41" s="1404"/>
      <c r="V41" s="1404"/>
      <c r="W41" s="1404"/>
      <c r="X41" s="1404"/>
      <c r="Y41" s="1404"/>
      <c r="Z41" s="1404"/>
      <c r="AA41" s="1404"/>
      <c r="AB41" s="1404"/>
      <c r="AC41" s="1404"/>
      <c r="AD41" s="1404"/>
      <c r="AE41" s="1404"/>
      <c r="AF41" s="1404"/>
      <c r="AG41" s="1404"/>
      <c r="AH41" s="1404"/>
      <c r="AI41" s="1404"/>
      <c r="AJ41" s="1404"/>
      <c r="AK41" s="1404"/>
      <c r="AL41" s="1404"/>
      <c r="AM41" s="1404"/>
      <c r="AN41" s="1404"/>
      <c r="AO41" s="1404"/>
      <c r="AP41" s="1404"/>
      <c r="AQ41" s="1404"/>
      <c r="AR41" s="1404"/>
      <c r="AS41" s="1404"/>
      <c r="AT41" s="1404"/>
      <c r="AU41" s="1404"/>
      <c r="AV41" s="1404"/>
      <c r="AW41" s="1404"/>
      <c r="AX41" s="1404"/>
      <c r="AY41" s="1404"/>
      <c r="AZ41" s="1404"/>
      <c r="BA41" s="1404"/>
      <c r="BB41" s="1404"/>
      <c r="BC41" s="1404"/>
      <c r="BD41" s="1404"/>
      <c r="BE41" s="1404"/>
      <c r="BF41" s="1404"/>
      <c r="BG41" s="1404"/>
      <c r="BH41" s="1404"/>
      <c r="BI41" s="1404"/>
      <c r="BJ41" s="1404"/>
      <c r="BK41" s="1404"/>
      <c r="BL41" s="1404"/>
      <c r="BM41" s="1404"/>
      <c r="BN41" s="1404"/>
      <c r="BO41" s="1404"/>
      <c r="BP41" s="1404"/>
      <c r="BQ41" s="1404"/>
      <c r="BR41" s="1404"/>
      <c r="BS41" s="1404"/>
      <c r="BT41" s="1404"/>
      <c r="BU41" s="1404"/>
      <c r="BV41" s="1404"/>
      <c r="BW41" s="1404"/>
      <c r="BX41" s="1404"/>
      <c r="BY41" s="1404"/>
      <c r="BZ41" s="1404"/>
      <c r="CA41" s="1404"/>
      <c r="CB41" s="1404"/>
      <c r="CC41" s="1404"/>
      <c r="CD41" s="1404"/>
      <c r="CE41" s="1404"/>
      <c r="CF41" s="1404"/>
      <c r="CG41" s="1404"/>
      <c r="CH41" s="1404"/>
      <c r="CI41" s="1404"/>
      <c r="CJ41" s="1404"/>
      <c r="CK41" s="1404"/>
      <c r="CL41" s="1404"/>
      <c r="CM41" s="1404"/>
    </row>
    <row r="42" spans="1:91" s="1034" customFormat="1" ht="21" customHeight="1" thickBot="1">
      <c r="A42" s="2155" t="s">
        <v>760</v>
      </c>
      <c r="B42" s="2154" t="s">
        <v>356</v>
      </c>
      <c r="C42" s="405" t="s">
        <v>2996</v>
      </c>
      <c r="D42" s="2022"/>
      <c r="E42" s="2148" t="s">
        <v>2442</v>
      </c>
      <c r="F42" s="1404"/>
      <c r="G42" s="1404"/>
      <c r="H42" s="1404"/>
      <c r="I42" s="1404"/>
      <c r="J42" s="1404"/>
      <c r="K42" s="1404"/>
      <c r="L42" s="1404"/>
      <c r="M42" s="1404"/>
      <c r="N42" s="1404"/>
      <c r="O42" s="1404"/>
      <c r="P42" s="1404"/>
      <c r="Q42" s="1404"/>
      <c r="R42" s="1404"/>
      <c r="S42" s="1404"/>
      <c r="T42" s="1404"/>
      <c r="U42" s="1404"/>
      <c r="V42" s="1404"/>
      <c r="W42" s="1404"/>
      <c r="X42" s="1404"/>
      <c r="Y42" s="1404"/>
      <c r="Z42" s="1404"/>
      <c r="AA42" s="1404"/>
      <c r="AB42" s="1404"/>
      <c r="AC42" s="1404"/>
      <c r="AD42" s="1404"/>
      <c r="AE42" s="1404"/>
      <c r="AF42" s="1404"/>
      <c r="AG42" s="1404"/>
      <c r="AH42" s="1404"/>
      <c r="AI42" s="1404"/>
      <c r="AJ42" s="1404"/>
      <c r="AK42" s="1404"/>
      <c r="AL42" s="1404"/>
      <c r="AM42" s="1404"/>
      <c r="AN42" s="1404"/>
      <c r="AO42" s="1404"/>
      <c r="AP42" s="1404"/>
      <c r="AQ42" s="1404"/>
      <c r="AR42" s="1404"/>
      <c r="AS42" s="1404"/>
      <c r="AT42" s="1404"/>
      <c r="AU42" s="1404"/>
      <c r="AV42" s="1404"/>
      <c r="AW42" s="1404"/>
      <c r="AX42" s="1404"/>
      <c r="AY42" s="1404"/>
      <c r="AZ42" s="1404"/>
      <c r="BA42" s="1404"/>
      <c r="BB42" s="1404"/>
      <c r="BC42" s="1404"/>
      <c r="BD42" s="1404"/>
      <c r="BE42" s="1404"/>
      <c r="BF42" s="1404"/>
      <c r="BG42" s="1404"/>
      <c r="BH42" s="1404"/>
      <c r="BI42" s="1404"/>
      <c r="BJ42" s="1404"/>
      <c r="BK42" s="1404"/>
      <c r="BL42" s="1404"/>
      <c r="BM42" s="1404"/>
      <c r="BN42" s="1404"/>
      <c r="BO42" s="1404"/>
      <c r="BP42" s="1404"/>
      <c r="BQ42" s="1404"/>
      <c r="BR42" s="1404"/>
      <c r="BS42" s="1404"/>
      <c r="BT42" s="1404"/>
      <c r="BU42" s="1404"/>
      <c r="BV42" s="1404"/>
      <c r="BW42" s="1404"/>
      <c r="BX42" s="1404"/>
      <c r="BY42" s="1404"/>
      <c r="BZ42" s="1404"/>
      <c r="CA42" s="1404"/>
      <c r="CB42" s="1404"/>
      <c r="CC42" s="1404"/>
      <c r="CD42" s="1404"/>
      <c r="CE42" s="1404"/>
      <c r="CF42" s="1404"/>
      <c r="CG42" s="1404"/>
      <c r="CH42" s="1404"/>
      <c r="CI42" s="1404"/>
      <c r="CJ42" s="1404"/>
      <c r="CK42" s="1404"/>
      <c r="CL42" s="1404"/>
      <c r="CM42" s="1404"/>
    </row>
    <row r="43" spans="1:91" s="1035" customFormat="1" ht="15" customHeight="1">
      <c r="A43" s="2145"/>
      <c r="B43" s="2147"/>
      <c r="C43" s="1493" t="s">
        <v>1115</v>
      </c>
      <c r="D43" s="2020">
        <v>0</v>
      </c>
      <c r="E43" s="2147"/>
      <c r="F43" s="1404"/>
      <c r="G43" s="1404"/>
      <c r="H43" s="1404"/>
      <c r="I43" s="1404"/>
      <c r="J43" s="1404"/>
      <c r="K43" s="1404"/>
      <c r="L43" s="1404"/>
      <c r="M43" s="1404"/>
      <c r="N43" s="1404"/>
      <c r="O43" s="1404"/>
      <c r="P43" s="1404"/>
      <c r="Q43" s="1404"/>
      <c r="R43" s="1404"/>
      <c r="S43" s="1404"/>
      <c r="T43" s="1404"/>
      <c r="U43" s="1404"/>
      <c r="V43" s="1404"/>
      <c r="W43" s="1404"/>
      <c r="X43" s="1404"/>
      <c r="Y43" s="1404"/>
      <c r="Z43" s="1404"/>
      <c r="AA43" s="1404"/>
      <c r="AB43" s="1404"/>
      <c r="AC43" s="1404"/>
      <c r="AD43" s="1404"/>
      <c r="AE43" s="1404"/>
      <c r="AF43" s="1404"/>
      <c r="AG43" s="1404"/>
      <c r="AH43" s="1404"/>
      <c r="AI43" s="1404"/>
      <c r="AJ43" s="1404"/>
      <c r="AK43" s="1404"/>
      <c r="AL43" s="1404"/>
      <c r="AM43" s="1404"/>
      <c r="AN43" s="1404"/>
      <c r="AO43" s="1404"/>
      <c r="AP43" s="1404"/>
      <c r="AQ43" s="1404"/>
      <c r="AR43" s="1404"/>
      <c r="AS43" s="1404"/>
      <c r="AT43" s="1404"/>
      <c r="AU43" s="1404"/>
      <c r="AV43" s="1404"/>
      <c r="AW43" s="1404"/>
      <c r="AX43" s="1404"/>
      <c r="AY43" s="1404"/>
      <c r="AZ43" s="1404"/>
      <c r="BA43" s="1404"/>
      <c r="BB43" s="1404"/>
      <c r="BC43" s="1404"/>
      <c r="BD43" s="1404"/>
      <c r="BE43" s="1404"/>
      <c r="BF43" s="1404"/>
      <c r="BG43" s="1404"/>
      <c r="BH43" s="1404"/>
      <c r="BI43" s="1404"/>
      <c r="BJ43" s="1404"/>
      <c r="BK43" s="1404"/>
      <c r="BL43" s="1404"/>
      <c r="BM43" s="1404"/>
      <c r="BN43" s="1404"/>
      <c r="BO43" s="1404"/>
      <c r="BP43" s="1404"/>
      <c r="BQ43" s="1404"/>
      <c r="BR43" s="1404"/>
      <c r="BS43" s="1404"/>
      <c r="BT43" s="1404"/>
      <c r="BU43" s="1404"/>
      <c r="BV43" s="1404"/>
      <c r="BW43" s="1404"/>
      <c r="BX43" s="1404"/>
      <c r="BY43" s="1404"/>
      <c r="BZ43" s="1404"/>
      <c r="CA43" s="1404"/>
      <c r="CB43" s="1404"/>
      <c r="CC43" s="1404"/>
      <c r="CD43" s="1404"/>
      <c r="CE43" s="1404"/>
      <c r="CF43" s="1404"/>
      <c r="CG43" s="1404"/>
      <c r="CH43" s="1404"/>
      <c r="CI43" s="1404"/>
      <c r="CJ43" s="1404"/>
      <c r="CK43" s="1404"/>
      <c r="CL43" s="1404"/>
      <c r="CM43" s="1404"/>
    </row>
    <row r="44" spans="1:91" s="1032" customFormat="1" ht="15" customHeight="1" thickBot="1">
      <c r="A44" s="2163"/>
      <c r="B44" s="2153"/>
      <c r="C44" s="1410" t="s">
        <v>1954</v>
      </c>
      <c r="D44" s="2023">
        <v>0</v>
      </c>
      <c r="E44" s="2153"/>
      <c r="F44" s="1404"/>
      <c r="G44" s="1404"/>
      <c r="H44" s="1404"/>
      <c r="I44" s="1404"/>
      <c r="J44" s="1404"/>
      <c r="K44" s="1404"/>
      <c r="L44" s="1404"/>
      <c r="M44" s="1404"/>
      <c r="N44" s="1404"/>
      <c r="O44" s="1404"/>
      <c r="P44" s="1404"/>
      <c r="Q44" s="1404"/>
      <c r="R44" s="1404"/>
      <c r="S44" s="1404"/>
      <c r="T44" s="1404"/>
      <c r="U44" s="1404"/>
      <c r="V44" s="1404"/>
      <c r="W44" s="1404"/>
      <c r="X44" s="1404"/>
      <c r="Y44" s="1404"/>
      <c r="Z44" s="1404"/>
      <c r="AA44" s="1404"/>
      <c r="AB44" s="1404"/>
      <c r="AC44" s="1404"/>
      <c r="AD44" s="1404"/>
      <c r="AE44" s="1404"/>
      <c r="AF44" s="1404"/>
      <c r="AG44" s="1404"/>
      <c r="AH44" s="1404"/>
      <c r="AI44" s="1404"/>
      <c r="AJ44" s="1404"/>
      <c r="AK44" s="1404"/>
      <c r="AL44" s="1404"/>
      <c r="AM44" s="1404"/>
      <c r="AN44" s="1404"/>
      <c r="AO44" s="1404"/>
      <c r="AP44" s="1404"/>
      <c r="AQ44" s="1404"/>
      <c r="AR44" s="1404"/>
      <c r="AS44" s="1404"/>
      <c r="AT44" s="1404"/>
      <c r="AU44" s="1404"/>
      <c r="AV44" s="1404"/>
      <c r="AW44" s="1404"/>
      <c r="AX44" s="1404"/>
      <c r="AY44" s="1404"/>
      <c r="AZ44" s="1404"/>
      <c r="BA44" s="1404"/>
      <c r="BB44" s="1404"/>
      <c r="BC44" s="1404"/>
      <c r="BD44" s="1404"/>
      <c r="BE44" s="1404"/>
      <c r="BF44" s="1404"/>
      <c r="BG44" s="1404"/>
      <c r="BH44" s="1404"/>
      <c r="BI44" s="1404"/>
      <c r="BJ44" s="1404"/>
      <c r="BK44" s="1404"/>
      <c r="BL44" s="1404"/>
      <c r="BM44" s="1404"/>
      <c r="BN44" s="1404"/>
      <c r="BO44" s="1404"/>
      <c r="BP44" s="1404"/>
      <c r="BQ44" s="1404"/>
      <c r="BR44" s="1404"/>
      <c r="BS44" s="1404"/>
      <c r="BT44" s="1404"/>
      <c r="BU44" s="1404"/>
      <c r="BV44" s="1404"/>
      <c r="BW44" s="1404"/>
      <c r="BX44" s="1404"/>
      <c r="BY44" s="1404"/>
      <c r="BZ44" s="1404"/>
      <c r="CA44" s="1404"/>
      <c r="CB44" s="1404"/>
      <c r="CC44" s="1404"/>
      <c r="CD44" s="1404"/>
      <c r="CE44" s="1404"/>
      <c r="CF44" s="1404"/>
      <c r="CG44" s="1404"/>
      <c r="CH44" s="1404"/>
      <c r="CI44" s="1404"/>
      <c r="CJ44" s="1404"/>
      <c r="CK44" s="1404"/>
      <c r="CL44" s="1404"/>
      <c r="CM44" s="1404"/>
    </row>
    <row r="45" spans="1:91" ht="21" customHeight="1" thickBot="1">
      <c r="A45" s="2151" t="s">
        <v>761</v>
      </c>
      <c r="B45" s="2158" t="s">
        <v>611</v>
      </c>
      <c r="C45" s="1485" t="s">
        <v>2393</v>
      </c>
      <c r="D45" s="2019"/>
      <c r="E45" s="2158" t="s">
        <v>2803</v>
      </c>
    </row>
    <row r="46" spans="1:91" ht="15" customHeight="1">
      <c r="A46" s="2161"/>
      <c r="B46" s="2164"/>
      <c r="C46" s="1493" t="s">
        <v>1534</v>
      </c>
      <c r="D46" s="2074">
        <v>0</v>
      </c>
      <c r="E46" s="2164"/>
    </row>
    <row r="47" spans="1:91" ht="15" customHeight="1">
      <c r="A47" s="2161"/>
      <c r="B47" s="2164"/>
      <c r="C47" s="1412" t="s">
        <v>1535</v>
      </c>
      <c r="D47" s="2075">
        <v>0</v>
      </c>
      <c r="E47" s="2164"/>
    </row>
    <row r="48" spans="1:91" ht="15" customHeight="1">
      <c r="A48" s="2161"/>
      <c r="B48" s="2164"/>
      <c r="C48" s="1473" t="s">
        <v>1536</v>
      </c>
      <c r="D48" s="2075">
        <v>0</v>
      </c>
      <c r="E48" s="2164"/>
    </row>
    <row r="49" spans="1:91" ht="15" customHeight="1">
      <c r="A49" s="2161"/>
      <c r="B49" s="2164"/>
      <c r="C49" s="1473" t="s">
        <v>1537</v>
      </c>
      <c r="D49" s="2075">
        <v>0</v>
      </c>
      <c r="E49" s="2164"/>
    </row>
    <row r="50" spans="1:91" ht="15" customHeight="1" thickBot="1">
      <c r="A50" s="2161"/>
      <c r="B50" s="2165"/>
      <c r="C50" s="1410" t="s">
        <v>1538</v>
      </c>
      <c r="D50" s="2076">
        <v>0</v>
      </c>
      <c r="E50" s="2165"/>
    </row>
    <row r="51" spans="1:91" s="1034" customFormat="1" ht="21" customHeight="1" thickBot="1">
      <c r="A51" s="2150" t="s">
        <v>762</v>
      </c>
      <c r="B51" s="2148" t="s">
        <v>1135</v>
      </c>
      <c r="C51" s="405" t="s">
        <v>1152</v>
      </c>
      <c r="D51" s="2022"/>
      <c r="E51" s="2148" t="s">
        <v>2804</v>
      </c>
      <c r="F51" s="1404"/>
      <c r="G51" s="1404"/>
      <c r="H51" s="1404"/>
      <c r="I51" s="1404"/>
      <c r="J51" s="1404"/>
      <c r="K51" s="1404"/>
      <c r="L51" s="1404"/>
      <c r="M51" s="1404"/>
      <c r="N51" s="1404"/>
      <c r="O51" s="1404"/>
      <c r="P51" s="1404"/>
      <c r="Q51" s="1404"/>
      <c r="R51" s="1404"/>
      <c r="S51" s="1404"/>
      <c r="T51" s="1404"/>
      <c r="U51" s="1404"/>
      <c r="V51" s="1404"/>
      <c r="W51" s="1404"/>
      <c r="X51" s="1404"/>
      <c r="Y51" s="1404"/>
      <c r="Z51" s="1404"/>
      <c r="AA51" s="1404"/>
      <c r="AB51" s="1404"/>
      <c r="AC51" s="1404"/>
      <c r="AD51" s="1404"/>
      <c r="AE51" s="1404"/>
      <c r="AF51" s="1404"/>
      <c r="AG51" s="1404"/>
      <c r="AH51" s="1404"/>
      <c r="AI51" s="1404"/>
      <c r="AJ51" s="1404"/>
      <c r="AK51" s="1404"/>
      <c r="AL51" s="1404"/>
      <c r="AM51" s="1404"/>
      <c r="AN51" s="1404"/>
      <c r="AO51" s="1404"/>
      <c r="AP51" s="1404"/>
      <c r="AQ51" s="1404"/>
      <c r="AR51" s="1404"/>
      <c r="AS51" s="1404"/>
      <c r="AT51" s="1404"/>
      <c r="AU51" s="1404"/>
      <c r="AV51" s="1404"/>
      <c r="AW51" s="1404"/>
      <c r="AX51" s="1404"/>
      <c r="AY51" s="1404"/>
      <c r="AZ51" s="1404"/>
      <c r="BA51" s="1404"/>
      <c r="BB51" s="1404"/>
      <c r="BC51" s="1404"/>
      <c r="BD51" s="1404"/>
      <c r="BE51" s="1404"/>
      <c r="BF51" s="1404"/>
      <c r="BG51" s="1404"/>
      <c r="BH51" s="1404"/>
      <c r="BI51" s="1404"/>
      <c r="BJ51" s="1404"/>
      <c r="BK51" s="1404"/>
      <c r="BL51" s="1404"/>
      <c r="BM51" s="1404"/>
      <c r="BN51" s="1404"/>
      <c r="BO51" s="1404"/>
      <c r="BP51" s="1404"/>
      <c r="BQ51" s="1404"/>
      <c r="BR51" s="1404"/>
      <c r="BS51" s="1404"/>
      <c r="BT51" s="1404"/>
      <c r="BU51" s="1404"/>
      <c r="BV51" s="1404"/>
      <c r="BW51" s="1404"/>
      <c r="BX51" s="1404"/>
      <c r="BY51" s="1404"/>
      <c r="BZ51" s="1404"/>
      <c r="CA51" s="1404"/>
      <c r="CB51" s="1404"/>
      <c r="CC51" s="1404"/>
      <c r="CD51" s="1404"/>
      <c r="CE51" s="1404"/>
      <c r="CF51" s="1404"/>
      <c r="CG51" s="1404"/>
      <c r="CH51" s="1404"/>
      <c r="CI51" s="1404"/>
      <c r="CJ51" s="1404"/>
      <c r="CK51" s="1404"/>
      <c r="CL51" s="1404"/>
      <c r="CM51" s="1404"/>
    </row>
    <row r="52" spans="1:91" s="1035" customFormat="1" ht="15" customHeight="1">
      <c r="A52" s="2161"/>
      <c r="B52" s="2147"/>
      <c r="C52" s="1493" t="s">
        <v>1539</v>
      </c>
      <c r="D52" s="2075">
        <v>0</v>
      </c>
      <c r="E52" s="2147"/>
      <c r="F52" s="1404"/>
      <c r="G52" s="1404"/>
      <c r="H52" s="1404"/>
      <c r="I52" s="1404"/>
      <c r="J52" s="1404"/>
      <c r="K52" s="1404"/>
      <c r="L52" s="1404"/>
      <c r="M52" s="1404"/>
      <c r="N52" s="1404"/>
      <c r="O52" s="1404"/>
      <c r="P52" s="1404"/>
      <c r="Q52" s="1404"/>
      <c r="R52" s="1404"/>
      <c r="S52" s="1404"/>
      <c r="T52" s="1404"/>
      <c r="U52" s="1404"/>
      <c r="V52" s="1404"/>
      <c r="W52" s="1404"/>
      <c r="X52" s="1404"/>
      <c r="Y52" s="1404"/>
      <c r="Z52" s="1404"/>
      <c r="AA52" s="1404"/>
      <c r="AB52" s="1404"/>
      <c r="AC52" s="1404"/>
      <c r="AD52" s="1404"/>
      <c r="AE52" s="1404"/>
      <c r="AF52" s="1404"/>
      <c r="AG52" s="1404"/>
      <c r="AH52" s="1404"/>
      <c r="AI52" s="1404"/>
      <c r="AJ52" s="1404"/>
      <c r="AK52" s="1404"/>
      <c r="AL52" s="1404"/>
      <c r="AM52" s="1404"/>
      <c r="AN52" s="1404"/>
      <c r="AO52" s="1404"/>
      <c r="AP52" s="1404"/>
      <c r="AQ52" s="1404"/>
      <c r="AR52" s="1404"/>
      <c r="AS52" s="1404"/>
      <c r="AT52" s="1404"/>
      <c r="AU52" s="1404"/>
      <c r="AV52" s="1404"/>
      <c r="AW52" s="1404"/>
      <c r="AX52" s="1404"/>
      <c r="AY52" s="1404"/>
      <c r="AZ52" s="1404"/>
      <c r="BA52" s="1404"/>
      <c r="BB52" s="1404"/>
      <c r="BC52" s="1404"/>
      <c r="BD52" s="1404"/>
      <c r="BE52" s="1404"/>
      <c r="BF52" s="1404"/>
      <c r="BG52" s="1404"/>
      <c r="BH52" s="1404"/>
      <c r="BI52" s="1404"/>
      <c r="BJ52" s="1404"/>
      <c r="BK52" s="1404"/>
      <c r="BL52" s="1404"/>
      <c r="BM52" s="1404"/>
      <c r="BN52" s="1404"/>
      <c r="BO52" s="1404"/>
      <c r="BP52" s="1404"/>
      <c r="BQ52" s="1404"/>
      <c r="BR52" s="1404"/>
      <c r="BS52" s="1404"/>
      <c r="BT52" s="1404"/>
      <c r="BU52" s="1404"/>
      <c r="BV52" s="1404"/>
      <c r="BW52" s="1404"/>
      <c r="BX52" s="1404"/>
      <c r="BY52" s="1404"/>
      <c r="BZ52" s="1404"/>
      <c r="CA52" s="1404"/>
      <c r="CB52" s="1404"/>
      <c r="CC52" s="1404"/>
      <c r="CD52" s="1404"/>
      <c r="CE52" s="1404"/>
      <c r="CF52" s="1404"/>
      <c r="CG52" s="1404"/>
      <c r="CH52" s="1404"/>
      <c r="CI52" s="1404"/>
      <c r="CJ52" s="1404"/>
      <c r="CK52" s="1404"/>
      <c r="CL52" s="1404"/>
      <c r="CM52" s="1404"/>
    </row>
    <row r="53" spans="1:91" s="1035" customFormat="1" ht="15" customHeight="1">
      <c r="A53" s="2161"/>
      <c r="B53" s="2147"/>
      <c r="C53" s="1412" t="s">
        <v>1540</v>
      </c>
      <c r="D53" s="2020">
        <v>0</v>
      </c>
      <c r="E53" s="2147"/>
      <c r="F53" s="1404"/>
      <c r="G53" s="1404"/>
      <c r="H53" s="1404"/>
      <c r="I53" s="1404"/>
      <c r="J53" s="1404"/>
      <c r="K53" s="1404"/>
      <c r="L53" s="1404"/>
      <c r="M53" s="1404"/>
      <c r="N53" s="1404"/>
      <c r="O53" s="1404"/>
      <c r="P53" s="1404"/>
      <c r="Q53" s="1404"/>
      <c r="R53" s="1404"/>
      <c r="S53" s="1404"/>
      <c r="T53" s="1404"/>
      <c r="U53" s="1404"/>
      <c r="V53" s="1404"/>
      <c r="W53" s="1404"/>
      <c r="X53" s="1404"/>
      <c r="Y53" s="1404"/>
      <c r="Z53" s="1404"/>
      <c r="AA53" s="1404"/>
      <c r="AB53" s="1404"/>
      <c r="AC53" s="1404"/>
      <c r="AD53" s="1404"/>
      <c r="AE53" s="1404"/>
      <c r="AF53" s="1404"/>
      <c r="AG53" s="1404"/>
      <c r="AH53" s="1404"/>
      <c r="AI53" s="1404"/>
      <c r="AJ53" s="1404"/>
      <c r="AK53" s="1404"/>
      <c r="AL53" s="1404"/>
      <c r="AM53" s="1404"/>
      <c r="AN53" s="1404"/>
      <c r="AO53" s="1404"/>
      <c r="AP53" s="1404"/>
      <c r="AQ53" s="1404"/>
      <c r="AR53" s="1404"/>
      <c r="AS53" s="1404"/>
      <c r="AT53" s="1404"/>
      <c r="AU53" s="1404"/>
      <c r="AV53" s="1404"/>
      <c r="AW53" s="1404"/>
      <c r="AX53" s="1404"/>
      <c r="AY53" s="1404"/>
      <c r="AZ53" s="1404"/>
      <c r="BA53" s="1404"/>
      <c r="BB53" s="1404"/>
      <c r="BC53" s="1404"/>
      <c r="BD53" s="1404"/>
      <c r="BE53" s="1404"/>
      <c r="BF53" s="1404"/>
      <c r="BG53" s="1404"/>
      <c r="BH53" s="1404"/>
      <c r="BI53" s="1404"/>
      <c r="BJ53" s="1404"/>
      <c r="BK53" s="1404"/>
      <c r="BL53" s="1404"/>
      <c r="BM53" s="1404"/>
      <c r="BN53" s="1404"/>
      <c r="BO53" s="1404"/>
      <c r="BP53" s="1404"/>
      <c r="BQ53" s="1404"/>
      <c r="BR53" s="1404"/>
      <c r="BS53" s="1404"/>
      <c r="BT53" s="1404"/>
      <c r="BU53" s="1404"/>
      <c r="BV53" s="1404"/>
      <c r="BW53" s="1404"/>
      <c r="BX53" s="1404"/>
      <c r="BY53" s="1404"/>
      <c r="BZ53" s="1404"/>
      <c r="CA53" s="1404"/>
      <c r="CB53" s="1404"/>
      <c r="CC53" s="1404"/>
      <c r="CD53" s="1404"/>
      <c r="CE53" s="1404"/>
      <c r="CF53" s="1404"/>
      <c r="CG53" s="1404"/>
      <c r="CH53" s="1404"/>
      <c r="CI53" s="1404"/>
      <c r="CJ53" s="1404"/>
      <c r="CK53" s="1404"/>
      <c r="CL53" s="1404"/>
      <c r="CM53" s="1404"/>
    </row>
    <row r="54" spans="1:91" s="1035" customFormat="1" ht="15" customHeight="1">
      <c r="A54" s="2161"/>
      <c r="B54" s="2147"/>
      <c r="C54" s="1473" t="s">
        <v>1541</v>
      </c>
      <c r="D54" s="2020">
        <v>0</v>
      </c>
      <c r="E54" s="2147"/>
      <c r="F54" s="1404"/>
      <c r="G54" s="1404"/>
      <c r="H54" s="1404"/>
      <c r="I54" s="1404"/>
      <c r="J54" s="1404"/>
      <c r="K54" s="1404"/>
      <c r="L54" s="1404"/>
      <c r="M54" s="1404"/>
      <c r="N54" s="1404"/>
      <c r="O54" s="1404"/>
      <c r="P54" s="1404"/>
      <c r="Q54" s="1404"/>
      <c r="R54" s="1404"/>
      <c r="S54" s="1404"/>
      <c r="T54" s="1404"/>
      <c r="U54" s="1404"/>
      <c r="V54" s="1404"/>
      <c r="W54" s="1404"/>
      <c r="X54" s="1404"/>
      <c r="Y54" s="1404"/>
      <c r="Z54" s="1404"/>
      <c r="AA54" s="1404"/>
      <c r="AB54" s="1404"/>
      <c r="AC54" s="1404"/>
      <c r="AD54" s="1404"/>
      <c r="AE54" s="1404"/>
      <c r="AF54" s="1404"/>
      <c r="AG54" s="1404"/>
      <c r="AH54" s="1404"/>
      <c r="AI54" s="1404"/>
      <c r="AJ54" s="1404"/>
      <c r="AK54" s="1404"/>
      <c r="AL54" s="1404"/>
      <c r="AM54" s="1404"/>
      <c r="AN54" s="1404"/>
      <c r="AO54" s="1404"/>
      <c r="AP54" s="1404"/>
      <c r="AQ54" s="1404"/>
      <c r="AR54" s="1404"/>
      <c r="AS54" s="1404"/>
      <c r="AT54" s="1404"/>
      <c r="AU54" s="1404"/>
      <c r="AV54" s="1404"/>
      <c r="AW54" s="1404"/>
      <c r="AX54" s="1404"/>
      <c r="AY54" s="1404"/>
      <c r="AZ54" s="1404"/>
      <c r="BA54" s="1404"/>
      <c r="BB54" s="1404"/>
      <c r="BC54" s="1404"/>
      <c r="BD54" s="1404"/>
      <c r="BE54" s="1404"/>
      <c r="BF54" s="1404"/>
      <c r="BG54" s="1404"/>
      <c r="BH54" s="1404"/>
      <c r="BI54" s="1404"/>
      <c r="BJ54" s="1404"/>
      <c r="BK54" s="1404"/>
      <c r="BL54" s="1404"/>
      <c r="BM54" s="1404"/>
      <c r="BN54" s="1404"/>
      <c r="BO54" s="1404"/>
      <c r="BP54" s="1404"/>
      <c r="BQ54" s="1404"/>
      <c r="BR54" s="1404"/>
      <c r="BS54" s="1404"/>
      <c r="BT54" s="1404"/>
      <c r="BU54" s="1404"/>
      <c r="BV54" s="1404"/>
      <c r="BW54" s="1404"/>
      <c r="BX54" s="1404"/>
      <c r="BY54" s="1404"/>
      <c r="BZ54" s="1404"/>
      <c r="CA54" s="1404"/>
      <c r="CB54" s="1404"/>
      <c r="CC54" s="1404"/>
      <c r="CD54" s="1404"/>
      <c r="CE54" s="1404"/>
      <c r="CF54" s="1404"/>
      <c r="CG54" s="1404"/>
      <c r="CH54" s="1404"/>
      <c r="CI54" s="1404"/>
      <c r="CJ54" s="1404"/>
      <c r="CK54" s="1404"/>
      <c r="CL54" s="1404"/>
      <c r="CM54" s="1404"/>
    </row>
    <row r="55" spans="1:91" s="1035" customFormat="1" ht="15" customHeight="1">
      <c r="A55" s="2161"/>
      <c r="B55" s="2147"/>
      <c r="C55" s="1473" t="s">
        <v>1482</v>
      </c>
      <c r="D55" s="2020">
        <v>0</v>
      </c>
      <c r="E55" s="2147"/>
      <c r="F55" s="1404"/>
      <c r="G55" s="1404"/>
      <c r="H55" s="1404"/>
      <c r="I55" s="1404"/>
      <c r="J55" s="1404"/>
      <c r="K55" s="1404"/>
      <c r="L55" s="1404"/>
      <c r="M55" s="1404"/>
      <c r="N55" s="1404"/>
      <c r="O55" s="1404"/>
      <c r="P55" s="1404"/>
      <c r="Q55" s="1404"/>
      <c r="R55" s="1404"/>
      <c r="S55" s="1404"/>
      <c r="T55" s="1404"/>
      <c r="U55" s="1404"/>
      <c r="V55" s="1404"/>
      <c r="W55" s="1404"/>
      <c r="X55" s="1404"/>
      <c r="Y55" s="1404"/>
      <c r="Z55" s="1404"/>
      <c r="AA55" s="1404"/>
      <c r="AB55" s="1404"/>
      <c r="AC55" s="1404"/>
      <c r="AD55" s="1404"/>
      <c r="AE55" s="1404"/>
      <c r="AF55" s="1404"/>
      <c r="AG55" s="1404"/>
      <c r="AH55" s="1404"/>
      <c r="AI55" s="1404"/>
      <c r="AJ55" s="1404"/>
      <c r="AK55" s="1404"/>
      <c r="AL55" s="1404"/>
      <c r="AM55" s="1404"/>
      <c r="AN55" s="1404"/>
      <c r="AO55" s="1404"/>
      <c r="AP55" s="1404"/>
      <c r="AQ55" s="1404"/>
      <c r="AR55" s="1404"/>
      <c r="AS55" s="1404"/>
      <c r="AT55" s="1404"/>
      <c r="AU55" s="1404"/>
      <c r="AV55" s="1404"/>
      <c r="AW55" s="1404"/>
      <c r="AX55" s="1404"/>
      <c r="AY55" s="1404"/>
      <c r="AZ55" s="1404"/>
      <c r="BA55" s="1404"/>
      <c r="BB55" s="1404"/>
      <c r="BC55" s="1404"/>
      <c r="BD55" s="1404"/>
      <c r="BE55" s="1404"/>
      <c r="BF55" s="1404"/>
      <c r="BG55" s="1404"/>
      <c r="BH55" s="1404"/>
      <c r="BI55" s="1404"/>
      <c r="BJ55" s="1404"/>
      <c r="BK55" s="1404"/>
      <c r="BL55" s="1404"/>
      <c r="BM55" s="1404"/>
      <c r="BN55" s="1404"/>
      <c r="BO55" s="1404"/>
      <c r="BP55" s="1404"/>
      <c r="BQ55" s="1404"/>
      <c r="BR55" s="1404"/>
      <c r="BS55" s="1404"/>
      <c r="BT55" s="1404"/>
      <c r="BU55" s="1404"/>
      <c r="BV55" s="1404"/>
      <c r="BW55" s="1404"/>
      <c r="BX55" s="1404"/>
      <c r="BY55" s="1404"/>
      <c r="BZ55" s="1404"/>
      <c r="CA55" s="1404"/>
      <c r="CB55" s="1404"/>
      <c r="CC55" s="1404"/>
      <c r="CD55" s="1404"/>
      <c r="CE55" s="1404"/>
      <c r="CF55" s="1404"/>
      <c r="CG55" s="1404"/>
      <c r="CH55" s="1404"/>
      <c r="CI55" s="1404"/>
      <c r="CJ55" s="1404"/>
      <c r="CK55" s="1404"/>
      <c r="CL55" s="1404"/>
      <c r="CM55" s="1404"/>
    </row>
    <row r="56" spans="1:91" s="1035" customFormat="1" ht="15" customHeight="1">
      <c r="A56" s="2161"/>
      <c r="B56" s="2147"/>
      <c r="C56" s="1473" t="s">
        <v>1535</v>
      </c>
      <c r="D56" s="2020">
        <v>0</v>
      </c>
      <c r="E56" s="2147"/>
      <c r="F56" s="1404"/>
      <c r="G56" s="1404"/>
      <c r="H56" s="1404"/>
      <c r="I56" s="1404"/>
      <c r="J56" s="1404"/>
      <c r="K56" s="1404"/>
      <c r="L56" s="1404"/>
      <c r="M56" s="1404"/>
      <c r="N56" s="1404"/>
      <c r="O56" s="1404"/>
      <c r="P56" s="1404"/>
      <c r="Q56" s="1404"/>
      <c r="R56" s="1404"/>
      <c r="S56" s="1404"/>
      <c r="T56" s="1404"/>
      <c r="U56" s="1404"/>
      <c r="V56" s="1404"/>
      <c r="W56" s="1404"/>
      <c r="X56" s="1404"/>
      <c r="Y56" s="1404"/>
      <c r="Z56" s="1404"/>
      <c r="AA56" s="1404"/>
      <c r="AB56" s="1404"/>
      <c r="AC56" s="1404"/>
      <c r="AD56" s="1404"/>
      <c r="AE56" s="1404"/>
      <c r="AF56" s="1404"/>
      <c r="AG56" s="1404"/>
      <c r="AH56" s="1404"/>
      <c r="AI56" s="1404"/>
      <c r="AJ56" s="1404"/>
      <c r="AK56" s="1404"/>
      <c r="AL56" s="1404"/>
      <c r="AM56" s="1404"/>
      <c r="AN56" s="1404"/>
      <c r="AO56" s="1404"/>
      <c r="AP56" s="1404"/>
      <c r="AQ56" s="1404"/>
      <c r="AR56" s="1404"/>
      <c r="AS56" s="1404"/>
      <c r="AT56" s="1404"/>
      <c r="AU56" s="1404"/>
      <c r="AV56" s="1404"/>
      <c r="AW56" s="1404"/>
      <c r="AX56" s="1404"/>
      <c r="AY56" s="1404"/>
      <c r="AZ56" s="1404"/>
      <c r="BA56" s="1404"/>
      <c r="BB56" s="1404"/>
      <c r="BC56" s="1404"/>
      <c r="BD56" s="1404"/>
      <c r="BE56" s="1404"/>
      <c r="BF56" s="1404"/>
      <c r="BG56" s="1404"/>
      <c r="BH56" s="1404"/>
      <c r="BI56" s="1404"/>
      <c r="BJ56" s="1404"/>
      <c r="BK56" s="1404"/>
      <c r="BL56" s="1404"/>
      <c r="BM56" s="1404"/>
      <c r="BN56" s="1404"/>
      <c r="BO56" s="1404"/>
      <c r="BP56" s="1404"/>
      <c r="BQ56" s="1404"/>
      <c r="BR56" s="1404"/>
      <c r="BS56" s="1404"/>
      <c r="BT56" s="1404"/>
      <c r="BU56" s="1404"/>
      <c r="BV56" s="1404"/>
      <c r="BW56" s="1404"/>
      <c r="BX56" s="1404"/>
      <c r="BY56" s="1404"/>
      <c r="BZ56" s="1404"/>
      <c r="CA56" s="1404"/>
      <c r="CB56" s="1404"/>
      <c r="CC56" s="1404"/>
      <c r="CD56" s="1404"/>
      <c r="CE56" s="1404"/>
      <c r="CF56" s="1404"/>
      <c r="CG56" s="1404"/>
      <c r="CH56" s="1404"/>
      <c r="CI56" s="1404"/>
      <c r="CJ56" s="1404"/>
      <c r="CK56" s="1404"/>
      <c r="CL56" s="1404"/>
      <c r="CM56" s="1404"/>
    </row>
    <row r="57" spans="1:91" s="1032" customFormat="1" ht="15" customHeight="1" thickBot="1">
      <c r="A57" s="2162"/>
      <c r="B57" s="2153"/>
      <c r="C57" s="1410" t="s">
        <v>1542</v>
      </c>
      <c r="D57" s="2023">
        <v>0</v>
      </c>
      <c r="E57" s="2153"/>
      <c r="F57" s="1404"/>
      <c r="G57" s="1404"/>
      <c r="H57" s="1404"/>
      <c r="I57" s="1404"/>
      <c r="J57" s="1404"/>
      <c r="K57" s="1404"/>
      <c r="L57" s="1404"/>
      <c r="M57" s="1404"/>
      <c r="N57" s="1404"/>
      <c r="O57" s="1404"/>
      <c r="P57" s="1404"/>
      <c r="Q57" s="1404"/>
      <c r="R57" s="1404"/>
      <c r="S57" s="1404"/>
      <c r="T57" s="1404"/>
      <c r="U57" s="1404"/>
      <c r="V57" s="1404"/>
      <c r="W57" s="1404"/>
      <c r="X57" s="1404"/>
      <c r="Y57" s="1404"/>
      <c r="Z57" s="1404"/>
      <c r="AA57" s="1404"/>
      <c r="AB57" s="1404"/>
      <c r="AC57" s="1404"/>
      <c r="AD57" s="1404"/>
      <c r="AE57" s="1404"/>
      <c r="AF57" s="1404"/>
      <c r="AG57" s="1404"/>
      <c r="AH57" s="1404"/>
      <c r="AI57" s="1404"/>
      <c r="AJ57" s="1404"/>
      <c r="AK57" s="1404"/>
      <c r="AL57" s="1404"/>
      <c r="AM57" s="1404"/>
      <c r="AN57" s="1404"/>
      <c r="AO57" s="1404"/>
      <c r="AP57" s="1404"/>
      <c r="AQ57" s="1404"/>
      <c r="AR57" s="1404"/>
      <c r="AS57" s="1404"/>
      <c r="AT57" s="1404"/>
      <c r="AU57" s="1404"/>
      <c r="AV57" s="1404"/>
      <c r="AW57" s="1404"/>
      <c r="AX57" s="1404"/>
      <c r="AY57" s="1404"/>
      <c r="AZ57" s="1404"/>
      <c r="BA57" s="1404"/>
      <c r="BB57" s="1404"/>
      <c r="BC57" s="1404"/>
      <c r="BD57" s="1404"/>
      <c r="BE57" s="1404"/>
      <c r="BF57" s="1404"/>
      <c r="BG57" s="1404"/>
      <c r="BH57" s="1404"/>
      <c r="BI57" s="1404"/>
      <c r="BJ57" s="1404"/>
      <c r="BK57" s="1404"/>
      <c r="BL57" s="1404"/>
      <c r="BM57" s="1404"/>
      <c r="BN57" s="1404"/>
      <c r="BO57" s="1404"/>
      <c r="BP57" s="1404"/>
      <c r="BQ57" s="1404"/>
      <c r="BR57" s="1404"/>
      <c r="BS57" s="1404"/>
      <c r="BT57" s="1404"/>
      <c r="BU57" s="1404"/>
      <c r="BV57" s="1404"/>
      <c r="BW57" s="1404"/>
      <c r="BX57" s="1404"/>
      <c r="BY57" s="1404"/>
      <c r="BZ57" s="1404"/>
      <c r="CA57" s="1404"/>
      <c r="CB57" s="1404"/>
      <c r="CC57" s="1404"/>
      <c r="CD57" s="1404"/>
      <c r="CE57" s="1404"/>
      <c r="CF57" s="1404"/>
      <c r="CG57" s="1404"/>
      <c r="CH57" s="1404"/>
      <c r="CI57" s="1404"/>
      <c r="CJ57" s="1404"/>
      <c r="CK57" s="1404"/>
      <c r="CL57" s="1404"/>
      <c r="CM57" s="1404"/>
    </row>
    <row r="58" spans="1:91" s="1037" customFormat="1" ht="45" customHeight="1" thickBot="1">
      <c r="A58" s="1116" t="s">
        <v>763</v>
      </c>
      <c r="B58" s="1465" t="s">
        <v>1262</v>
      </c>
      <c r="C58" s="1483" t="s">
        <v>2249</v>
      </c>
      <c r="D58" s="2077">
        <v>0</v>
      </c>
      <c r="E58" s="1928" t="s">
        <v>2877</v>
      </c>
      <c r="F58" s="1404"/>
      <c r="G58" s="1407"/>
      <c r="H58" s="1407"/>
      <c r="I58" s="1407"/>
      <c r="J58" s="1407"/>
      <c r="K58" s="1407"/>
      <c r="L58" s="1407"/>
      <c r="M58" s="1407"/>
      <c r="N58" s="1407"/>
      <c r="O58" s="1407"/>
      <c r="P58" s="1407"/>
      <c r="Q58" s="1407"/>
      <c r="R58" s="1407"/>
      <c r="S58" s="1407"/>
      <c r="T58" s="1407"/>
      <c r="U58" s="1407"/>
      <c r="V58" s="1407"/>
      <c r="W58" s="1407"/>
      <c r="X58" s="1407"/>
      <c r="Y58" s="1407"/>
      <c r="Z58" s="1407"/>
      <c r="AA58" s="1407"/>
      <c r="AB58" s="1407"/>
      <c r="AC58" s="1407"/>
      <c r="AD58" s="1407"/>
      <c r="AE58" s="1407"/>
      <c r="AF58" s="1407"/>
      <c r="AG58" s="1407"/>
      <c r="AH58" s="1407"/>
      <c r="AI58" s="1407"/>
      <c r="AJ58" s="1407"/>
      <c r="AK58" s="1407"/>
      <c r="AL58" s="1407"/>
      <c r="AM58" s="1407"/>
      <c r="AN58" s="1407"/>
      <c r="AO58" s="1407"/>
      <c r="AP58" s="1407"/>
      <c r="AQ58" s="1407"/>
      <c r="AR58" s="1407"/>
      <c r="AS58" s="1407"/>
      <c r="AT58" s="1407"/>
      <c r="AU58" s="1407"/>
      <c r="AV58" s="1407"/>
      <c r="AW58" s="1407"/>
      <c r="AX58" s="1407"/>
      <c r="AY58" s="1407"/>
      <c r="AZ58" s="1407"/>
      <c r="BA58" s="1407"/>
      <c r="BB58" s="1407"/>
      <c r="BC58" s="1407"/>
      <c r="BD58" s="1407"/>
      <c r="BE58" s="1407"/>
      <c r="BF58" s="1407"/>
      <c r="BG58" s="1407"/>
      <c r="BH58" s="1407"/>
      <c r="BI58" s="1407"/>
      <c r="BJ58" s="1407"/>
      <c r="BK58" s="1407"/>
      <c r="BL58" s="1407"/>
      <c r="BM58" s="1407"/>
      <c r="BN58" s="1407"/>
      <c r="BO58" s="1407"/>
      <c r="BP58" s="1407"/>
      <c r="BQ58" s="1407"/>
      <c r="BR58" s="1407"/>
      <c r="BS58" s="1407"/>
      <c r="BT58" s="1407"/>
      <c r="BU58" s="1407"/>
      <c r="BV58" s="1407"/>
      <c r="BW58" s="1407"/>
      <c r="BX58" s="1407"/>
      <c r="BY58" s="1407"/>
      <c r="BZ58" s="1407"/>
      <c r="CA58" s="1407"/>
      <c r="CB58" s="1407"/>
      <c r="CC58" s="1407"/>
      <c r="CD58" s="1407"/>
      <c r="CE58" s="1407"/>
      <c r="CF58" s="1407"/>
      <c r="CG58" s="1407"/>
      <c r="CH58" s="1407"/>
      <c r="CI58" s="1407"/>
      <c r="CJ58" s="1407"/>
      <c r="CK58" s="1407"/>
      <c r="CL58" s="1407"/>
      <c r="CM58" s="1407"/>
    </row>
    <row r="59" spans="1:91" s="1034" customFormat="1" ht="21" customHeight="1" thickBot="1">
      <c r="A59" s="2155" t="s">
        <v>764</v>
      </c>
      <c r="B59" s="2148" t="s">
        <v>1581</v>
      </c>
      <c r="C59" s="405" t="s">
        <v>2225</v>
      </c>
      <c r="D59" s="2022"/>
      <c r="E59" s="2148" t="s">
        <v>2878</v>
      </c>
      <c r="F59" s="1404"/>
      <c r="G59" s="1404"/>
      <c r="H59" s="1404"/>
      <c r="I59" s="1404"/>
      <c r="J59" s="1404"/>
      <c r="K59" s="1404"/>
      <c r="L59" s="1404"/>
      <c r="M59" s="1404"/>
      <c r="N59" s="1404"/>
      <c r="O59" s="1404"/>
      <c r="P59" s="1404"/>
      <c r="Q59" s="1404"/>
      <c r="R59" s="1404"/>
      <c r="S59" s="1404"/>
      <c r="T59" s="1404"/>
      <c r="U59" s="1404"/>
      <c r="V59" s="1404"/>
      <c r="W59" s="1404"/>
      <c r="X59" s="1404"/>
      <c r="Y59" s="1404"/>
      <c r="Z59" s="1404"/>
      <c r="AA59" s="1404"/>
      <c r="AB59" s="1404"/>
      <c r="AC59" s="1404"/>
      <c r="AD59" s="1404"/>
      <c r="AE59" s="1404"/>
      <c r="AF59" s="1404"/>
      <c r="AG59" s="1404"/>
      <c r="AH59" s="1404"/>
      <c r="AI59" s="1404"/>
      <c r="AJ59" s="1404"/>
      <c r="AK59" s="1404"/>
      <c r="AL59" s="1404"/>
      <c r="AM59" s="1404"/>
      <c r="AN59" s="1404"/>
      <c r="AO59" s="1404"/>
      <c r="AP59" s="1404"/>
      <c r="AQ59" s="1404"/>
      <c r="AR59" s="1404"/>
      <c r="AS59" s="1404"/>
      <c r="AT59" s="1404"/>
      <c r="AU59" s="1404"/>
      <c r="AV59" s="1404"/>
      <c r="AW59" s="1404"/>
      <c r="AX59" s="1404"/>
      <c r="AY59" s="1404"/>
      <c r="AZ59" s="1404"/>
      <c r="BA59" s="1404"/>
      <c r="BB59" s="1404"/>
      <c r="BC59" s="1404"/>
      <c r="BD59" s="1404"/>
      <c r="BE59" s="1404"/>
      <c r="BF59" s="1404"/>
      <c r="BG59" s="1404"/>
      <c r="BH59" s="1404"/>
      <c r="BI59" s="1404"/>
      <c r="BJ59" s="1404"/>
      <c r="BK59" s="1404"/>
      <c r="BL59" s="1404"/>
      <c r="BM59" s="1404"/>
      <c r="BN59" s="1404"/>
      <c r="BO59" s="1404"/>
      <c r="BP59" s="1404"/>
      <c r="BQ59" s="1404"/>
      <c r="BR59" s="1404"/>
      <c r="BS59" s="1404"/>
      <c r="BT59" s="1404"/>
      <c r="BU59" s="1404"/>
      <c r="BV59" s="1404"/>
      <c r="BW59" s="1404"/>
      <c r="BX59" s="1404"/>
      <c r="BY59" s="1404"/>
      <c r="BZ59" s="1404"/>
      <c r="CA59" s="1404"/>
      <c r="CB59" s="1404"/>
      <c r="CC59" s="1404"/>
      <c r="CD59" s="1404"/>
      <c r="CE59" s="1404"/>
      <c r="CF59" s="1404"/>
      <c r="CG59" s="1404"/>
      <c r="CH59" s="1404"/>
      <c r="CI59" s="1404"/>
      <c r="CJ59" s="1404"/>
      <c r="CK59" s="1404"/>
      <c r="CL59" s="1404"/>
      <c r="CM59" s="1404"/>
    </row>
    <row r="60" spans="1:91" s="1035" customFormat="1" ht="15" customHeight="1">
      <c r="A60" s="2156"/>
      <c r="B60" s="2147"/>
      <c r="C60" s="1493" t="s">
        <v>1773</v>
      </c>
      <c r="D60" s="2020">
        <v>0</v>
      </c>
      <c r="E60" s="2147"/>
      <c r="F60" s="1404"/>
      <c r="G60" s="1404"/>
      <c r="H60" s="1404"/>
      <c r="I60" s="1404"/>
      <c r="J60" s="1404"/>
      <c r="K60" s="1404"/>
      <c r="L60" s="1404"/>
      <c r="M60" s="1404"/>
      <c r="N60" s="1404"/>
      <c r="O60" s="1404"/>
      <c r="P60" s="1404"/>
      <c r="Q60" s="1404"/>
      <c r="R60" s="1404"/>
      <c r="S60" s="1404"/>
      <c r="T60" s="1404"/>
      <c r="U60" s="1404"/>
      <c r="V60" s="1404"/>
      <c r="W60" s="1404"/>
      <c r="X60" s="1404"/>
      <c r="Y60" s="1404"/>
      <c r="Z60" s="1404"/>
      <c r="AA60" s="1404"/>
      <c r="AB60" s="1404"/>
      <c r="AC60" s="1404"/>
      <c r="AD60" s="1404"/>
      <c r="AE60" s="1404"/>
      <c r="AF60" s="1404"/>
      <c r="AG60" s="1404"/>
      <c r="AH60" s="1404"/>
      <c r="AI60" s="1404"/>
      <c r="AJ60" s="1404"/>
      <c r="AK60" s="1404"/>
      <c r="AL60" s="1404"/>
      <c r="AM60" s="1404"/>
      <c r="AN60" s="1404"/>
      <c r="AO60" s="1404"/>
      <c r="AP60" s="1404"/>
      <c r="AQ60" s="1404"/>
      <c r="AR60" s="1404"/>
      <c r="AS60" s="1404"/>
      <c r="AT60" s="1404"/>
      <c r="AU60" s="1404"/>
      <c r="AV60" s="1404"/>
      <c r="AW60" s="1404"/>
      <c r="AX60" s="1404"/>
      <c r="AY60" s="1404"/>
      <c r="AZ60" s="1404"/>
      <c r="BA60" s="1404"/>
      <c r="BB60" s="1404"/>
      <c r="BC60" s="1404"/>
      <c r="BD60" s="1404"/>
      <c r="BE60" s="1404"/>
      <c r="BF60" s="1404"/>
      <c r="BG60" s="1404"/>
      <c r="BH60" s="1404"/>
      <c r="BI60" s="1404"/>
      <c r="BJ60" s="1404"/>
      <c r="BK60" s="1404"/>
      <c r="BL60" s="1404"/>
      <c r="BM60" s="1404"/>
      <c r="BN60" s="1404"/>
      <c r="BO60" s="1404"/>
      <c r="BP60" s="1404"/>
      <c r="BQ60" s="1404"/>
      <c r="BR60" s="1404"/>
      <c r="BS60" s="1404"/>
      <c r="BT60" s="1404"/>
      <c r="BU60" s="1404"/>
      <c r="BV60" s="1404"/>
      <c r="BW60" s="1404"/>
      <c r="BX60" s="1404"/>
      <c r="BY60" s="1404"/>
      <c r="BZ60" s="1404"/>
      <c r="CA60" s="1404"/>
      <c r="CB60" s="1404"/>
      <c r="CC60" s="1404"/>
      <c r="CD60" s="1404"/>
      <c r="CE60" s="1404"/>
      <c r="CF60" s="1404"/>
      <c r="CG60" s="1404"/>
      <c r="CH60" s="1404"/>
      <c r="CI60" s="1404"/>
      <c r="CJ60" s="1404"/>
      <c r="CK60" s="1404"/>
      <c r="CL60" s="1404"/>
      <c r="CM60" s="1404"/>
    </row>
    <row r="61" spans="1:91" s="1035" customFormat="1" ht="15" customHeight="1">
      <c r="A61" s="2156"/>
      <c r="B61" s="2147"/>
      <c r="C61" s="1412" t="s">
        <v>2491</v>
      </c>
      <c r="D61" s="2020">
        <v>0</v>
      </c>
      <c r="E61" s="2147"/>
      <c r="F61" s="1404"/>
      <c r="G61" s="1404"/>
      <c r="H61" s="1404"/>
      <c r="I61" s="1404"/>
      <c r="J61" s="1404"/>
      <c r="K61" s="1404"/>
      <c r="L61" s="1404"/>
      <c r="M61" s="1404"/>
      <c r="N61" s="1404"/>
      <c r="O61" s="1404"/>
      <c r="P61" s="1404"/>
      <c r="Q61" s="1404"/>
      <c r="R61" s="1404"/>
      <c r="S61" s="1404"/>
      <c r="T61" s="1404"/>
      <c r="U61" s="1404"/>
      <c r="V61" s="1404"/>
      <c r="W61" s="1404"/>
      <c r="X61" s="1404"/>
      <c r="Y61" s="1404"/>
      <c r="Z61" s="1404"/>
      <c r="AA61" s="1404"/>
      <c r="AB61" s="1404"/>
      <c r="AC61" s="1404"/>
      <c r="AD61" s="1404"/>
      <c r="AE61" s="1404"/>
      <c r="AF61" s="1404"/>
      <c r="AG61" s="1404"/>
      <c r="AH61" s="1404"/>
      <c r="AI61" s="1404"/>
      <c r="AJ61" s="1404"/>
      <c r="AK61" s="1404"/>
      <c r="AL61" s="1404"/>
      <c r="AM61" s="1404"/>
      <c r="AN61" s="1404"/>
      <c r="AO61" s="1404"/>
      <c r="AP61" s="1404"/>
      <c r="AQ61" s="1404"/>
      <c r="AR61" s="1404"/>
      <c r="AS61" s="1404"/>
      <c r="AT61" s="1404"/>
      <c r="AU61" s="1404"/>
      <c r="AV61" s="1404"/>
      <c r="AW61" s="1404"/>
      <c r="AX61" s="1404"/>
      <c r="AY61" s="1404"/>
      <c r="AZ61" s="1404"/>
      <c r="BA61" s="1404"/>
      <c r="BB61" s="1404"/>
      <c r="BC61" s="1404"/>
      <c r="BD61" s="1404"/>
      <c r="BE61" s="1404"/>
      <c r="BF61" s="1404"/>
      <c r="BG61" s="1404"/>
      <c r="BH61" s="1404"/>
      <c r="BI61" s="1404"/>
      <c r="BJ61" s="1404"/>
      <c r="BK61" s="1404"/>
      <c r="BL61" s="1404"/>
      <c r="BM61" s="1404"/>
      <c r="BN61" s="1404"/>
      <c r="BO61" s="1404"/>
      <c r="BP61" s="1404"/>
      <c r="BQ61" s="1404"/>
      <c r="BR61" s="1404"/>
      <c r="BS61" s="1404"/>
      <c r="BT61" s="1404"/>
      <c r="BU61" s="1404"/>
      <c r="BV61" s="1404"/>
      <c r="BW61" s="1404"/>
      <c r="BX61" s="1404"/>
      <c r="BY61" s="1404"/>
      <c r="BZ61" s="1404"/>
      <c r="CA61" s="1404"/>
      <c r="CB61" s="1404"/>
      <c r="CC61" s="1404"/>
      <c r="CD61" s="1404"/>
      <c r="CE61" s="1404"/>
      <c r="CF61" s="1404"/>
      <c r="CG61" s="1404"/>
      <c r="CH61" s="1404"/>
      <c r="CI61" s="1404"/>
      <c r="CJ61" s="1404"/>
      <c r="CK61" s="1404"/>
      <c r="CL61" s="1404"/>
      <c r="CM61" s="1404"/>
    </row>
    <row r="62" spans="1:91" s="1035" customFormat="1" ht="15" customHeight="1">
      <c r="A62" s="2156"/>
      <c r="B62" s="2147"/>
      <c r="C62" s="1412" t="s">
        <v>2492</v>
      </c>
      <c r="D62" s="2020">
        <v>0</v>
      </c>
      <c r="E62" s="2147"/>
      <c r="F62" s="1404"/>
      <c r="G62" s="1404"/>
      <c r="H62" s="1404"/>
      <c r="I62" s="1404"/>
      <c r="J62" s="1404"/>
      <c r="K62" s="1404"/>
      <c r="L62" s="1404"/>
      <c r="M62" s="1404"/>
      <c r="N62" s="1404"/>
      <c r="O62" s="1404"/>
      <c r="P62" s="1404"/>
      <c r="Q62" s="1404"/>
      <c r="R62" s="1404"/>
      <c r="S62" s="1404"/>
      <c r="T62" s="1404"/>
      <c r="U62" s="1404"/>
      <c r="V62" s="1404"/>
      <c r="W62" s="1404"/>
      <c r="X62" s="1404"/>
      <c r="Y62" s="1404"/>
      <c r="Z62" s="1404"/>
      <c r="AA62" s="1404"/>
      <c r="AB62" s="1404"/>
      <c r="AC62" s="1404"/>
      <c r="AD62" s="1404"/>
      <c r="AE62" s="1404"/>
      <c r="AF62" s="1404"/>
      <c r="AG62" s="1404"/>
      <c r="AH62" s="1404"/>
      <c r="AI62" s="1404"/>
      <c r="AJ62" s="1404"/>
      <c r="AK62" s="1404"/>
      <c r="AL62" s="1404"/>
      <c r="AM62" s="1404"/>
      <c r="AN62" s="1404"/>
      <c r="AO62" s="1404"/>
      <c r="AP62" s="1404"/>
      <c r="AQ62" s="1404"/>
      <c r="AR62" s="1404"/>
      <c r="AS62" s="1404"/>
      <c r="AT62" s="1404"/>
      <c r="AU62" s="1404"/>
      <c r="AV62" s="1404"/>
      <c r="AW62" s="1404"/>
      <c r="AX62" s="1404"/>
      <c r="AY62" s="1404"/>
      <c r="AZ62" s="1404"/>
      <c r="BA62" s="1404"/>
      <c r="BB62" s="1404"/>
      <c r="BC62" s="1404"/>
      <c r="BD62" s="1404"/>
      <c r="BE62" s="1404"/>
      <c r="BF62" s="1404"/>
      <c r="BG62" s="1404"/>
      <c r="BH62" s="1404"/>
      <c r="BI62" s="1404"/>
      <c r="BJ62" s="1404"/>
      <c r="BK62" s="1404"/>
      <c r="BL62" s="1404"/>
      <c r="BM62" s="1404"/>
      <c r="BN62" s="1404"/>
      <c r="BO62" s="1404"/>
      <c r="BP62" s="1404"/>
      <c r="BQ62" s="1404"/>
      <c r="BR62" s="1404"/>
      <c r="BS62" s="1404"/>
      <c r="BT62" s="1404"/>
      <c r="BU62" s="1404"/>
      <c r="BV62" s="1404"/>
      <c r="BW62" s="1404"/>
      <c r="BX62" s="1404"/>
      <c r="BY62" s="1404"/>
      <c r="BZ62" s="1404"/>
      <c r="CA62" s="1404"/>
      <c r="CB62" s="1404"/>
      <c r="CC62" s="1404"/>
      <c r="CD62" s="1404"/>
      <c r="CE62" s="1404"/>
      <c r="CF62" s="1404"/>
      <c r="CG62" s="1404"/>
      <c r="CH62" s="1404"/>
      <c r="CI62" s="1404"/>
      <c r="CJ62" s="1404"/>
      <c r="CK62" s="1404"/>
      <c r="CL62" s="1404"/>
      <c r="CM62" s="1404"/>
    </row>
    <row r="63" spans="1:91" s="1111" customFormat="1" ht="15" customHeight="1">
      <c r="A63" s="2156"/>
      <c r="B63" s="2147"/>
      <c r="C63" s="1412" t="s">
        <v>2481</v>
      </c>
      <c r="D63" s="2020">
        <v>0</v>
      </c>
      <c r="E63" s="2147"/>
      <c r="F63" s="1404"/>
      <c r="G63" s="1404"/>
      <c r="H63" s="1404"/>
      <c r="I63" s="1404"/>
      <c r="J63" s="1404"/>
      <c r="K63" s="1404"/>
      <c r="L63" s="1404"/>
      <c r="M63" s="1404"/>
      <c r="N63" s="1404"/>
      <c r="O63" s="1404"/>
      <c r="P63" s="1404"/>
      <c r="Q63" s="1404"/>
      <c r="R63" s="1404"/>
      <c r="S63" s="1404"/>
      <c r="T63" s="1404"/>
      <c r="U63" s="1404"/>
      <c r="V63" s="1404"/>
      <c r="W63" s="1404"/>
      <c r="X63" s="1404"/>
      <c r="Y63" s="1404"/>
      <c r="Z63" s="1404"/>
      <c r="AA63" s="1404"/>
      <c r="AB63" s="1404"/>
      <c r="AC63" s="1404"/>
      <c r="AD63" s="1404"/>
      <c r="AE63" s="1404"/>
      <c r="AF63" s="1404"/>
      <c r="AG63" s="1404"/>
      <c r="AH63" s="1404"/>
      <c r="AI63" s="1404"/>
      <c r="AJ63" s="1404"/>
      <c r="AK63" s="1404"/>
      <c r="AL63" s="1404"/>
      <c r="AM63" s="1404"/>
      <c r="AN63" s="1404"/>
      <c r="AO63" s="1404"/>
      <c r="AP63" s="1404"/>
      <c r="AQ63" s="1404"/>
      <c r="AR63" s="1404"/>
      <c r="AS63" s="1404"/>
      <c r="AT63" s="1404"/>
      <c r="AU63" s="1404"/>
      <c r="AV63" s="1404"/>
      <c r="AW63" s="1404"/>
      <c r="AX63" s="1404"/>
      <c r="AY63" s="1404"/>
      <c r="AZ63" s="1404"/>
      <c r="BA63" s="1404"/>
      <c r="BB63" s="1404"/>
      <c r="BC63" s="1404"/>
      <c r="BD63" s="1404"/>
      <c r="BE63" s="1404"/>
      <c r="BF63" s="1404"/>
      <c r="BG63" s="1404"/>
      <c r="BH63" s="1404"/>
      <c r="BI63" s="1404"/>
      <c r="BJ63" s="1404"/>
      <c r="BK63" s="1404"/>
      <c r="BL63" s="1404"/>
      <c r="BM63" s="1404"/>
      <c r="BN63" s="1404"/>
      <c r="BO63" s="1404"/>
      <c r="BP63" s="1404"/>
      <c r="BQ63" s="1404"/>
      <c r="BR63" s="1404"/>
      <c r="BS63" s="1404"/>
      <c r="BT63" s="1404"/>
      <c r="BU63" s="1404"/>
      <c r="BV63" s="1404"/>
      <c r="BW63" s="1404"/>
      <c r="BX63" s="1404"/>
      <c r="BY63" s="1404"/>
      <c r="BZ63" s="1404"/>
      <c r="CA63" s="1404"/>
      <c r="CB63" s="1404"/>
      <c r="CC63" s="1404"/>
      <c r="CD63" s="1404"/>
      <c r="CE63" s="1404"/>
      <c r="CF63" s="1404"/>
      <c r="CG63" s="1404"/>
      <c r="CH63" s="1404"/>
      <c r="CI63" s="1404"/>
      <c r="CJ63" s="1404"/>
      <c r="CK63" s="1404"/>
      <c r="CL63" s="1404"/>
      <c r="CM63" s="1404"/>
    </row>
    <row r="64" spans="1:91" s="1035" customFormat="1" ht="15" customHeight="1">
      <c r="A64" s="2156"/>
      <c r="B64" s="2147"/>
      <c r="C64" s="1412" t="s">
        <v>2493</v>
      </c>
      <c r="D64" s="2020">
        <v>0</v>
      </c>
      <c r="E64" s="2147"/>
      <c r="F64" s="1404"/>
      <c r="G64" s="1404"/>
      <c r="H64" s="1404"/>
      <c r="I64" s="1404"/>
      <c r="J64" s="1404"/>
      <c r="K64" s="1404"/>
      <c r="L64" s="1404"/>
      <c r="M64" s="1404"/>
      <c r="N64" s="1404"/>
      <c r="O64" s="1404"/>
      <c r="P64" s="1404"/>
      <c r="Q64" s="1404"/>
      <c r="R64" s="1404"/>
      <c r="S64" s="1404"/>
      <c r="T64" s="1404"/>
      <c r="U64" s="1404"/>
      <c r="V64" s="1404"/>
      <c r="W64" s="1404"/>
      <c r="X64" s="1404"/>
      <c r="Y64" s="1404"/>
      <c r="Z64" s="1404"/>
      <c r="AA64" s="1404"/>
      <c r="AB64" s="1404"/>
      <c r="AC64" s="1404"/>
      <c r="AD64" s="1404"/>
      <c r="AE64" s="1404"/>
      <c r="AF64" s="1404"/>
      <c r="AG64" s="1404"/>
      <c r="AH64" s="1404"/>
      <c r="AI64" s="1404"/>
      <c r="AJ64" s="1404"/>
      <c r="AK64" s="1404"/>
      <c r="AL64" s="1404"/>
      <c r="AM64" s="1404"/>
      <c r="AN64" s="1404"/>
      <c r="AO64" s="1404"/>
      <c r="AP64" s="1404"/>
      <c r="AQ64" s="1404"/>
      <c r="AR64" s="1404"/>
      <c r="AS64" s="1404"/>
      <c r="AT64" s="1404"/>
      <c r="AU64" s="1404"/>
      <c r="AV64" s="1404"/>
      <c r="AW64" s="1404"/>
      <c r="AX64" s="1404"/>
      <c r="AY64" s="1404"/>
      <c r="AZ64" s="1404"/>
      <c r="BA64" s="1404"/>
      <c r="BB64" s="1404"/>
      <c r="BC64" s="1404"/>
      <c r="BD64" s="1404"/>
      <c r="BE64" s="1404"/>
      <c r="BF64" s="1404"/>
      <c r="BG64" s="1404"/>
      <c r="BH64" s="1404"/>
      <c r="BI64" s="1404"/>
      <c r="BJ64" s="1404"/>
      <c r="BK64" s="1404"/>
      <c r="BL64" s="1404"/>
      <c r="BM64" s="1404"/>
      <c r="BN64" s="1404"/>
      <c r="BO64" s="1404"/>
      <c r="BP64" s="1404"/>
      <c r="BQ64" s="1404"/>
      <c r="BR64" s="1404"/>
      <c r="BS64" s="1404"/>
      <c r="BT64" s="1404"/>
      <c r="BU64" s="1404"/>
      <c r="BV64" s="1404"/>
      <c r="BW64" s="1404"/>
      <c r="BX64" s="1404"/>
      <c r="BY64" s="1404"/>
      <c r="BZ64" s="1404"/>
      <c r="CA64" s="1404"/>
      <c r="CB64" s="1404"/>
      <c r="CC64" s="1404"/>
      <c r="CD64" s="1404"/>
      <c r="CE64" s="1404"/>
      <c r="CF64" s="1404"/>
      <c r="CG64" s="1404"/>
      <c r="CH64" s="1404"/>
      <c r="CI64" s="1404"/>
      <c r="CJ64" s="1404"/>
      <c r="CK64" s="1404"/>
      <c r="CL64" s="1404"/>
      <c r="CM64" s="1404"/>
    </row>
    <row r="65" spans="1:91" s="1035" customFormat="1" ht="15" customHeight="1">
      <c r="A65" s="2156"/>
      <c r="B65" s="2147"/>
      <c r="C65" s="1412" t="s">
        <v>2494</v>
      </c>
      <c r="D65" s="2020">
        <v>0</v>
      </c>
      <c r="E65" s="2147"/>
      <c r="F65" s="1404"/>
      <c r="G65" s="1404"/>
      <c r="H65" s="1404"/>
      <c r="I65" s="1404"/>
      <c r="J65" s="1404"/>
      <c r="K65" s="1404"/>
      <c r="L65" s="1404"/>
      <c r="M65" s="1404"/>
      <c r="N65" s="1404"/>
      <c r="O65" s="1404"/>
      <c r="P65" s="1404"/>
      <c r="Q65" s="1404"/>
      <c r="R65" s="1404"/>
      <c r="S65" s="1404"/>
      <c r="T65" s="1404"/>
      <c r="U65" s="1404"/>
      <c r="V65" s="1404"/>
      <c r="W65" s="1404"/>
      <c r="X65" s="1404"/>
      <c r="Y65" s="1404"/>
      <c r="Z65" s="1404"/>
      <c r="AA65" s="1404"/>
      <c r="AB65" s="1404"/>
      <c r="AC65" s="1404"/>
      <c r="AD65" s="1404"/>
      <c r="AE65" s="1404"/>
      <c r="AF65" s="1404"/>
      <c r="AG65" s="1404"/>
      <c r="AH65" s="1404"/>
      <c r="AI65" s="1404"/>
      <c r="AJ65" s="1404"/>
      <c r="AK65" s="1404"/>
      <c r="AL65" s="1404"/>
      <c r="AM65" s="1404"/>
      <c r="AN65" s="1404"/>
      <c r="AO65" s="1404"/>
      <c r="AP65" s="1404"/>
      <c r="AQ65" s="1404"/>
      <c r="AR65" s="1404"/>
      <c r="AS65" s="1404"/>
      <c r="AT65" s="1404"/>
      <c r="AU65" s="1404"/>
      <c r="AV65" s="1404"/>
      <c r="AW65" s="1404"/>
      <c r="AX65" s="1404"/>
      <c r="AY65" s="1404"/>
      <c r="AZ65" s="1404"/>
      <c r="BA65" s="1404"/>
      <c r="BB65" s="1404"/>
      <c r="BC65" s="1404"/>
      <c r="BD65" s="1404"/>
      <c r="BE65" s="1404"/>
      <c r="BF65" s="1404"/>
      <c r="BG65" s="1404"/>
      <c r="BH65" s="1404"/>
      <c r="BI65" s="1404"/>
      <c r="BJ65" s="1404"/>
      <c r="BK65" s="1404"/>
      <c r="BL65" s="1404"/>
      <c r="BM65" s="1404"/>
      <c r="BN65" s="1404"/>
      <c r="BO65" s="1404"/>
      <c r="BP65" s="1404"/>
      <c r="BQ65" s="1404"/>
      <c r="BR65" s="1404"/>
      <c r="BS65" s="1404"/>
      <c r="BT65" s="1404"/>
      <c r="BU65" s="1404"/>
      <c r="BV65" s="1404"/>
      <c r="BW65" s="1404"/>
      <c r="BX65" s="1404"/>
      <c r="BY65" s="1404"/>
      <c r="BZ65" s="1404"/>
      <c r="CA65" s="1404"/>
      <c r="CB65" s="1404"/>
      <c r="CC65" s="1404"/>
      <c r="CD65" s="1404"/>
      <c r="CE65" s="1404"/>
      <c r="CF65" s="1404"/>
      <c r="CG65" s="1404"/>
      <c r="CH65" s="1404"/>
      <c r="CI65" s="1404"/>
      <c r="CJ65" s="1404"/>
      <c r="CK65" s="1404"/>
      <c r="CL65" s="1404"/>
      <c r="CM65" s="1404"/>
    </row>
    <row r="66" spans="1:91" s="1032" customFormat="1" ht="15" customHeight="1" thickBot="1">
      <c r="A66" s="2157"/>
      <c r="B66" s="2153"/>
      <c r="C66" s="1410" t="s">
        <v>2495</v>
      </c>
      <c r="D66" s="2023">
        <v>0</v>
      </c>
      <c r="E66" s="2153"/>
      <c r="F66" s="1404"/>
      <c r="G66" s="1404"/>
      <c r="H66" s="1404"/>
      <c r="I66" s="1404"/>
      <c r="J66" s="1404"/>
      <c r="K66" s="1404"/>
      <c r="L66" s="1404"/>
      <c r="M66" s="1404"/>
      <c r="N66" s="1404"/>
      <c r="O66" s="1404"/>
      <c r="P66" s="1404"/>
      <c r="Q66" s="1404"/>
      <c r="R66" s="1404"/>
      <c r="S66" s="1404"/>
      <c r="T66" s="1404"/>
      <c r="U66" s="1404"/>
      <c r="V66" s="1404"/>
      <c r="W66" s="1404"/>
      <c r="X66" s="1404"/>
      <c r="Y66" s="1404"/>
      <c r="Z66" s="1404"/>
      <c r="AA66" s="1404"/>
      <c r="AB66" s="1404"/>
      <c r="AC66" s="1404"/>
      <c r="AD66" s="1404"/>
      <c r="AE66" s="1404"/>
      <c r="AF66" s="1404"/>
      <c r="AG66" s="1404"/>
      <c r="AH66" s="1404"/>
      <c r="AI66" s="1404"/>
      <c r="AJ66" s="1404"/>
      <c r="AK66" s="1404"/>
      <c r="AL66" s="1404"/>
      <c r="AM66" s="1404"/>
      <c r="AN66" s="1404"/>
      <c r="AO66" s="1404"/>
      <c r="AP66" s="1404"/>
      <c r="AQ66" s="1404"/>
      <c r="AR66" s="1404"/>
      <c r="AS66" s="1404"/>
      <c r="AT66" s="1404"/>
      <c r="AU66" s="1404"/>
      <c r="AV66" s="1404"/>
      <c r="AW66" s="1404"/>
      <c r="AX66" s="1404"/>
      <c r="AY66" s="1404"/>
      <c r="AZ66" s="1404"/>
      <c r="BA66" s="1404"/>
      <c r="BB66" s="1404"/>
      <c r="BC66" s="1404"/>
      <c r="BD66" s="1404"/>
      <c r="BE66" s="1404"/>
      <c r="BF66" s="1404"/>
      <c r="BG66" s="1404"/>
      <c r="BH66" s="1404"/>
      <c r="BI66" s="1404"/>
      <c r="BJ66" s="1404"/>
      <c r="BK66" s="1404"/>
      <c r="BL66" s="1404"/>
      <c r="BM66" s="1404"/>
      <c r="BN66" s="1404"/>
      <c r="BO66" s="1404"/>
      <c r="BP66" s="1404"/>
      <c r="BQ66" s="1404"/>
      <c r="BR66" s="1404"/>
      <c r="BS66" s="1404"/>
      <c r="BT66" s="1404"/>
      <c r="BU66" s="1404"/>
      <c r="BV66" s="1404"/>
      <c r="BW66" s="1404"/>
      <c r="BX66" s="1404"/>
      <c r="BY66" s="1404"/>
      <c r="BZ66" s="1404"/>
      <c r="CA66" s="1404"/>
      <c r="CB66" s="1404"/>
      <c r="CC66" s="1404"/>
      <c r="CD66" s="1404"/>
      <c r="CE66" s="1404"/>
      <c r="CF66" s="1404"/>
      <c r="CG66" s="1404"/>
      <c r="CH66" s="1404"/>
      <c r="CI66" s="1404"/>
      <c r="CJ66" s="1404"/>
      <c r="CK66" s="1404"/>
      <c r="CL66" s="1404"/>
      <c r="CM66" s="1404"/>
    </row>
    <row r="67" spans="1:91" s="1034" customFormat="1" ht="30" customHeight="1" thickBot="1">
      <c r="A67" s="2145" t="s">
        <v>765</v>
      </c>
      <c r="B67" s="2146" t="s">
        <v>1284</v>
      </c>
      <c r="C67" s="1456" t="s">
        <v>1559</v>
      </c>
      <c r="D67" s="2019"/>
      <c r="E67" s="2148" t="s">
        <v>2443</v>
      </c>
      <c r="F67" s="1404"/>
      <c r="G67" s="1404"/>
      <c r="H67" s="1404"/>
      <c r="I67" s="1404"/>
      <c r="J67" s="1404"/>
      <c r="K67" s="1404"/>
      <c r="L67" s="1404"/>
      <c r="M67" s="1404"/>
      <c r="N67" s="1404"/>
      <c r="O67" s="1404"/>
      <c r="P67" s="1404"/>
      <c r="Q67" s="1404"/>
      <c r="R67" s="1404"/>
      <c r="S67" s="1404"/>
      <c r="T67" s="1404"/>
      <c r="U67" s="1404"/>
      <c r="V67" s="1404"/>
      <c r="W67" s="1404"/>
      <c r="X67" s="1404"/>
      <c r="Y67" s="1404"/>
      <c r="Z67" s="1404"/>
      <c r="AA67" s="1404"/>
      <c r="AB67" s="1404"/>
      <c r="AC67" s="1404"/>
      <c r="AD67" s="1404"/>
      <c r="AE67" s="1404"/>
      <c r="AF67" s="1404"/>
      <c r="AG67" s="1404"/>
      <c r="AH67" s="1404"/>
      <c r="AI67" s="1404"/>
      <c r="AJ67" s="1404"/>
      <c r="AK67" s="1404"/>
      <c r="AL67" s="1404"/>
      <c r="AM67" s="1404"/>
      <c r="AN67" s="1404"/>
      <c r="AO67" s="1404"/>
      <c r="AP67" s="1404"/>
      <c r="AQ67" s="1404"/>
      <c r="AR67" s="1404"/>
      <c r="AS67" s="1404"/>
      <c r="AT67" s="1404"/>
      <c r="AU67" s="1404"/>
      <c r="AV67" s="1404"/>
      <c r="AW67" s="1404"/>
      <c r="AX67" s="1404"/>
      <c r="AY67" s="1404"/>
      <c r="AZ67" s="1404"/>
      <c r="BA67" s="1404"/>
      <c r="BB67" s="1404"/>
      <c r="BC67" s="1404"/>
      <c r="BD67" s="1404"/>
      <c r="BE67" s="1404"/>
      <c r="BF67" s="1404"/>
      <c r="BG67" s="1404"/>
      <c r="BH67" s="1404"/>
      <c r="BI67" s="1404"/>
      <c r="BJ67" s="1404"/>
      <c r="BK67" s="1404"/>
      <c r="BL67" s="1404"/>
      <c r="BM67" s="1404"/>
      <c r="BN67" s="1404"/>
      <c r="BO67" s="1404"/>
      <c r="BP67" s="1404"/>
      <c r="BQ67" s="1404"/>
      <c r="BR67" s="1404"/>
      <c r="BS67" s="1404"/>
      <c r="BT67" s="1404"/>
      <c r="BU67" s="1404"/>
      <c r="BV67" s="1404"/>
      <c r="BW67" s="1404"/>
      <c r="BX67" s="1404"/>
      <c r="BY67" s="1404"/>
      <c r="BZ67" s="1404"/>
      <c r="CA67" s="1404"/>
      <c r="CB67" s="1404"/>
      <c r="CC67" s="1404"/>
      <c r="CD67" s="1404"/>
      <c r="CE67" s="1404"/>
      <c r="CF67" s="1404"/>
      <c r="CG67" s="1404"/>
      <c r="CH67" s="1404"/>
      <c r="CI67" s="1404"/>
      <c r="CJ67" s="1404"/>
      <c r="CK67" s="1404"/>
      <c r="CL67" s="1404"/>
      <c r="CM67" s="1404"/>
    </row>
    <row r="68" spans="1:91" s="1035" customFormat="1" ht="15" customHeight="1">
      <c r="A68" s="2156"/>
      <c r="B68" s="2147"/>
      <c r="C68" s="1494" t="s">
        <v>1534</v>
      </c>
      <c r="D68" s="2027">
        <v>0</v>
      </c>
      <c r="E68" s="2147"/>
      <c r="F68" s="1404"/>
      <c r="G68" s="1404"/>
      <c r="H68" s="1404"/>
      <c r="I68" s="1404"/>
      <c r="J68" s="1404"/>
      <c r="K68" s="1404"/>
      <c r="L68" s="1404"/>
      <c r="M68" s="1404"/>
      <c r="N68" s="1404"/>
      <c r="O68" s="1404"/>
      <c r="P68" s="1404"/>
      <c r="Q68" s="1404"/>
      <c r="R68" s="1404"/>
      <c r="S68" s="1404"/>
      <c r="T68" s="1404"/>
      <c r="U68" s="1404"/>
      <c r="V68" s="1404"/>
      <c r="W68" s="1404"/>
      <c r="X68" s="1404"/>
      <c r="Y68" s="1404"/>
      <c r="Z68" s="1404"/>
      <c r="AA68" s="1404"/>
      <c r="AB68" s="1404"/>
      <c r="AC68" s="1404"/>
      <c r="AD68" s="1404"/>
      <c r="AE68" s="1404"/>
      <c r="AF68" s="1404"/>
      <c r="AG68" s="1404"/>
      <c r="AH68" s="1404"/>
      <c r="AI68" s="1404"/>
      <c r="AJ68" s="1404"/>
      <c r="AK68" s="1404"/>
      <c r="AL68" s="1404"/>
      <c r="AM68" s="1404"/>
      <c r="AN68" s="1404"/>
      <c r="AO68" s="1404"/>
      <c r="AP68" s="1404"/>
      <c r="AQ68" s="1404"/>
      <c r="AR68" s="1404"/>
      <c r="AS68" s="1404"/>
      <c r="AT68" s="1404"/>
      <c r="AU68" s="1404"/>
      <c r="AV68" s="1404"/>
      <c r="AW68" s="1404"/>
      <c r="AX68" s="1404"/>
      <c r="AY68" s="1404"/>
      <c r="AZ68" s="1404"/>
      <c r="BA68" s="1404"/>
      <c r="BB68" s="1404"/>
      <c r="BC68" s="1404"/>
      <c r="BD68" s="1404"/>
      <c r="BE68" s="1404"/>
      <c r="BF68" s="1404"/>
      <c r="BG68" s="1404"/>
      <c r="BH68" s="1404"/>
      <c r="BI68" s="1404"/>
      <c r="BJ68" s="1404"/>
      <c r="BK68" s="1404"/>
      <c r="BL68" s="1404"/>
      <c r="BM68" s="1404"/>
      <c r="BN68" s="1404"/>
      <c r="BO68" s="1404"/>
      <c r="BP68" s="1404"/>
      <c r="BQ68" s="1404"/>
      <c r="BR68" s="1404"/>
      <c r="BS68" s="1404"/>
      <c r="BT68" s="1404"/>
      <c r="BU68" s="1404"/>
      <c r="BV68" s="1404"/>
      <c r="BW68" s="1404"/>
      <c r="BX68" s="1404"/>
      <c r="BY68" s="1404"/>
      <c r="BZ68" s="1404"/>
      <c r="CA68" s="1404"/>
      <c r="CB68" s="1404"/>
      <c r="CC68" s="1404"/>
      <c r="CD68" s="1404"/>
      <c r="CE68" s="1404"/>
      <c r="CF68" s="1404"/>
      <c r="CG68" s="1404"/>
      <c r="CH68" s="1404"/>
      <c r="CI68" s="1404"/>
      <c r="CJ68" s="1404"/>
      <c r="CK68" s="1404"/>
      <c r="CL68" s="1404"/>
      <c r="CM68" s="1404"/>
    </row>
    <row r="69" spans="1:91" s="1035" customFormat="1" ht="15" customHeight="1">
      <c r="A69" s="2156"/>
      <c r="B69" s="2147"/>
      <c r="C69" s="1073" t="s">
        <v>1548</v>
      </c>
      <c r="D69" s="2028">
        <v>0</v>
      </c>
      <c r="E69" s="2147"/>
      <c r="F69" s="1404"/>
      <c r="G69" s="1404"/>
      <c r="H69" s="1404"/>
      <c r="I69" s="1404"/>
      <c r="J69" s="1404"/>
      <c r="K69" s="1404"/>
      <c r="L69" s="1404"/>
      <c r="M69" s="1404"/>
      <c r="N69" s="1404"/>
      <c r="O69" s="1404"/>
      <c r="P69" s="1404"/>
      <c r="Q69" s="1404"/>
      <c r="R69" s="1404"/>
      <c r="S69" s="1404"/>
      <c r="T69" s="1404"/>
      <c r="U69" s="1404"/>
      <c r="V69" s="1404"/>
      <c r="W69" s="1404"/>
      <c r="X69" s="1404"/>
      <c r="Y69" s="1404"/>
      <c r="Z69" s="1404"/>
      <c r="AA69" s="1404"/>
      <c r="AB69" s="1404"/>
      <c r="AC69" s="1404"/>
      <c r="AD69" s="1404"/>
      <c r="AE69" s="1404"/>
      <c r="AF69" s="1404"/>
      <c r="AG69" s="1404"/>
      <c r="AH69" s="1404"/>
      <c r="AI69" s="1404"/>
      <c r="AJ69" s="1404"/>
      <c r="AK69" s="1404"/>
      <c r="AL69" s="1404"/>
      <c r="AM69" s="1404"/>
      <c r="AN69" s="1404"/>
      <c r="AO69" s="1404"/>
      <c r="AP69" s="1404"/>
      <c r="AQ69" s="1404"/>
      <c r="AR69" s="1404"/>
      <c r="AS69" s="1404"/>
      <c r="AT69" s="1404"/>
      <c r="AU69" s="1404"/>
      <c r="AV69" s="1404"/>
      <c r="AW69" s="1404"/>
      <c r="AX69" s="1404"/>
      <c r="AY69" s="1404"/>
      <c r="AZ69" s="1404"/>
      <c r="BA69" s="1404"/>
      <c r="BB69" s="1404"/>
      <c r="BC69" s="1404"/>
      <c r="BD69" s="1404"/>
      <c r="BE69" s="1404"/>
      <c r="BF69" s="1404"/>
      <c r="BG69" s="1404"/>
      <c r="BH69" s="1404"/>
      <c r="BI69" s="1404"/>
      <c r="BJ69" s="1404"/>
      <c r="BK69" s="1404"/>
      <c r="BL69" s="1404"/>
      <c r="BM69" s="1404"/>
      <c r="BN69" s="1404"/>
      <c r="BO69" s="1404"/>
      <c r="BP69" s="1404"/>
      <c r="BQ69" s="1404"/>
      <c r="BR69" s="1404"/>
      <c r="BS69" s="1404"/>
      <c r="BT69" s="1404"/>
      <c r="BU69" s="1404"/>
      <c r="BV69" s="1404"/>
      <c r="BW69" s="1404"/>
      <c r="BX69" s="1404"/>
      <c r="BY69" s="1404"/>
      <c r="BZ69" s="1404"/>
      <c r="CA69" s="1404"/>
      <c r="CB69" s="1404"/>
      <c r="CC69" s="1404"/>
      <c r="CD69" s="1404"/>
      <c r="CE69" s="1404"/>
      <c r="CF69" s="1404"/>
      <c r="CG69" s="1404"/>
      <c r="CH69" s="1404"/>
      <c r="CI69" s="1404"/>
      <c r="CJ69" s="1404"/>
      <c r="CK69" s="1404"/>
      <c r="CL69" s="1404"/>
      <c r="CM69" s="1404"/>
    </row>
    <row r="70" spans="1:91" s="1111" customFormat="1" ht="15" customHeight="1">
      <c r="A70" s="2156"/>
      <c r="B70" s="2147"/>
      <c r="C70" s="1073" t="s">
        <v>1549</v>
      </c>
      <c r="D70" s="2028">
        <v>0</v>
      </c>
      <c r="E70" s="2147"/>
      <c r="F70" s="1404"/>
      <c r="G70" s="1404"/>
      <c r="H70" s="1404"/>
      <c r="I70" s="1404"/>
      <c r="J70" s="1404"/>
      <c r="K70" s="1404"/>
      <c r="L70" s="1404"/>
      <c r="M70" s="1404"/>
      <c r="N70" s="1404"/>
      <c r="O70" s="1404"/>
      <c r="P70" s="1404"/>
      <c r="Q70" s="1404"/>
      <c r="R70" s="1404"/>
      <c r="S70" s="1404"/>
      <c r="T70" s="1404"/>
      <c r="U70" s="1404"/>
      <c r="V70" s="1404"/>
      <c r="W70" s="1404"/>
      <c r="X70" s="1404"/>
      <c r="Y70" s="1404"/>
      <c r="Z70" s="1404"/>
      <c r="AA70" s="1404"/>
      <c r="AB70" s="1404"/>
      <c r="AC70" s="1404"/>
      <c r="AD70" s="1404"/>
      <c r="AE70" s="1404"/>
      <c r="AF70" s="1404"/>
      <c r="AG70" s="1404"/>
      <c r="AH70" s="1404"/>
      <c r="AI70" s="1404"/>
      <c r="AJ70" s="1404"/>
      <c r="AK70" s="1404"/>
      <c r="AL70" s="1404"/>
      <c r="AM70" s="1404"/>
      <c r="AN70" s="1404"/>
      <c r="AO70" s="1404"/>
      <c r="AP70" s="1404"/>
      <c r="AQ70" s="1404"/>
      <c r="AR70" s="1404"/>
      <c r="AS70" s="1404"/>
      <c r="AT70" s="1404"/>
      <c r="AU70" s="1404"/>
      <c r="AV70" s="1404"/>
      <c r="AW70" s="1404"/>
      <c r="AX70" s="1404"/>
      <c r="AY70" s="1404"/>
      <c r="AZ70" s="1404"/>
      <c r="BA70" s="1404"/>
      <c r="BB70" s="1404"/>
      <c r="BC70" s="1404"/>
      <c r="BD70" s="1404"/>
      <c r="BE70" s="1404"/>
      <c r="BF70" s="1404"/>
      <c r="BG70" s="1404"/>
      <c r="BH70" s="1404"/>
      <c r="BI70" s="1404"/>
      <c r="BJ70" s="1404"/>
      <c r="BK70" s="1404"/>
      <c r="BL70" s="1404"/>
      <c r="BM70" s="1404"/>
      <c r="BN70" s="1404"/>
      <c r="BO70" s="1404"/>
      <c r="BP70" s="1404"/>
      <c r="BQ70" s="1404"/>
      <c r="BR70" s="1404"/>
      <c r="BS70" s="1404"/>
      <c r="BT70" s="1404"/>
      <c r="BU70" s="1404"/>
      <c r="BV70" s="1404"/>
      <c r="BW70" s="1404"/>
      <c r="BX70" s="1404"/>
      <c r="BY70" s="1404"/>
      <c r="BZ70" s="1404"/>
      <c r="CA70" s="1404"/>
      <c r="CB70" s="1404"/>
      <c r="CC70" s="1404"/>
      <c r="CD70" s="1404"/>
      <c r="CE70" s="1404"/>
      <c r="CF70" s="1404"/>
      <c r="CG70" s="1404"/>
      <c r="CH70" s="1404"/>
      <c r="CI70" s="1404"/>
      <c r="CJ70" s="1404"/>
      <c r="CK70" s="1404"/>
      <c r="CL70" s="1404"/>
      <c r="CM70" s="1404"/>
    </row>
    <row r="71" spans="1:91" s="1111" customFormat="1" ht="15" customHeight="1">
      <c r="A71" s="2156"/>
      <c r="B71" s="2147"/>
      <c r="C71" s="1073" t="s">
        <v>1550</v>
      </c>
      <c r="D71" s="2028">
        <v>0</v>
      </c>
      <c r="E71" s="2147"/>
      <c r="F71" s="1404"/>
      <c r="G71" s="1404"/>
      <c r="H71" s="1404"/>
      <c r="I71" s="1404"/>
      <c r="J71" s="1404"/>
      <c r="K71" s="1404"/>
      <c r="L71" s="1404"/>
      <c r="M71" s="1404"/>
      <c r="N71" s="1404"/>
      <c r="O71" s="1404"/>
      <c r="P71" s="1404"/>
      <c r="Q71" s="1404"/>
      <c r="R71" s="1404"/>
      <c r="S71" s="1404"/>
      <c r="T71" s="1404"/>
      <c r="U71" s="1404"/>
      <c r="V71" s="1404"/>
      <c r="W71" s="1404"/>
      <c r="X71" s="1404"/>
      <c r="Y71" s="1404"/>
      <c r="Z71" s="1404"/>
      <c r="AA71" s="1404"/>
      <c r="AB71" s="1404"/>
      <c r="AC71" s="1404"/>
      <c r="AD71" s="1404"/>
      <c r="AE71" s="1404"/>
      <c r="AF71" s="1404"/>
      <c r="AG71" s="1404"/>
      <c r="AH71" s="1404"/>
      <c r="AI71" s="1404"/>
      <c r="AJ71" s="1404"/>
      <c r="AK71" s="1404"/>
      <c r="AL71" s="1404"/>
      <c r="AM71" s="1404"/>
      <c r="AN71" s="1404"/>
      <c r="AO71" s="1404"/>
      <c r="AP71" s="1404"/>
      <c r="AQ71" s="1404"/>
      <c r="AR71" s="1404"/>
      <c r="AS71" s="1404"/>
      <c r="AT71" s="1404"/>
      <c r="AU71" s="1404"/>
      <c r="AV71" s="1404"/>
      <c r="AW71" s="1404"/>
      <c r="AX71" s="1404"/>
      <c r="AY71" s="1404"/>
      <c r="AZ71" s="1404"/>
      <c r="BA71" s="1404"/>
      <c r="BB71" s="1404"/>
      <c r="BC71" s="1404"/>
      <c r="BD71" s="1404"/>
      <c r="BE71" s="1404"/>
      <c r="BF71" s="1404"/>
      <c r="BG71" s="1404"/>
      <c r="BH71" s="1404"/>
      <c r="BI71" s="1404"/>
      <c r="BJ71" s="1404"/>
      <c r="BK71" s="1404"/>
      <c r="BL71" s="1404"/>
      <c r="BM71" s="1404"/>
      <c r="BN71" s="1404"/>
      <c r="BO71" s="1404"/>
      <c r="BP71" s="1404"/>
      <c r="BQ71" s="1404"/>
      <c r="BR71" s="1404"/>
      <c r="BS71" s="1404"/>
      <c r="BT71" s="1404"/>
      <c r="BU71" s="1404"/>
      <c r="BV71" s="1404"/>
      <c r="BW71" s="1404"/>
      <c r="BX71" s="1404"/>
      <c r="BY71" s="1404"/>
      <c r="BZ71" s="1404"/>
      <c r="CA71" s="1404"/>
      <c r="CB71" s="1404"/>
      <c r="CC71" s="1404"/>
      <c r="CD71" s="1404"/>
      <c r="CE71" s="1404"/>
      <c r="CF71" s="1404"/>
      <c r="CG71" s="1404"/>
      <c r="CH71" s="1404"/>
      <c r="CI71" s="1404"/>
      <c r="CJ71" s="1404"/>
      <c r="CK71" s="1404"/>
      <c r="CL71" s="1404"/>
      <c r="CM71" s="1404"/>
    </row>
    <row r="72" spans="1:91" s="1035" customFormat="1" ht="15" customHeight="1">
      <c r="A72" s="2156"/>
      <c r="B72" s="2147"/>
      <c r="C72" s="1472" t="s">
        <v>1551</v>
      </c>
      <c r="D72" s="2028">
        <v>0</v>
      </c>
      <c r="E72" s="2147"/>
      <c r="F72" s="1404"/>
      <c r="G72" s="1404"/>
      <c r="H72" s="1404"/>
      <c r="I72" s="1404"/>
      <c r="J72" s="1404"/>
      <c r="K72" s="1404"/>
      <c r="L72" s="1404"/>
      <c r="M72" s="1404"/>
      <c r="N72" s="1404"/>
      <c r="O72" s="1404"/>
      <c r="P72" s="1404"/>
      <c r="Q72" s="1404"/>
      <c r="R72" s="1404"/>
      <c r="S72" s="1404"/>
      <c r="T72" s="1404"/>
      <c r="U72" s="1404"/>
      <c r="V72" s="1404"/>
      <c r="W72" s="1404"/>
      <c r="X72" s="1404"/>
      <c r="Y72" s="1404"/>
      <c r="Z72" s="1404"/>
      <c r="AA72" s="1404"/>
      <c r="AB72" s="1404"/>
      <c r="AC72" s="1404"/>
      <c r="AD72" s="1404"/>
      <c r="AE72" s="1404"/>
      <c r="AF72" s="1404"/>
      <c r="AG72" s="1404"/>
      <c r="AH72" s="1404"/>
      <c r="AI72" s="1404"/>
      <c r="AJ72" s="1404"/>
      <c r="AK72" s="1404"/>
      <c r="AL72" s="1404"/>
      <c r="AM72" s="1404"/>
      <c r="AN72" s="1404"/>
      <c r="AO72" s="1404"/>
      <c r="AP72" s="1404"/>
      <c r="AQ72" s="1404"/>
      <c r="AR72" s="1404"/>
      <c r="AS72" s="1404"/>
      <c r="AT72" s="1404"/>
      <c r="AU72" s="1404"/>
      <c r="AV72" s="1404"/>
      <c r="AW72" s="1404"/>
      <c r="AX72" s="1404"/>
      <c r="AY72" s="1404"/>
      <c r="AZ72" s="1404"/>
      <c r="BA72" s="1404"/>
      <c r="BB72" s="1404"/>
      <c r="BC72" s="1404"/>
      <c r="BD72" s="1404"/>
      <c r="BE72" s="1404"/>
      <c r="BF72" s="1404"/>
      <c r="BG72" s="1404"/>
      <c r="BH72" s="1404"/>
      <c r="BI72" s="1404"/>
      <c r="BJ72" s="1404"/>
      <c r="BK72" s="1404"/>
      <c r="BL72" s="1404"/>
      <c r="BM72" s="1404"/>
      <c r="BN72" s="1404"/>
      <c r="BO72" s="1404"/>
      <c r="BP72" s="1404"/>
      <c r="BQ72" s="1404"/>
      <c r="BR72" s="1404"/>
      <c r="BS72" s="1404"/>
      <c r="BT72" s="1404"/>
      <c r="BU72" s="1404"/>
      <c r="BV72" s="1404"/>
      <c r="BW72" s="1404"/>
      <c r="BX72" s="1404"/>
      <c r="BY72" s="1404"/>
      <c r="BZ72" s="1404"/>
      <c r="CA72" s="1404"/>
      <c r="CB72" s="1404"/>
      <c r="CC72" s="1404"/>
      <c r="CD72" s="1404"/>
      <c r="CE72" s="1404"/>
      <c r="CF72" s="1404"/>
      <c r="CG72" s="1404"/>
      <c r="CH72" s="1404"/>
      <c r="CI72" s="1404"/>
      <c r="CJ72" s="1404"/>
      <c r="CK72" s="1404"/>
      <c r="CL72" s="1404"/>
      <c r="CM72" s="1404"/>
    </row>
    <row r="73" spans="1:91" s="1032" customFormat="1" ht="15" customHeight="1" thickBot="1">
      <c r="A73" s="2156"/>
      <c r="B73" s="2147"/>
      <c r="C73" s="1169" t="s">
        <v>1552</v>
      </c>
      <c r="D73" s="2029">
        <v>0</v>
      </c>
      <c r="E73" s="2147"/>
      <c r="F73" s="1404"/>
      <c r="G73" s="1404"/>
      <c r="H73" s="1404"/>
      <c r="I73" s="1404"/>
      <c r="J73" s="1404"/>
      <c r="K73" s="1404"/>
      <c r="L73" s="1404"/>
      <c r="M73" s="1404"/>
      <c r="N73" s="1404"/>
      <c r="O73" s="1404"/>
      <c r="P73" s="1404"/>
      <c r="Q73" s="1404"/>
      <c r="R73" s="1404"/>
      <c r="S73" s="1404"/>
      <c r="T73" s="1404"/>
      <c r="U73" s="1404"/>
      <c r="V73" s="1404"/>
      <c r="W73" s="1404"/>
      <c r="X73" s="1404"/>
      <c r="Y73" s="1404"/>
      <c r="Z73" s="1404"/>
      <c r="AA73" s="1404"/>
      <c r="AB73" s="1404"/>
      <c r="AC73" s="1404"/>
      <c r="AD73" s="1404"/>
      <c r="AE73" s="1404"/>
      <c r="AF73" s="1404"/>
      <c r="AG73" s="1404"/>
      <c r="AH73" s="1404"/>
      <c r="AI73" s="1404"/>
      <c r="AJ73" s="1404"/>
      <c r="AK73" s="1404"/>
      <c r="AL73" s="1404"/>
      <c r="AM73" s="1404"/>
      <c r="AN73" s="1404"/>
      <c r="AO73" s="1404"/>
      <c r="AP73" s="1404"/>
      <c r="AQ73" s="1404"/>
      <c r="AR73" s="1404"/>
      <c r="AS73" s="1404"/>
      <c r="AT73" s="1404"/>
      <c r="AU73" s="1404"/>
      <c r="AV73" s="1404"/>
      <c r="AW73" s="1404"/>
      <c r="AX73" s="1404"/>
      <c r="AY73" s="1404"/>
      <c r="AZ73" s="1404"/>
      <c r="BA73" s="1404"/>
      <c r="BB73" s="1404"/>
      <c r="BC73" s="1404"/>
      <c r="BD73" s="1404"/>
      <c r="BE73" s="1404"/>
      <c r="BF73" s="1404"/>
      <c r="BG73" s="1404"/>
      <c r="BH73" s="1404"/>
      <c r="BI73" s="1404"/>
      <c r="BJ73" s="1404"/>
      <c r="BK73" s="1404"/>
      <c r="BL73" s="1404"/>
      <c r="BM73" s="1404"/>
      <c r="BN73" s="1404"/>
      <c r="BO73" s="1404"/>
      <c r="BP73" s="1404"/>
      <c r="BQ73" s="1404"/>
      <c r="BR73" s="1404"/>
      <c r="BS73" s="1404"/>
      <c r="BT73" s="1404"/>
      <c r="BU73" s="1404"/>
      <c r="BV73" s="1404"/>
      <c r="BW73" s="1404"/>
      <c r="BX73" s="1404"/>
      <c r="BY73" s="1404"/>
      <c r="BZ73" s="1404"/>
      <c r="CA73" s="1404"/>
      <c r="CB73" s="1404"/>
      <c r="CC73" s="1404"/>
      <c r="CD73" s="1404"/>
      <c r="CE73" s="1404"/>
      <c r="CF73" s="1404"/>
      <c r="CG73" s="1404"/>
      <c r="CH73" s="1404"/>
      <c r="CI73" s="1404"/>
      <c r="CJ73" s="1404"/>
      <c r="CK73" s="1404"/>
      <c r="CL73" s="1404"/>
      <c r="CM73" s="1404"/>
    </row>
    <row r="74" spans="1:91" s="1034" customFormat="1" ht="21" customHeight="1" thickBot="1">
      <c r="A74" s="2155" t="s">
        <v>766</v>
      </c>
      <c r="B74" s="2154" t="s">
        <v>6</v>
      </c>
      <c r="C74" s="405" t="s">
        <v>1560</v>
      </c>
      <c r="D74" s="2022"/>
      <c r="E74" s="2148" t="s">
        <v>2923</v>
      </c>
      <c r="F74" s="1404"/>
      <c r="G74" s="1404"/>
      <c r="H74" s="1404"/>
      <c r="I74" s="1404"/>
      <c r="J74" s="1404"/>
      <c r="K74" s="1404"/>
      <c r="L74" s="1404"/>
      <c r="M74" s="1404"/>
      <c r="N74" s="1404"/>
      <c r="O74" s="1404"/>
      <c r="P74" s="1404"/>
      <c r="Q74" s="1404"/>
      <c r="R74" s="1404"/>
      <c r="S74" s="1404"/>
      <c r="T74" s="1404"/>
      <c r="U74" s="1404"/>
      <c r="V74" s="1404"/>
      <c r="W74" s="1404"/>
      <c r="X74" s="1404"/>
      <c r="Y74" s="1404"/>
      <c r="Z74" s="1404"/>
      <c r="AA74" s="1404"/>
      <c r="AB74" s="1404"/>
      <c r="AC74" s="1404"/>
      <c r="AD74" s="1404"/>
      <c r="AE74" s="1404"/>
      <c r="AF74" s="1404"/>
      <c r="AG74" s="1404"/>
      <c r="AH74" s="1404"/>
      <c r="AI74" s="1404"/>
      <c r="AJ74" s="1404"/>
      <c r="AK74" s="1404"/>
      <c r="AL74" s="1404"/>
      <c r="AM74" s="1404"/>
      <c r="AN74" s="1404"/>
      <c r="AO74" s="1404"/>
      <c r="AP74" s="1404"/>
      <c r="AQ74" s="1404"/>
      <c r="AR74" s="1404"/>
      <c r="AS74" s="1404"/>
      <c r="AT74" s="1404"/>
      <c r="AU74" s="1404"/>
      <c r="AV74" s="1404"/>
      <c r="AW74" s="1404"/>
      <c r="AX74" s="1404"/>
      <c r="AY74" s="1404"/>
      <c r="AZ74" s="1404"/>
      <c r="BA74" s="1404"/>
      <c r="BB74" s="1404"/>
      <c r="BC74" s="1404"/>
      <c r="BD74" s="1404"/>
      <c r="BE74" s="1404"/>
      <c r="BF74" s="1404"/>
      <c r="BG74" s="1404"/>
      <c r="BH74" s="1404"/>
      <c r="BI74" s="1404"/>
      <c r="BJ74" s="1404"/>
      <c r="BK74" s="1404"/>
      <c r="BL74" s="1404"/>
      <c r="BM74" s="1404"/>
      <c r="BN74" s="1404"/>
      <c r="BO74" s="1404"/>
      <c r="BP74" s="1404"/>
      <c r="BQ74" s="1404"/>
      <c r="BR74" s="1404"/>
      <c r="BS74" s="1404"/>
      <c r="BT74" s="1404"/>
      <c r="BU74" s="1404"/>
      <c r="BV74" s="1404"/>
      <c r="BW74" s="1404"/>
      <c r="BX74" s="1404"/>
      <c r="BY74" s="1404"/>
      <c r="BZ74" s="1404"/>
      <c r="CA74" s="1404"/>
      <c r="CB74" s="1404"/>
      <c r="CC74" s="1404"/>
      <c r="CD74" s="1404"/>
      <c r="CE74" s="1404"/>
      <c r="CF74" s="1404"/>
      <c r="CG74" s="1404"/>
      <c r="CH74" s="1404"/>
      <c r="CI74" s="1404"/>
      <c r="CJ74" s="1404"/>
      <c r="CK74" s="1404"/>
      <c r="CL74" s="1404"/>
      <c r="CM74" s="1404"/>
    </row>
    <row r="75" spans="1:91" s="1035" customFormat="1" ht="15" customHeight="1">
      <c r="A75" s="2156"/>
      <c r="B75" s="2147"/>
      <c r="C75" s="1494" t="s">
        <v>1534</v>
      </c>
      <c r="D75" s="2027">
        <v>0</v>
      </c>
      <c r="E75" s="2146"/>
      <c r="F75" s="1404"/>
      <c r="G75" s="1404"/>
      <c r="H75" s="1404"/>
      <c r="I75" s="1404"/>
      <c r="J75" s="1404"/>
      <c r="K75" s="1404"/>
      <c r="L75" s="1404"/>
      <c r="M75" s="1404"/>
      <c r="N75" s="1404"/>
      <c r="O75" s="1404"/>
      <c r="P75" s="1404"/>
      <c r="Q75" s="1404"/>
      <c r="R75" s="1404"/>
      <c r="S75" s="1404"/>
      <c r="T75" s="1404"/>
      <c r="U75" s="1404"/>
      <c r="V75" s="1404"/>
      <c r="W75" s="1404"/>
      <c r="X75" s="1404"/>
      <c r="Y75" s="1404"/>
      <c r="Z75" s="1404"/>
      <c r="AA75" s="1404"/>
      <c r="AB75" s="1404"/>
      <c r="AC75" s="1404"/>
      <c r="AD75" s="1404"/>
      <c r="AE75" s="1404"/>
      <c r="AF75" s="1404"/>
      <c r="AG75" s="1404"/>
      <c r="AH75" s="1404"/>
      <c r="AI75" s="1404"/>
      <c r="AJ75" s="1404"/>
      <c r="AK75" s="1404"/>
      <c r="AL75" s="1404"/>
      <c r="AM75" s="1404"/>
      <c r="AN75" s="1404"/>
      <c r="AO75" s="1404"/>
      <c r="AP75" s="1404"/>
      <c r="AQ75" s="1404"/>
      <c r="AR75" s="1404"/>
      <c r="AS75" s="1404"/>
      <c r="AT75" s="1404"/>
      <c r="AU75" s="1404"/>
      <c r="AV75" s="1404"/>
      <c r="AW75" s="1404"/>
      <c r="AX75" s="1404"/>
      <c r="AY75" s="1404"/>
      <c r="AZ75" s="1404"/>
      <c r="BA75" s="1404"/>
      <c r="BB75" s="1404"/>
      <c r="BC75" s="1404"/>
      <c r="BD75" s="1404"/>
      <c r="BE75" s="1404"/>
      <c r="BF75" s="1404"/>
      <c r="BG75" s="1404"/>
      <c r="BH75" s="1404"/>
      <c r="BI75" s="1404"/>
      <c r="BJ75" s="1404"/>
      <c r="BK75" s="1404"/>
      <c r="BL75" s="1404"/>
      <c r="BM75" s="1404"/>
      <c r="BN75" s="1404"/>
      <c r="BO75" s="1404"/>
      <c r="BP75" s="1404"/>
      <c r="BQ75" s="1404"/>
      <c r="BR75" s="1404"/>
      <c r="BS75" s="1404"/>
      <c r="BT75" s="1404"/>
      <c r="BU75" s="1404"/>
      <c r="BV75" s="1404"/>
      <c r="BW75" s="1404"/>
      <c r="BX75" s="1404"/>
      <c r="BY75" s="1404"/>
      <c r="BZ75" s="1404"/>
      <c r="CA75" s="1404"/>
      <c r="CB75" s="1404"/>
      <c r="CC75" s="1404"/>
      <c r="CD75" s="1404"/>
      <c r="CE75" s="1404"/>
      <c r="CF75" s="1404"/>
      <c r="CG75" s="1404"/>
      <c r="CH75" s="1404"/>
      <c r="CI75" s="1404"/>
      <c r="CJ75" s="1404"/>
      <c r="CK75" s="1404"/>
      <c r="CL75" s="1404"/>
      <c r="CM75" s="1404"/>
    </row>
    <row r="76" spans="1:91" s="1035" customFormat="1" ht="15" customHeight="1">
      <c r="A76" s="2156"/>
      <c r="B76" s="2147"/>
      <c r="C76" s="1073" t="s">
        <v>1548</v>
      </c>
      <c r="D76" s="2028">
        <v>0</v>
      </c>
      <c r="E76" s="2146"/>
      <c r="F76" s="1404"/>
      <c r="G76" s="1404"/>
      <c r="H76" s="1404"/>
      <c r="I76" s="1404"/>
      <c r="J76" s="1404"/>
      <c r="K76" s="1404"/>
      <c r="L76" s="1404"/>
      <c r="M76" s="1404"/>
      <c r="N76" s="1404"/>
      <c r="O76" s="1404"/>
      <c r="P76" s="1404"/>
      <c r="Q76" s="1404"/>
      <c r="R76" s="1404"/>
      <c r="S76" s="1404"/>
      <c r="T76" s="1404"/>
      <c r="U76" s="1404"/>
      <c r="V76" s="1404"/>
      <c r="W76" s="1404"/>
      <c r="X76" s="1404"/>
      <c r="Y76" s="1404"/>
      <c r="Z76" s="1404"/>
      <c r="AA76" s="1404"/>
      <c r="AB76" s="1404"/>
      <c r="AC76" s="1404"/>
      <c r="AD76" s="1404"/>
      <c r="AE76" s="1404"/>
      <c r="AF76" s="1404"/>
      <c r="AG76" s="1404"/>
      <c r="AH76" s="1404"/>
      <c r="AI76" s="1404"/>
      <c r="AJ76" s="1404"/>
      <c r="AK76" s="1404"/>
      <c r="AL76" s="1404"/>
      <c r="AM76" s="1404"/>
      <c r="AN76" s="1404"/>
      <c r="AO76" s="1404"/>
      <c r="AP76" s="1404"/>
      <c r="AQ76" s="1404"/>
      <c r="AR76" s="1404"/>
      <c r="AS76" s="1404"/>
      <c r="AT76" s="1404"/>
      <c r="AU76" s="1404"/>
      <c r="AV76" s="1404"/>
      <c r="AW76" s="1404"/>
      <c r="AX76" s="1404"/>
      <c r="AY76" s="1404"/>
      <c r="AZ76" s="1404"/>
      <c r="BA76" s="1404"/>
      <c r="BB76" s="1404"/>
      <c r="BC76" s="1404"/>
      <c r="BD76" s="1404"/>
      <c r="BE76" s="1404"/>
      <c r="BF76" s="1404"/>
      <c r="BG76" s="1404"/>
      <c r="BH76" s="1404"/>
      <c r="BI76" s="1404"/>
      <c r="BJ76" s="1404"/>
      <c r="BK76" s="1404"/>
      <c r="BL76" s="1404"/>
      <c r="BM76" s="1404"/>
      <c r="BN76" s="1404"/>
      <c r="BO76" s="1404"/>
      <c r="BP76" s="1404"/>
      <c r="BQ76" s="1404"/>
      <c r="BR76" s="1404"/>
      <c r="BS76" s="1404"/>
      <c r="BT76" s="1404"/>
      <c r="BU76" s="1404"/>
      <c r="BV76" s="1404"/>
      <c r="BW76" s="1404"/>
      <c r="BX76" s="1404"/>
      <c r="BY76" s="1404"/>
      <c r="BZ76" s="1404"/>
      <c r="CA76" s="1404"/>
      <c r="CB76" s="1404"/>
      <c r="CC76" s="1404"/>
      <c r="CD76" s="1404"/>
      <c r="CE76" s="1404"/>
      <c r="CF76" s="1404"/>
      <c r="CG76" s="1404"/>
      <c r="CH76" s="1404"/>
      <c r="CI76" s="1404"/>
      <c r="CJ76" s="1404"/>
      <c r="CK76" s="1404"/>
      <c r="CL76" s="1404"/>
      <c r="CM76" s="1404"/>
    </row>
    <row r="77" spans="1:91" s="1035" customFormat="1" ht="15" customHeight="1">
      <c r="A77" s="2156"/>
      <c r="B77" s="2147"/>
      <c r="C77" s="1073" t="s">
        <v>1537</v>
      </c>
      <c r="D77" s="2028">
        <v>0</v>
      </c>
      <c r="E77" s="2146"/>
      <c r="F77" s="1404"/>
      <c r="G77" s="1404"/>
      <c r="H77" s="1404"/>
      <c r="I77" s="1404"/>
      <c r="J77" s="1404"/>
      <c r="K77" s="1404"/>
      <c r="L77" s="1404"/>
      <c r="M77" s="1404"/>
      <c r="N77" s="1404"/>
      <c r="O77" s="1404"/>
      <c r="P77" s="1404"/>
      <c r="Q77" s="1404"/>
      <c r="R77" s="1404"/>
      <c r="S77" s="1404"/>
      <c r="T77" s="1404"/>
      <c r="U77" s="1404"/>
      <c r="V77" s="1404"/>
      <c r="W77" s="1404"/>
      <c r="X77" s="1404"/>
      <c r="Y77" s="1404"/>
      <c r="Z77" s="1404"/>
      <c r="AA77" s="1404"/>
      <c r="AB77" s="1404"/>
      <c r="AC77" s="1404"/>
      <c r="AD77" s="1404"/>
      <c r="AE77" s="1404"/>
      <c r="AF77" s="1404"/>
      <c r="AG77" s="1404"/>
      <c r="AH77" s="1404"/>
      <c r="AI77" s="1404"/>
      <c r="AJ77" s="1404"/>
      <c r="AK77" s="1404"/>
      <c r="AL77" s="1404"/>
      <c r="AM77" s="1404"/>
      <c r="AN77" s="1404"/>
      <c r="AO77" s="1404"/>
      <c r="AP77" s="1404"/>
      <c r="AQ77" s="1404"/>
      <c r="AR77" s="1404"/>
      <c r="AS77" s="1404"/>
      <c r="AT77" s="1404"/>
      <c r="AU77" s="1404"/>
      <c r="AV77" s="1404"/>
      <c r="AW77" s="1404"/>
      <c r="AX77" s="1404"/>
      <c r="AY77" s="1404"/>
      <c r="AZ77" s="1404"/>
      <c r="BA77" s="1404"/>
      <c r="BB77" s="1404"/>
      <c r="BC77" s="1404"/>
      <c r="BD77" s="1404"/>
      <c r="BE77" s="1404"/>
      <c r="BF77" s="1404"/>
      <c r="BG77" s="1404"/>
      <c r="BH77" s="1404"/>
      <c r="BI77" s="1404"/>
      <c r="BJ77" s="1404"/>
      <c r="BK77" s="1404"/>
      <c r="BL77" s="1404"/>
      <c r="BM77" s="1404"/>
      <c r="BN77" s="1404"/>
      <c r="BO77" s="1404"/>
      <c r="BP77" s="1404"/>
      <c r="BQ77" s="1404"/>
      <c r="BR77" s="1404"/>
      <c r="BS77" s="1404"/>
      <c r="BT77" s="1404"/>
      <c r="BU77" s="1404"/>
      <c r="BV77" s="1404"/>
      <c r="BW77" s="1404"/>
      <c r="BX77" s="1404"/>
      <c r="BY77" s="1404"/>
      <c r="BZ77" s="1404"/>
      <c r="CA77" s="1404"/>
      <c r="CB77" s="1404"/>
      <c r="CC77" s="1404"/>
      <c r="CD77" s="1404"/>
      <c r="CE77" s="1404"/>
      <c r="CF77" s="1404"/>
      <c r="CG77" s="1404"/>
      <c r="CH77" s="1404"/>
      <c r="CI77" s="1404"/>
      <c r="CJ77" s="1404"/>
      <c r="CK77" s="1404"/>
      <c r="CL77" s="1404"/>
      <c r="CM77" s="1404"/>
    </row>
    <row r="78" spans="1:91" s="1111" customFormat="1" ht="15" customHeight="1">
      <c r="A78" s="2156"/>
      <c r="B78" s="2147"/>
      <c r="C78" s="1073" t="s">
        <v>1551</v>
      </c>
      <c r="D78" s="2028">
        <v>0</v>
      </c>
      <c r="E78" s="2146"/>
      <c r="F78" s="1404"/>
      <c r="G78" s="1404"/>
      <c r="H78" s="1404"/>
      <c r="I78" s="1404"/>
      <c r="J78" s="1404"/>
      <c r="K78" s="1404"/>
      <c r="L78" s="1404"/>
      <c r="M78" s="1404"/>
      <c r="N78" s="1404"/>
      <c r="O78" s="1404"/>
      <c r="P78" s="1404"/>
      <c r="Q78" s="1404"/>
      <c r="R78" s="1404"/>
      <c r="S78" s="1404"/>
      <c r="T78" s="1404"/>
      <c r="U78" s="1404"/>
      <c r="V78" s="1404"/>
      <c r="W78" s="1404"/>
      <c r="X78" s="1404"/>
      <c r="Y78" s="1404"/>
      <c r="Z78" s="1404"/>
      <c r="AA78" s="1404"/>
      <c r="AB78" s="1404"/>
      <c r="AC78" s="1404"/>
      <c r="AD78" s="1404"/>
      <c r="AE78" s="1404"/>
      <c r="AF78" s="1404"/>
      <c r="AG78" s="1404"/>
      <c r="AH78" s="1404"/>
      <c r="AI78" s="1404"/>
      <c r="AJ78" s="1404"/>
      <c r="AK78" s="1404"/>
      <c r="AL78" s="1404"/>
      <c r="AM78" s="1404"/>
      <c r="AN78" s="1404"/>
      <c r="AO78" s="1404"/>
      <c r="AP78" s="1404"/>
      <c r="AQ78" s="1404"/>
      <c r="AR78" s="1404"/>
      <c r="AS78" s="1404"/>
      <c r="AT78" s="1404"/>
      <c r="AU78" s="1404"/>
      <c r="AV78" s="1404"/>
      <c r="AW78" s="1404"/>
      <c r="AX78" s="1404"/>
      <c r="AY78" s="1404"/>
      <c r="AZ78" s="1404"/>
      <c r="BA78" s="1404"/>
      <c r="BB78" s="1404"/>
      <c r="BC78" s="1404"/>
      <c r="BD78" s="1404"/>
      <c r="BE78" s="1404"/>
      <c r="BF78" s="1404"/>
      <c r="BG78" s="1404"/>
      <c r="BH78" s="1404"/>
      <c r="BI78" s="1404"/>
      <c r="BJ78" s="1404"/>
      <c r="BK78" s="1404"/>
      <c r="BL78" s="1404"/>
      <c r="BM78" s="1404"/>
      <c r="BN78" s="1404"/>
      <c r="BO78" s="1404"/>
      <c r="BP78" s="1404"/>
      <c r="BQ78" s="1404"/>
      <c r="BR78" s="1404"/>
      <c r="BS78" s="1404"/>
      <c r="BT78" s="1404"/>
      <c r="BU78" s="1404"/>
      <c r="BV78" s="1404"/>
      <c r="BW78" s="1404"/>
      <c r="BX78" s="1404"/>
      <c r="BY78" s="1404"/>
      <c r="BZ78" s="1404"/>
      <c r="CA78" s="1404"/>
      <c r="CB78" s="1404"/>
      <c r="CC78" s="1404"/>
      <c r="CD78" s="1404"/>
      <c r="CE78" s="1404"/>
      <c r="CF78" s="1404"/>
      <c r="CG78" s="1404"/>
      <c r="CH78" s="1404"/>
      <c r="CI78" s="1404"/>
      <c r="CJ78" s="1404"/>
      <c r="CK78" s="1404"/>
      <c r="CL78" s="1404"/>
      <c r="CM78" s="1404"/>
    </row>
    <row r="79" spans="1:91" s="1035" customFormat="1" ht="15" customHeight="1">
      <c r="A79" s="2156"/>
      <c r="B79" s="2147"/>
      <c r="C79" s="1472" t="s">
        <v>1938</v>
      </c>
      <c r="D79" s="2028">
        <v>0</v>
      </c>
      <c r="E79" s="2146"/>
      <c r="F79" s="1404"/>
      <c r="G79" s="1404"/>
      <c r="H79" s="1404"/>
      <c r="I79" s="1404"/>
      <c r="J79" s="1404"/>
      <c r="K79" s="1404"/>
      <c r="L79" s="1404"/>
      <c r="M79" s="1404"/>
      <c r="N79" s="1404"/>
      <c r="O79" s="1404"/>
      <c r="P79" s="1404"/>
      <c r="Q79" s="1404"/>
      <c r="R79" s="1404"/>
      <c r="S79" s="1404"/>
      <c r="T79" s="1404"/>
      <c r="U79" s="1404"/>
      <c r="V79" s="1404"/>
      <c r="W79" s="1404"/>
      <c r="X79" s="1404"/>
      <c r="Y79" s="1404"/>
      <c r="Z79" s="1404"/>
      <c r="AA79" s="1404"/>
      <c r="AB79" s="1404"/>
      <c r="AC79" s="1404"/>
      <c r="AD79" s="1404"/>
      <c r="AE79" s="1404"/>
      <c r="AF79" s="1404"/>
      <c r="AG79" s="1404"/>
      <c r="AH79" s="1404"/>
      <c r="AI79" s="1404"/>
      <c r="AJ79" s="1404"/>
      <c r="AK79" s="1404"/>
      <c r="AL79" s="1404"/>
      <c r="AM79" s="1404"/>
      <c r="AN79" s="1404"/>
      <c r="AO79" s="1404"/>
      <c r="AP79" s="1404"/>
      <c r="AQ79" s="1404"/>
      <c r="AR79" s="1404"/>
      <c r="AS79" s="1404"/>
      <c r="AT79" s="1404"/>
      <c r="AU79" s="1404"/>
      <c r="AV79" s="1404"/>
      <c r="AW79" s="1404"/>
      <c r="AX79" s="1404"/>
      <c r="AY79" s="1404"/>
      <c r="AZ79" s="1404"/>
      <c r="BA79" s="1404"/>
      <c r="BB79" s="1404"/>
      <c r="BC79" s="1404"/>
      <c r="BD79" s="1404"/>
      <c r="BE79" s="1404"/>
      <c r="BF79" s="1404"/>
      <c r="BG79" s="1404"/>
      <c r="BH79" s="1404"/>
      <c r="BI79" s="1404"/>
      <c r="BJ79" s="1404"/>
      <c r="BK79" s="1404"/>
      <c r="BL79" s="1404"/>
      <c r="BM79" s="1404"/>
      <c r="BN79" s="1404"/>
      <c r="BO79" s="1404"/>
      <c r="BP79" s="1404"/>
      <c r="BQ79" s="1404"/>
      <c r="BR79" s="1404"/>
      <c r="BS79" s="1404"/>
      <c r="BT79" s="1404"/>
      <c r="BU79" s="1404"/>
      <c r="BV79" s="1404"/>
      <c r="BW79" s="1404"/>
      <c r="BX79" s="1404"/>
      <c r="BY79" s="1404"/>
      <c r="BZ79" s="1404"/>
      <c r="CA79" s="1404"/>
      <c r="CB79" s="1404"/>
      <c r="CC79" s="1404"/>
      <c r="CD79" s="1404"/>
      <c r="CE79" s="1404"/>
      <c r="CF79" s="1404"/>
      <c r="CG79" s="1404"/>
      <c r="CH79" s="1404"/>
      <c r="CI79" s="1404"/>
      <c r="CJ79" s="1404"/>
      <c r="CK79" s="1404"/>
      <c r="CL79" s="1404"/>
      <c r="CM79" s="1404"/>
    </row>
    <row r="80" spans="1:91" s="1032" customFormat="1" ht="15" customHeight="1" thickBot="1">
      <c r="A80" s="2157"/>
      <c r="B80" s="2153"/>
      <c r="C80" s="1169" t="s">
        <v>1937</v>
      </c>
      <c r="D80" s="2030">
        <v>0</v>
      </c>
      <c r="E80" s="2149"/>
      <c r="F80" s="1404"/>
      <c r="G80" s="1404"/>
      <c r="H80" s="1404"/>
      <c r="I80" s="1404"/>
      <c r="J80" s="1404"/>
      <c r="K80" s="1404"/>
      <c r="L80" s="1404"/>
      <c r="M80" s="1404"/>
      <c r="N80" s="1404"/>
      <c r="O80" s="1404"/>
      <c r="P80" s="1404"/>
      <c r="Q80" s="1404"/>
      <c r="R80" s="1404"/>
      <c r="S80" s="1404"/>
      <c r="T80" s="1404"/>
      <c r="U80" s="1404"/>
      <c r="V80" s="1404"/>
      <c r="W80" s="1404"/>
      <c r="X80" s="1404"/>
      <c r="Y80" s="1404"/>
      <c r="Z80" s="1404"/>
      <c r="AA80" s="1404"/>
      <c r="AB80" s="1404"/>
      <c r="AC80" s="1404"/>
      <c r="AD80" s="1404"/>
      <c r="AE80" s="1404"/>
      <c r="AF80" s="1404"/>
      <c r="AG80" s="1404"/>
      <c r="AH80" s="1404"/>
      <c r="AI80" s="1404"/>
      <c r="AJ80" s="1404"/>
      <c r="AK80" s="1404"/>
      <c r="AL80" s="1404"/>
      <c r="AM80" s="1404"/>
      <c r="AN80" s="1404"/>
      <c r="AO80" s="1404"/>
      <c r="AP80" s="1404"/>
      <c r="AQ80" s="1404"/>
      <c r="AR80" s="1404"/>
      <c r="AS80" s="1404"/>
      <c r="AT80" s="1404"/>
      <c r="AU80" s="1404"/>
      <c r="AV80" s="1404"/>
      <c r="AW80" s="1404"/>
      <c r="AX80" s="1404"/>
      <c r="AY80" s="1404"/>
      <c r="AZ80" s="1404"/>
      <c r="BA80" s="1404"/>
      <c r="BB80" s="1404"/>
      <c r="BC80" s="1404"/>
      <c r="BD80" s="1404"/>
      <c r="BE80" s="1404"/>
      <c r="BF80" s="1404"/>
      <c r="BG80" s="1404"/>
      <c r="BH80" s="1404"/>
      <c r="BI80" s="1404"/>
      <c r="BJ80" s="1404"/>
      <c r="BK80" s="1404"/>
      <c r="BL80" s="1404"/>
      <c r="BM80" s="1404"/>
      <c r="BN80" s="1404"/>
      <c r="BO80" s="1404"/>
      <c r="BP80" s="1404"/>
      <c r="BQ80" s="1404"/>
      <c r="BR80" s="1404"/>
      <c r="BS80" s="1404"/>
      <c r="BT80" s="1404"/>
      <c r="BU80" s="1404"/>
      <c r="BV80" s="1404"/>
      <c r="BW80" s="1404"/>
      <c r="BX80" s="1404"/>
      <c r="BY80" s="1404"/>
      <c r="BZ80" s="1404"/>
      <c r="CA80" s="1404"/>
      <c r="CB80" s="1404"/>
      <c r="CC80" s="1404"/>
      <c r="CD80" s="1404"/>
      <c r="CE80" s="1404"/>
      <c r="CF80" s="1404"/>
      <c r="CG80" s="1404"/>
      <c r="CH80" s="1404"/>
      <c r="CI80" s="1404"/>
      <c r="CJ80" s="1404"/>
      <c r="CK80" s="1404"/>
      <c r="CL80" s="1404"/>
      <c r="CM80" s="1404"/>
    </row>
    <row r="81" spans="1:91" s="1038" customFormat="1" ht="21" customHeight="1" thickBot="1">
      <c r="A81" s="2145" t="s">
        <v>767</v>
      </c>
      <c r="B81" s="2158" t="s">
        <v>1342</v>
      </c>
      <c r="C81" s="1456" t="s">
        <v>1338</v>
      </c>
      <c r="D81" s="2019"/>
      <c r="E81" s="2158" t="s">
        <v>2444</v>
      </c>
      <c r="F81" s="1036" t="s">
        <v>1050</v>
      </c>
      <c r="G81" s="1036"/>
      <c r="H81" s="1036"/>
      <c r="I81" s="1036"/>
      <c r="J81" s="1036"/>
      <c r="K81" s="1036"/>
      <c r="L81" s="1036"/>
      <c r="M81" s="1036"/>
      <c r="N81" s="1036"/>
      <c r="O81" s="1036"/>
      <c r="P81" s="1036"/>
      <c r="Q81" s="1036"/>
      <c r="R81" s="1036"/>
      <c r="S81" s="1036"/>
      <c r="T81" s="1036"/>
      <c r="U81" s="1036"/>
      <c r="V81" s="1036"/>
      <c r="W81" s="1036"/>
      <c r="X81" s="1036"/>
      <c r="Y81" s="1036"/>
      <c r="Z81" s="1036"/>
      <c r="AA81" s="1036"/>
      <c r="AB81" s="1036"/>
      <c r="AC81" s="1036"/>
      <c r="AD81" s="1036"/>
      <c r="AE81" s="1036"/>
      <c r="AF81" s="1036"/>
      <c r="AG81" s="1036"/>
      <c r="AH81" s="1036"/>
      <c r="AI81" s="1036"/>
      <c r="AJ81" s="1036"/>
      <c r="AK81" s="1036"/>
      <c r="AL81" s="1036"/>
      <c r="AM81" s="1036"/>
      <c r="AN81" s="1036"/>
      <c r="AO81" s="1036"/>
      <c r="AP81" s="1036"/>
      <c r="AQ81" s="1036"/>
      <c r="AR81" s="1036"/>
      <c r="AS81" s="1036"/>
      <c r="AT81" s="1036"/>
      <c r="AU81" s="1036"/>
      <c r="AV81" s="1036"/>
      <c r="AW81" s="1036"/>
      <c r="AX81" s="1036"/>
      <c r="AY81" s="1036"/>
      <c r="AZ81" s="1036"/>
      <c r="BA81" s="1036"/>
      <c r="BB81" s="1036"/>
      <c r="BC81" s="1036"/>
      <c r="BD81" s="1036"/>
      <c r="BE81" s="1036"/>
      <c r="BF81" s="1036"/>
      <c r="BG81" s="1036"/>
      <c r="BH81" s="1036"/>
      <c r="BI81" s="1036"/>
      <c r="BJ81" s="1036"/>
      <c r="BK81" s="1036"/>
      <c r="BL81" s="1036"/>
      <c r="BM81" s="1036"/>
      <c r="BN81" s="1036"/>
      <c r="BO81" s="1036"/>
      <c r="BP81" s="1036"/>
      <c r="BQ81" s="1036"/>
      <c r="BR81" s="1036"/>
      <c r="BS81" s="1036"/>
      <c r="BT81" s="1036"/>
      <c r="BU81" s="1036"/>
      <c r="BV81" s="1036"/>
      <c r="BW81" s="1036"/>
      <c r="BX81" s="1036"/>
      <c r="BY81" s="1036"/>
      <c r="BZ81" s="1036"/>
      <c r="CA81" s="1036"/>
      <c r="CB81" s="1036"/>
      <c r="CC81" s="1036"/>
      <c r="CD81" s="1036"/>
      <c r="CE81" s="1036"/>
      <c r="CF81" s="1036"/>
      <c r="CG81" s="1036"/>
      <c r="CH81" s="1036"/>
      <c r="CI81" s="1036"/>
      <c r="CJ81" s="1036"/>
      <c r="CK81" s="1036"/>
      <c r="CL81" s="1036"/>
      <c r="CM81" s="1036"/>
    </row>
    <row r="82" spans="1:91" s="1036" customFormat="1" ht="15" customHeight="1">
      <c r="A82" s="2145"/>
      <c r="B82" s="2159"/>
      <c r="C82" s="1493" t="s">
        <v>1774</v>
      </c>
      <c r="D82" s="2020">
        <v>0</v>
      </c>
      <c r="E82" s="2159"/>
    </row>
    <row r="83" spans="1:91" s="1036" customFormat="1" ht="15" customHeight="1">
      <c r="A83" s="2145"/>
      <c r="B83" s="2159"/>
      <c r="C83" s="1412" t="s">
        <v>1339</v>
      </c>
      <c r="D83" s="2020">
        <v>0</v>
      </c>
      <c r="E83" s="2159"/>
    </row>
    <row r="84" spans="1:91" s="1036" customFormat="1" ht="15" customHeight="1">
      <c r="A84" s="2145"/>
      <c r="B84" s="2159"/>
      <c r="C84" s="1412" t="s">
        <v>1340</v>
      </c>
      <c r="D84" s="2020">
        <v>0</v>
      </c>
      <c r="E84" s="2159"/>
    </row>
    <row r="85" spans="1:91" s="1036" customFormat="1" ht="15" customHeight="1">
      <c r="A85" s="2145"/>
      <c r="B85" s="2159"/>
      <c r="C85" s="1412" t="s">
        <v>1341</v>
      </c>
      <c r="D85" s="2020">
        <v>0</v>
      </c>
      <c r="E85" s="2159"/>
    </row>
    <row r="86" spans="1:91" s="1039" customFormat="1" ht="27" customHeight="1" thickBot="1">
      <c r="A86" s="2145"/>
      <c r="B86" s="2160"/>
      <c r="C86" s="1410" t="s">
        <v>2394</v>
      </c>
      <c r="D86" s="2029">
        <v>0</v>
      </c>
      <c r="E86" s="2160"/>
      <c r="F86" s="1036"/>
      <c r="G86" s="1036"/>
      <c r="H86" s="1036"/>
      <c r="I86" s="1036"/>
      <c r="J86" s="1036"/>
      <c r="K86" s="1036"/>
      <c r="L86" s="1036"/>
      <c r="M86" s="1036"/>
      <c r="N86" s="1036"/>
      <c r="O86" s="1036"/>
      <c r="P86" s="1036"/>
      <c r="Q86" s="1036"/>
      <c r="R86" s="1036"/>
      <c r="S86" s="1036"/>
      <c r="T86" s="1036"/>
      <c r="U86" s="1036"/>
      <c r="V86" s="1036"/>
      <c r="W86" s="1036"/>
      <c r="X86" s="1036"/>
      <c r="Y86" s="1036"/>
      <c r="Z86" s="1036"/>
      <c r="AA86" s="1036"/>
      <c r="AB86" s="1036"/>
      <c r="AC86" s="1036"/>
      <c r="AD86" s="1036"/>
      <c r="AE86" s="1036"/>
      <c r="AF86" s="1036"/>
      <c r="AG86" s="1036"/>
      <c r="AH86" s="1036"/>
      <c r="AI86" s="1036"/>
      <c r="AJ86" s="1036"/>
      <c r="AK86" s="1036"/>
      <c r="AL86" s="1036"/>
      <c r="AM86" s="1036"/>
      <c r="AN86" s="1036"/>
      <c r="AO86" s="1036"/>
      <c r="AP86" s="1036"/>
      <c r="AQ86" s="1036"/>
      <c r="AR86" s="1036"/>
      <c r="AS86" s="1036"/>
      <c r="AT86" s="1036"/>
      <c r="AU86" s="1036"/>
      <c r="AV86" s="1036"/>
      <c r="AW86" s="1036"/>
      <c r="AX86" s="1036"/>
      <c r="AY86" s="1036"/>
      <c r="AZ86" s="1036"/>
      <c r="BA86" s="1036"/>
      <c r="BB86" s="1036"/>
      <c r="BC86" s="1036"/>
      <c r="BD86" s="1036"/>
      <c r="BE86" s="1036"/>
      <c r="BF86" s="1036"/>
      <c r="BG86" s="1036"/>
      <c r="BH86" s="1036"/>
      <c r="BI86" s="1036"/>
      <c r="BJ86" s="1036"/>
      <c r="BK86" s="1036"/>
      <c r="BL86" s="1036"/>
      <c r="BM86" s="1036"/>
      <c r="BN86" s="1036"/>
      <c r="BO86" s="1036"/>
      <c r="BP86" s="1036"/>
      <c r="BQ86" s="1036"/>
      <c r="BR86" s="1036"/>
      <c r="BS86" s="1036"/>
      <c r="BT86" s="1036"/>
      <c r="BU86" s="1036"/>
      <c r="BV86" s="1036"/>
      <c r="BW86" s="1036"/>
      <c r="BX86" s="1036"/>
      <c r="BY86" s="1036"/>
      <c r="BZ86" s="1036"/>
      <c r="CA86" s="1036"/>
      <c r="CB86" s="1036"/>
      <c r="CC86" s="1036"/>
      <c r="CD86" s="1036"/>
      <c r="CE86" s="1036"/>
      <c r="CF86" s="1036"/>
      <c r="CG86" s="1036"/>
      <c r="CH86" s="1036"/>
      <c r="CI86" s="1036"/>
      <c r="CJ86" s="1036"/>
      <c r="CK86" s="1036"/>
      <c r="CL86" s="1036"/>
      <c r="CM86" s="1036"/>
    </row>
    <row r="87" spans="1:91" s="1040" customFormat="1" ht="60" customHeight="1" thickBot="1">
      <c r="A87" s="488" t="s">
        <v>768</v>
      </c>
      <c r="B87" s="81" t="s">
        <v>2250</v>
      </c>
      <c r="C87" s="1069" t="s">
        <v>2397</v>
      </c>
      <c r="D87" s="2078">
        <v>0</v>
      </c>
      <c r="E87" s="81" t="s">
        <v>2805</v>
      </c>
      <c r="F87" s="1404"/>
      <c r="G87" s="1404"/>
      <c r="H87" s="1404"/>
      <c r="I87" s="1404"/>
      <c r="J87" s="1404"/>
      <c r="K87" s="1404"/>
      <c r="L87" s="1404"/>
      <c r="M87" s="1404"/>
      <c r="N87" s="1404"/>
      <c r="O87" s="1404"/>
      <c r="P87" s="1404"/>
      <c r="Q87" s="1404"/>
      <c r="R87" s="1404"/>
      <c r="S87" s="1404"/>
      <c r="T87" s="1404"/>
      <c r="U87" s="1404"/>
      <c r="V87" s="1404"/>
      <c r="W87" s="1404"/>
      <c r="X87" s="1404"/>
      <c r="Y87" s="1404"/>
      <c r="Z87" s="1404"/>
      <c r="AA87" s="1404"/>
      <c r="AB87" s="1404"/>
      <c r="AC87" s="1404"/>
      <c r="AD87" s="1404"/>
      <c r="AE87" s="1404"/>
      <c r="AF87" s="1404"/>
      <c r="AG87" s="1404"/>
      <c r="AH87" s="1404"/>
      <c r="AI87" s="1404"/>
      <c r="AJ87" s="1404"/>
      <c r="AK87" s="1404"/>
      <c r="AL87" s="1404"/>
      <c r="AM87" s="1404"/>
      <c r="AN87" s="1404"/>
      <c r="AO87" s="1404"/>
      <c r="AP87" s="1404"/>
      <c r="AQ87" s="1404"/>
      <c r="AR87" s="1404"/>
      <c r="AS87" s="1404"/>
      <c r="AT87" s="1404"/>
      <c r="AU87" s="1404"/>
      <c r="AV87" s="1404"/>
      <c r="AW87" s="1404"/>
      <c r="AX87" s="1404"/>
      <c r="AY87" s="1404"/>
      <c r="AZ87" s="1404"/>
      <c r="BA87" s="1404"/>
      <c r="BB87" s="1404"/>
      <c r="BC87" s="1404"/>
      <c r="BD87" s="1404"/>
      <c r="BE87" s="1404"/>
      <c r="BF87" s="1404"/>
      <c r="BG87" s="1404"/>
      <c r="BH87" s="1404"/>
      <c r="BI87" s="1404"/>
      <c r="BJ87" s="1404"/>
      <c r="BK87" s="1404"/>
      <c r="BL87" s="1404"/>
      <c r="BM87" s="1404"/>
      <c r="BN87" s="1404"/>
      <c r="BO87" s="1404"/>
      <c r="BP87" s="1404"/>
      <c r="BQ87" s="1404"/>
      <c r="BR87" s="1404"/>
      <c r="BS87" s="1404"/>
      <c r="BT87" s="1404"/>
      <c r="BU87" s="1404"/>
      <c r="BV87" s="1404"/>
      <c r="BW87" s="1404"/>
      <c r="BX87" s="1404"/>
      <c r="BY87" s="1404"/>
      <c r="BZ87" s="1404"/>
      <c r="CA87" s="1404"/>
      <c r="CB87" s="1404"/>
      <c r="CC87" s="1404"/>
      <c r="CD87" s="1404"/>
      <c r="CE87" s="1404"/>
      <c r="CF87" s="1404"/>
      <c r="CG87" s="1404"/>
      <c r="CH87" s="1404"/>
      <c r="CI87" s="1404"/>
      <c r="CJ87" s="1404"/>
      <c r="CK87" s="1404"/>
      <c r="CL87" s="1404"/>
      <c r="CM87" s="1404"/>
    </row>
    <row r="88" spans="1:91" s="1109" customFormat="1" ht="102" customHeight="1" thickBot="1">
      <c r="A88" s="1468" t="s">
        <v>769</v>
      </c>
      <c r="B88" s="1466" t="s">
        <v>2251</v>
      </c>
      <c r="C88" s="1484" t="s">
        <v>2254</v>
      </c>
      <c r="D88" s="2024">
        <v>0</v>
      </c>
      <c r="E88" s="1474" t="s">
        <v>2445</v>
      </c>
      <c r="F88" s="1447"/>
      <c r="G88" s="1447"/>
      <c r="H88" s="1447"/>
      <c r="I88" s="1447"/>
      <c r="J88" s="1447"/>
      <c r="K88" s="1447"/>
      <c r="L88" s="1447"/>
      <c r="M88" s="1447"/>
      <c r="N88" s="1447"/>
      <c r="O88" s="1447"/>
      <c r="P88" s="1447"/>
      <c r="Q88" s="1447"/>
      <c r="R88" s="1447"/>
      <c r="S88" s="1447"/>
      <c r="T88" s="1447"/>
      <c r="U88" s="1447"/>
      <c r="V88" s="1447"/>
      <c r="W88" s="1447"/>
      <c r="X88" s="1447"/>
      <c r="Y88" s="1447"/>
      <c r="Z88" s="1447"/>
      <c r="AA88" s="1447"/>
      <c r="AB88" s="1447"/>
      <c r="AC88" s="1447"/>
      <c r="AD88" s="1447"/>
      <c r="AE88" s="1447"/>
      <c r="AF88" s="1447"/>
      <c r="AG88" s="1447"/>
      <c r="AH88" s="1447"/>
      <c r="AI88" s="1447"/>
      <c r="AJ88" s="1447"/>
      <c r="AK88" s="1447"/>
      <c r="AL88" s="1447"/>
      <c r="AM88" s="1447"/>
      <c r="AN88" s="1447"/>
      <c r="AO88" s="1447"/>
      <c r="AP88" s="1447"/>
      <c r="AQ88" s="1447"/>
      <c r="AR88" s="1447"/>
      <c r="AS88" s="1447"/>
      <c r="AT88" s="1447"/>
      <c r="AU88" s="1447"/>
      <c r="AV88" s="1447"/>
      <c r="AW88" s="1447"/>
      <c r="AX88" s="1447"/>
      <c r="AY88" s="1447"/>
      <c r="AZ88" s="1447"/>
      <c r="BA88" s="1447"/>
      <c r="BB88" s="1447"/>
      <c r="BC88" s="1447"/>
      <c r="BD88" s="1447"/>
      <c r="BE88" s="1447"/>
      <c r="BF88" s="1447"/>
      <c r="BG88" s="1447"/>
      <c r="BH88" s="1447"/>
      <c r="BI88" s="1447"/>
      <c r="BJ88" s="1447"/>
      <c r="BK88" s="1447"/>
      <c r="BL88" s="1447"/>
      <c r="BM88" s="1447"/>
      <c r="BN88" s="1447"/>
      <c r="BO88" s="1447"/>
      <c r="BP88" s="1447"/>
      <c r="BQ88" s="1447"/>
      <c r="BR88" s="1447"/>
      <c r="BS88" s="1447"/>
      <c r="BT88" s="1447"/>
      <c r="BU88" s="1447"/>
      <c r="BV88" s="1447"/>
      <c r="BW88" s="1447"/>
      <c r="BX88" s="1447"/>
      <c r="BY88" s="1447"/>
      <c r="BZ88" s="1447"/>
      <c r="CA88" s="1447"/>
      <c r="CB88" s="1447"/>
      <c r="CC88" s="1447"/>
      <c r="CD88" s="1447"/>
      <c r="CE88" s="1447"/>
      <c r="CF88" s="1447"/>
      <c r="CG88" s="1447"/>
      <c r="CH88" s="1447"/>
      <c r="CI88" s="1447"/>
      <c r="CJ88" s="1447"/>
      <c r="CK88" s="1447"/>
      <c r="CL88" s="1447"/>
      <c r="CM88" s="1447"/>
    </row>
    <row r="89" spans="1:91" s="1109" customFormat="1" ht="75" customHeight="1" thickBot="1">
      <c r="A89" s="2150" t="s">
        <v>770</v>
      </c>
      <c r="B89" s="2148" t="s">
        <v>1570</v>
      </c>
      <c r="C89" s="81" t="s">
        <v>2958</v>
      </c>
      <c r="D89" s="2022"/>
      <c r="E89" s="2148" t="s">
        <v>2806</v>
      </c>
      <c r="F89" s="1404"/>
      <c r="G89" s="1404"/>
      <c r="H89" s="1404"/>
      <c r="I89" s="1404"/>
      <c r="J89" s="1404"/>
      <c r="K89" s="1404"/>
      <c r="L89" s="1404"/>
      <c r="M89" s="1404"/>
      <c r="N89" s="1404"/>
      <c r="O89" s="1404"/>
      <c r="P89" s="1404"/>
      <c r="Q89" s="1404"/>
      <c r="R89" s="1404"/>
      <c r="S89" s="1404"/>
      <c r="T89" s="1404"/>
      <c r="U89" s="1404"/>
      <c r="V89" s="1404"/>
      <c r="W89" s="1404"/>
      <c r="X89" s="1404"/>
      <c r="Y89" s="1404"/>
      <c r="Z89" s="1404"/>
      <c r="AA89" s="1404"/>
      <c r="AB89" s="1404"/>
      <c r="AC89" s="1404"/>
      <c r="AD89" s="1404"/>
      <c r="AE89" s="1404"/>
      <c r="AF89" s="1404"/>
      <c r="AG89" s="1404"/>
      <c r="AH89" s="1404"/>
      <c r="AI89" s="1404"/>
      <c r="AJ89" s="1404"/>
      <c r="AK89" s="1404"/>
      <c r="AL89" s="1404"/>
      <c r="AM89" s="1404"/>
      <c r="AN89" s="1404"/>
      <c r="AO89" s="1404"/>
      <c r="AP89" s="1404"/>
      <c r="AQ89" s="1404"/>
      <c r="AR89" s="1404"/>
      <c r="AS89" s="1404"/>
      <c r="AT89" s="1404"/>
      <c r="AU89" s="1404"/>
      <c r="AV89" s="1404"/>
      <c r="AW89" s="1404"/>
      <c r="AX89" s="1404"/>
      <c r="AY89" s="1404"/>
      <c r="AZ89" s="1404"/>
      <c r="BA89" s="1404"/>
      <c r="BB89" s="1404"/>
      <c r="BC89" s="1404"/>
      <c r="BD89" s="1404"/>
      <c r="BE89" s="1404"/>
      <c r="BF89" s="1404"/>
      <c r="BG89" s="1404"/>
      <c r="BH89" s="1404"/>
      <c r="BI89" s="1404"/>
      <c r="BJ89" s="1404"/>
      <c r="BK89" s="1404"/>
      <c r="BL89" s="1404"/>
      <c r="BM89" s="1404"/>
      <c r="BN89" s="1404"/>
      <c r="BO89" s="1404"/>
      <c r="BP89" s="1404"/>
      <c r="BQ89" s="1404"/>
      <c r="BR89" s="1404"/>
      <c r="BS89" s="1404"/>
      <c r="BT89" s="1404"/>
      <c r="BU89" s="1404"/>
      <c r="BV89" s="1404"/>
      <c r="BW89" s="1404"/>
      <c r="BX89" s="1404"/>
      <c r="BY89" s="1404"/>
      <c r="BZ89" s="1404"/>
      <c r="CA89" s="1404"/>
      <c r="CB89" s="1404"/>
      <c r="CC89" s="1404"/>
      <c r="CD89" s="1404"/>
      <c r="CE89" s="1404"/>
      <c r="CF89" s="1404"/>
      <c r="CG89" s="1404"/>
      <c r="CH89" s="1404"/>
      <c r="CI89" s="1404"/>
      <c r="CJ89" s="1404"/>
      <c r="CK89" s="1404"/>
      <c r="CL89" s="1404"/>
      <c r="CM89" s="1404"/>
    </row>
    <row r="90" spans="1:91" s="1109" customFormat="1" ht="15" customHeight="1" thickBot="1">
      <c r="A90" s="2151"/>
      <c r="B90" s="2147"/>
      <c r="C90" s="1493" t="s">
        <v>2496</v>
      </c>
      <c r="D90" s="2020">
        <v>0</v>
      </c>
      <c r="E90" s="2147"/>
      <c r="F90" s="1404"/>
      <c r="G90" s="1404"/>
      <c r="H90" s="1404"/>
      <c r="I90" s="1404"/>
      <c r="J90" s="1404"/>
      <c r="K90" s="1404"/>
      <c r="L90" s="1404"/>
      <c r="M90" s="1404"/>
      <c r="N90" s="1404"/>
      <c r="O90" s="1404"/>
      <c r="P90" s="1404"/>
      <c r="Q90" s="1404"/>
      <c r="R90" s="1404"/>
      <c r="S90" s="1404"/>
      <c r="T90" s="1404"/>
      <c r="U90" s="1404"/>
      <c r="V90" s="1404"/>
      <c r="W90" s="1404"/>
      <c r="X90" s="1404"/>
      <c r="Y90" s="1404"/>
      <c r="Z90" s="1404"/>
      <c r="AA90" s="1404"/>
      <c r="AB90" s="1404"/>
      <c r="AC90" s="1404"/>
      <c r="AD90" s="1404"/>
      <c r="AE90" s="1404"/>
      <c r="AF90" s="1404"/>
      <c r="AG90" s="1404"/>
      <c r="AH90" s="1404"/>
      <c r="AI90" s="1404"/>
      <c r="AJ90" s="1404"/>
      <c r="AK90" s="1404"/>
      <c r="AL90" s="1404"/>
      <c r="AM90" s="1404"/>
      <c r="AN90" s="1404"/>
      <c r="AO90" s="1404"/>
      <c r="AP90" s="1404"/>
      <c r="AQ90" s="1404"/>
      <c r="AR90" s="1404"/>
      <c r="AS90" s="1404"/>
      <c r="AT90" s="1404"/>
      <c r="AU90" s="1404"/>
      <c r="AV90" s="1404"/>
      <c r="AW90" s="1404"/>
      <c r="AX90" s="1404"/>
      <c r="AY90" s="1404"/>
      <c r="AZ90" s="1404"/>
      <c r="BA90" s="1404"/>
      <c r="BB90" s="1404"/>
      <c r="BC90" s="1404"/>
      <c r="BD90" s="1404"/>
      <c r="BE90" s="1404"/>
      <c r="BF90" s="1404"/>
      <c r="BG90" s="1404"/>
      <c r="BH90" s="1404"/>
      <c r="BI90" s="1404"/>
      <c r="BJ90" s="1404"/>
      <c r="BK90" s="1404"/>
      <c r="BL90" s="1404"/>
      <c r="BM90" s="1404"/>
      <c r="BN90" s="1404"/>
      <c r="BO90" s="1404"/>
      <c r="BP90" s="1404"/>
      <c r="BQ90" s="1404"/>
      <c r="BR90" s="1404"/>
      <c r="BS90" s="1404"/>
      <c r="BT90" s="1404"/>
      <c r="BU90" s="1404"/>
      <c r="BV90" s="1404"/>
      <c r="BW90" s="1404"/>
      <c r="BX90" s="1404"/>
      <c r="BY90" s="1404"/>
      <c r="BZ90" s="1404"/>
      <c r="CA90" s="1404"/>
      <c r="CB90" s="1404"/>
      <c r="CC90" s="1404"/>
      <c r="CD90" s="1404"/>
      <c r="CE90" s="1404"/>
      <c r="CF90" s="1404"/>
      <c r="CG90" s="1404"/>
      <c r="CH90" s="1404"/>
      <c r="CI90" s="1404"/>
      <c r="CJ90" s="1404"/>
      <c r="CK90" s="1404"/>
      <c r="CL90" s="1404"/>
      <c r="CM90" s="1404"/>
    </row>
    <row r="91" spans="1:91" s="1109" customFormat="1" ht="15" customHeight="1" thickBot="1">
      <c r="A91" s="2151"/>
      <c r="B91" s="2147"/>
      <c r="C91" s="1412" t="s">
        <v>2497</v>
      </c>
      <c r="D91" s="2020">
        <v>0</v>
      </c>
      <c r="E91" s="2147"/>
      <c r="F91" s="1404"/>
      <c r="G91" s="1404"/>
      <c r="H91" s="1404"/>
      <c r="I91" s="1404"/>
      <c r="J91" s="1404"/>
      <c r="K91" s="1404"/>
      <c r="L91" s="1404"/>
      <c r="M91" s="1404"/>
      <c r="N91" s="1404"/>
      <c r="O91" s="1404"/>
      <c r="P91" s="1404"/>
      <c r="Q91" s="1404"/>
      <c r="R91" s="1404"/>
      <c r="S91" s="1404"/>
      <c r="T91" s="1404"/>
      <c r="U91" s="1404"/>
      <c r="V91" s="1404"/>
      <c r="W91" s="1404"/>
      <c r="X91" s="1404"/>
      <c r="Y91" s="1404"/>
      <c r="Z91" s="1404"/>
      <c r="AA91" s="1404"/>
      <c r="AB91" s="1404"/>
      <c r="AC91" s="1404"/>
      <c r="AD91" s="1404"/>
      <c r="AE91" s="1404"/>
      <c r="AF91" s="1404"/>
      <c r="AG91" s="1404"/>
      <c r="AH91" s="1404"/>
      <c r="AI91" s="1404"/>
      <c r="AJ91" s="1404"/>
      <c r="AK91" s="1404"/>
      <c r="AL91" s="1404"/>
      <c r="AM91" s="1404"/>
      <c r="AN91" s="1404"/>
      <c r="AO91" s="1404"/>
      <c r="AP91" s="1404"/>
      <c r="AQ91" s="1404"/>
      <c r="AR91" s="1404"/>
      <c r="AS91" s="1404"/>
      <c r="AT91" s="1404"/>
      <c r="AU91" s="1404"/>
      <c r="AV91" s="1404"/>
      <c r="AW91" s="1404"/>
      <c r="AX91" s="1404"/>
      <c r="AY91" s="1404"/>
      <c r="AZ91" s="1404"/>
      <c r="BA91" s="1404"/>
      <c r="BB91" s="1404"/>
      <c r="BC91" s="1404"/>
      <c r="BD91" s="1404"/>
      <c r="BE91" s="1404"/>
      <c r="BF91" s="1404"/>
      <c r="BG91" s="1404"/>
      <c r="BH91" s="1404"/>
      <c r="BI91" s="1404"/>
      <c r="BJ91" s="1404"/>
      <c r="BK91" s="1404"/>
      <c r="BL91" s="1404"/>
      <c r="BM91" s="1404"/>
      <c r="BN91" s="1404"/>
      <c r="BO91" s="1404"/>
      <c r="BP91" s="1404"/>
      <c r="BQ91" s="1404"/>
      <c r="BR91" s="1404"/>
      <c r="BS91" s="1404"/>
      <c r="BT91" s="1404"/>
      <c r="BU91" s="1404"/>
      <c r="BV91" s="1404"/>
      <c r="BW91" s="1404"/>
      <c r="BX91" s="1404"/>
      <c r="BY91" s="1404"/>
      <c r="BZ91" s="1404"/>
      <c r="CA91" s="1404"/>
      <c r="CB91" s="1404"/>
      <c r="CC91" s="1404"/>
      <c r="CD91" s="1404"/>
      <c r="CE91" s="1404"/>
      <c r="CF91" s="1404"/>
      <c r="CG91" s="1404"/>
      <c r="CH91" s="1404"/>
      <c r="CI91" s="1404"/>
      <c r="CJ91" s="1404"/>
      <c r="CK91" s="1404"/>
      <c r="CL91" s="1404"/>
      <c r="CM91" s="1404"/>
    </row>
    <row r="92" spans="1:91" s="1109" customFormat="1" ht="15" customHeight="1" thickBot="1">
      <c r="A92" s="2152"/>
      <c r="B92" s="2153"/>
      <c r="C92" s="1410" t="s">
        <v>2498</v>
      </c>
      <c r="D92" s="2023">
        <v>0</v>
      </c>
      <c r="E92" s="2153"/>
      <c r="F92" s="1404"/>
      <c r="G92" s="1404"/>
      <c r="H92" s="1404"/>
      <c r="I92" s="1404"/>
      <c r="J92" s="1404"/>
      <c r="K92" s="1404"/>
      <c r="L92" s="1404"/>
      <c r="M92" s="1404"/>
      <c r="N92" s="1404"/>
      <c r="O92" s="1404"/>
      <c r="P92" s="1404"/>
      <c r="Q92" s="1404"/>
      <c r="R92" s="1404"/>
      <c r="S92" s="1404"/>
      <c r="T92" s="1404"/>
      <c r="U92" s="1404"/>
      <c r="V92" s="1404"/>
      <c r="W92" s="1404"/>
      <c r="X92" s="1404"/>
      <c r="Y92" s="1404"/>
      <c r="Z92" s="1404"/>
      <c r="AA92" s="1404"/>
      <c r="AB92" s="1404"/>
      <c r="AC92" s="1404"/>
      <c r="AD92" s="1404"/>
      <c r="AE92" s="1404"/>
      <c r="AF92" s="1404"/>
      <c r="AG92" s="1404"/>
      <c r="AH92" s="1404"/>
      <c r="AI92" s="1404"/>
      <c r="AJ92" s="1404"/>
      <c r="AK92" s="1404"/>
      <c r="AL92" s="1404"/>
      <c r="AM92" s="1404"/>
      <c r="AN92" s="1404"/>
      <c r="AO92" s="1404"/>
      <c r="AP92" s="1404"/>
      <c r="AQ92" s="1404"/>
      <c r="AR92" s="1404"/>
      <c r="AS92" s="1404"/>
      <c r="AT92" s="1404"/>
      <c r="AU92" s="1404"/>
      <c r="AV92" s="1404"/>
      <c r="AW92" s="1404"/>
      <c r="AX92" s="1404"/>
      <c r="AY92" s="1404"/>
      <c r="AZ92" s="1404"/>
      <c r="BA92" s="1404"/>
      <c r="BB92" s="1404"/>
      <c r="BC92" s="1404"/>
      <c r="BD92" s="1404"/>
      <c r="BE92" s="1404"/>
      <c r="BF92" s="1404"/>
      <c r="BG92" s="1404"/>
      <c r="BH92" s="1404"/>
      <c r="BI92" s="1404"/>
      <c r="BJ92" s="1404"/>
      <c r="BK92" s="1404"/>
      <c r="BL92" s="1404"/>
      <c r="BM92" s="1404"/>
      <c r="BN92" s="1404"/>
      <c r="BO92" s="1404"/>
      <c r="BP92" s="1404"/>
      <c r="BQ92" s="1404"/>
      <c r="BR92" s="1404"/>
      <c r="BS92" s="1404"/>
      <c r="BT92" s="1404"/>
      <c r="BU92" s="1404"/>
      <c r="BV92" s="1404"/>
      <c r="BW92" s="1404"/>
      <c r="BX92" s="1404"/>
      <c r="BY92" s="1404"/>
      <c r="BZ92" s="1404"/>
      <c r="CA92" s="1404"/>
      <c r="CB92" s="1404"/>
      <c r="CC92" s="1404"/>
      <c r="CD92" s="1404"/>
      <c r="CE92" s="1404"/>
      <c r="CF92" s="1404"/>
      <c r="CG92" s="1404"/>
      <c r="CH92" s="1404"/>
      <c r="CI92" s="1404"/>
      <c r="CJ92" s="1404"/>
      <c r="CK92" s="1404"/>
      <c r="CL92" s="1404"/>
      <c r="CM92" s="1404"/>
    </row>
    <row r="93" spans="1:91" s="1087" customFormat="1" ht="33" customHeight="1" thickBot="1">
      <c r="A93" s="1468" t="s">
        <v>771</v>
      </c>
      <c r="B93" s="1466" t="s">
        <v>1532</v>
      </c>
      <c r="C93" s="1951" t="s">
        <v>2935</v>
      </c>
      <c r="D93" s="2079">
        <v>0</v>
      </c>
      <c r="E93" s="1466" t="s">
        <v>2452</v>
      </c>
      <c r="F93" s="1404"/>
      <c r="G93" s="1404"/>
      <c r="H93" s="1404"/>
      <c r="I93" s="1404"/>
      <c r="J93" s="1404"/>
      <c r="K93" s="1404"/>
      <c r="L93" s="1404"/>
      <c r="M93" s="1404"/>
      <c r="N93" s="1404"/>
      <c r="O93" s="1404"/>
      <c r="P93" s="1404"/>
      <c r="Q93" s="1404"/>
      <c r="R93" s="1404"/>
      <c r="S93" s="1404"/>
      <c r="T93" s="1404"/>
      <c r="U93" s="1404"/>
      <c r="V93" s="1404"/>
      <c r="W93" s="1404"/>
      <c r="X93" s="1404"/>
      <c r="Y93" s="1404"/>
      <c r="Z93" s="1404"/>
      <c r="AA93" s="1404"/>
      <c r="AB93" s="1404"/>
      <c r="AC93" s="1404"/>
      <c r="AD93" s="1404"/>
      <c r="AE93" s="1404"/>
      <c r="AF93" s="1404"/>
      <c r="AG93" s="1404"/>
      <c r="AH93" s="1404"/>
      <c r="AI93" s="1404"/>
      <c r="AJ93" s="1404"/>
      <c r="AK93" s="1404"/>
      <c r="AL93" s="1404"/>
      <c r="AM93" s="1404"/>
      <c r="AN93" s="1404"/>
      <c r="AO93" s="1404"/>
      <c r="AP93" s="1404"/>
      <c r="AQ93" s="1404"/>
      <c r="AR93" s="1404"/>
      <c r="AS93" s="1404"/>
      <c r="AT93" s="1404"/>
      <c r="AU93" s="1404"/>
      <c r="AV93" s="1404"/>
      <c r="AW93" s="1404"/>
      <c r="AX93" s="1404"/>
      <c r="AY93" s="1404"/>
      <c r="AZ93" s="1404"/>
      <c r="BA93" s="1404"/>
      <c r="BB93" s="1404"/>
      <c r="BC93" s="1404"/>
      <c r="BD93" s="1404"/>
      <c r="BE93" s="1404"/>
      <c r="BF93" s="1404"/>
      <c r="BG93" s="1404"/>
      <c r="BH93" s="1404"/>
      <c r="BI93" s="1404"/>
      <c r="BJ93" s="1404"/>
      <c r="BK93" s="1404"/>
      <c r="BL93" s="1404"/>
      <c r="BM93" s="1404"/>
      <c r="BN93" s="1404"/>
      <c r="BO93" s="1404"/>
      <c r="BP93" s="1404"/>
      <c r="BQ93" s="1404"/>
      <c r="BR93" s="1404"/>
      <c r="BS93" s="1404"/>
      <c r="BT93" s="1404"/>
      <c r="BU93" s="1404"/>
      <c r="BV93" s="1404"/>
      <c r="BW93" s="1404"/>
      <c r="BX93" s="1404"/>
      <c r="BY93" s="1404"/>
      <c r="BZ93" s="1404"/>
      <c r="CA93" s="1404"/>
      <c r="CB93" s="1404"/>
      <c r="CC93" s="1404"/>
      <c r="CD93" s="1404"/>
      <c r="CE93" s="1404"/>
      <c r="CF93" s="1404"/>
      <c r="CG93" s="1404"/>
      <c r="CH93" s="1404"/>
      <c r="CI93" s="1404"/>
      <c r="CJ93" s="1404"/>
      <c r="CK93" s="1404"/>
      <c r="CL93" s="1404"/>
      <c r="CM93" s="1404"/>
    </row>
    <row r="94" spans="1:91" s="1034" customFormat="1" ht="33" customHeight="1" thickBot="1">
      <c r="A94" s="488" t="s">
        <v>772</v>
      </c>
      <c r="B94" s="81" t="s">
        <v>2239</v>
      </c>
      <c r="C94" s="405" t="s">
        <v>2395</v>
      </c>
      <c r="D94" s="2024">
        <v>0</v>
      </c>
      <c r="E94" s="81" t="s">
        <v>2882</v>
      </c>
      <c r="F94" s="1404"/>
      <c r="G94" s="1404"/>
      <c r="H94" s="1404"/>
      <c r="I94" s="1404"/>
      <c r="J94" s="1404"/>
      <c r="K94" s="1404"/>
      <c r="L94" s="1404"/>
      <c r="M94" s="1404"/>
      <c r="N94" s="1404"/>
      <c r="O94" s="1404"/>
      <c r="P94" s="1404"/>
      <c r="Q94" s="1404"/>
      <c r="R94" s="1404"/>
      <c r="S94" s="1404"/>
      <c r="T94" s="1404"/>
      <c r="U94" s="1404"/>
      <c r="V94" s="1404"/>
      <c r="W94" s="1404"/>
      <c r="X94" s="1404"/>
      <c r="Y94" s="1404"/>
      <c r="Z94" s="1404"/>
      <c r="AA94" s="1404"/>
      <c r="AB94" s="1404"/>
      <c r="AC94" s="1404"/>
      <c r="AD94" s="1404"/>
      <c r="AE94" s="1404"/>
      <c r="AF94" s="1404"/>
      <c r="AG94" s="1404"/>
      <c r="AH94" s="1404"/>
      <c r="AI94" s="1404"/>
      <c r="AJ94" s="1404"/>
      <c r="AK94" s="1404"/>
      <c r="AL94" s="1404"/>
      <c r="AM94" s="1404"/>
      <c r="AN94" s="1404"/>
      <c r="AO94" s="1404"/>
      <c r="AP94" s="1404"/>
      <c r="AQ94" s="1404"/>
      <c r="AR94" s="1404"/>
      <c r="AS94" s="1404"/>
      <c r="AT94" s="1404"/>
      <c r="AU94" s="1404"/>
      <c r="AV94" s="1404"/>
      <c r="AW94" s="1404"/>
      <c r="AX94" s="1404"/>
      <c r="AY94" s="1404"/>
      <c r="AZ94" s="1404"/>
      <c r="BA94" s="1404"/>
      <c r="BB94" s="1404"/>
      <c r="BC94" s="1404"/>
      <c r="BD94" s="1404"/>
      <c r="BE94" s="1404"/>
      <c r="BF94" s="1404"/>
      <c r="BG94" s="1404"/>
      <c r="BH94" s="1404"/>
      <c r="BI94" s="1404"/>
      <c r="BJ94" s="1404"/>
      <c r="BK94" s="1404"/>
      <c r="BL94" s="1404"/>
      <c r="BM94" s="1404"/>
      <c r="BN94" s="1404"/>
      <c r="BO94" s="1404"/>
      <c r="BP94" s="1404"/>
      <c r="BQ94" s="1404"/>
      <c r="BR94" s="1404"/>
      <c r="BS94" s="1404"/>
      <c r="BT94" s="1404"/>
      <c r="BU94" s="1404"/>
      <c r="BV94" s="1404"/>
      <c r="BW94" s="1404"/>
      <c r="BX94" s="1404"/>
      <c r="BY94" s="1404"/>
      <c r="BZ94" s="1404"/>
      <c r="CA94" s="1404"/>
      <c r="CB94" s="1404"/>
      <c r="CC94" s="1404"/>
      <c r="CD94" s="1404"/>
      <c r="CE94" s="1404"/>
      <c r="CF94" s="1404"/>
      <c r="CG94" s="1404"/>
      <c r="CH94" s="1404"/>
      <c r="CI94" s="1404"/>
      <c r="CJ94" s="1404"/>
      <c r="CK94" s="1404"/>
      <c r="CL94" s="1404"/>
      <c r="CM94" s="1404"/>
    </row>
    <row r="95" spans="1:91" s="1034" customFormat="1" ht="30" customHeight="1" thickBot="1">
      <c r="A95" s="2151" t="s">
        <v>785</v>
      </c>
      <c r="B95" s="2146" t="s">
        <v>1530</v>
      </c>
      <c r="C95" s="1485" t="s">
        <v>2362</v>
      </c>
      <c r="D95" s="2019"/>
      <c r="E95" s="2146" t="s">
        <v>2807</v>
      </c>
      <c r="F95" s="1404"/>
      <c r="G95" s="1404"/>
      <c r="H95" s="1404"/>
      <c r="I95" s="1404"/>
      <c r="J95" s="1404"/>
      <c r="K95" s="1404"/>
      <c r="L95" s="1404"/>
      <c r="M95" s="1404"/>
      <c r="N95" s="1404"/>
      <c r="O95" s="1404"/>
      <c r="P95" s="1404"/>
      <c r="Q95" s="1404"/>
      <c r="R95" s="1404"/>
      <c r="S95" s="1404"/>
      <c r="T95" s="1404"/>
      <c r="U95" s="1404"/>
      <c r="V95" s="1404"/>
      <c r="W95" s="1404"/>
      <c r="X95" s="1404"/>
      <c r="Y95" s="1404"/>
      <c r="Z95" s="1404"/>
      <c r="AA95" s="1404"/>
      <c r="AB95" s="1404"/>
      <c r="AC95" s="1404"/>
      <c r="AD95" s="1404"/>
      <c r="AE95" s="1404"/>
      <c r="AF95" s="1404"/>
      <c r="AG95" s="1404"/>
      <c r="AH95" s="1404"/>
      <c r="AI95" s="1404"/>
      <c r="AJ95" s="1404"/>
      <c r="AK95" s="1404"/>
      <c r="AL95" s="1404"/>
      <c r="AM95" s="1404"/>
      <c r="AN95" s="1404"/>
      <c r="AO95" s="1404"/>
      <c r="AP95" s="1404"/>
      <c r="AQ95" s="1404"/>
      <c r="AR95" s="1404"/>
      <c r="AS95" s="1404"/>
      <c r="AT95" s="1404"/>
      <c r="AU95" s="1404"/>
      <c r="AV95" s="1404"/>
      <c r="AW95" s="1404"/>
      <c r="AX95" s="1404"/>
      <c r="AY95" s="1404"/>
      <c r="AZ95" s="1404"/>
      <c r="BA95" s="1404"/>
      <c r="BB95" s="1404"/>
      <c r="BC95" s="1404"/>
      <c r="BD95" s="1404"/>
      <c r="BE95" s="1404"/>
      <c r="BF95" s="1404"/>
      <c r="BG95" s="1404"/>
      <c r="BH95" s="1404"/>
      <c r="BI95" s="1404"/>
      <c r="BJ95" s="1404"/>
      <c r="BK95" s="1404"/>
      <c r="BL95" s="1404"/>
      <c r="BM95" s="1404"/>
      <c r="BN95" s="1404"/>
      <c r="BO95" s="1404"/>
      <c r="BP95" s="1404"/>
      <c r="BQ95" s="1404"/>
      <c r="BR95" s="1404"/>
      <c r="BS95" s="1404"/>
      <c r="BT95" s="1404"/>
      <c r="BU95" s="1404"/>
      <c r="BV95" s="1404"/>
      <c r="BW95" s="1404"/>
      <c r="BX95" s="1404"/>
      <c r="BY95" s="1404"/>
      <c r="BZ95" s="1404"/>
      <c r="CA95" s="1404"/>
      <c r="CB95" s="1404"/>
      <c r="CC95" s="1404"/>
      <c r="CD95" s="1404"/>
      <c r="CE95" s="1404"/>
      <c r="CF95" s="1404"/>
      <c r="CG95" s="1404"/>
      <c r="CH95" s="1404"/>
      <c r="CI95" s="1404"/>
      <c r="CJ95" s="1404"/>
      <c r="CK95" s="1404"/>
      <c r="CL95" s="1404"/>
      <c r="CM95" s="1404"/>
    </row>
    <row r="96" spans="1:91" s="1035" customFormat="1" ht="15" customHeight="1">
      <c r="A96" s="2151"/>
      <c r="B96" s="2146"/>
      <c r="C96" s="1493" t="s">
        <v>2363</v>
      </c>
      <c r="D96" s="2028">
        <v>0</v>
      </c>
      <c r="E96" s="2146"/>
      <c r="F96" s="1404"/>
      <c r="G96" s="1404"/>
      <c r="H96" s="1404"/>
      <c r="I96" s="1404"/>
      <c r="J96" s="1404"/>
      <c r="K96" s="1404"/>
      <c r="L96" s="1404"/>
      <c r="M96" s="1404"/>
      <c r="N96" s="1404"/>
      <c r="O96" s="1404"/>
      <c r="P96" s="1404"/>
      <c r="Q96" s="1404"/>
      <c r="R96" s="1404"/>
      <c r="S96" s="1404"/>
      <c r="T96" s="1404"/>
      <c r="U96" s="1404"/>
      <c r="V96" s="1404"/>
      <c r="W96" s="1404"/>
      <c r="X96" s="1404"/>
      <c r="Y96" s="1404"/>
      <c r="Z96" s="1404"/>
      <c r="AA96" s="1404"/>
      <c r="AB96" s="1404"/>
      <c r="AC96" s="1404"/>
      <c r="AD96" s="1404"/>
      <c r="AE96" s="1404"/>
      <c r="AF96" s="1404"/>
      <c r="AG96" s="1404"/>
      <c r="AH96" s="1404"/>
      <c r="AI96" s="1404"/>
      <c r="AJ96" s="1404"/>
      <c r="AK96" s="1404"/>
      <c r="AL96" s="1404"/>
      <c r="AM96" s="1404"/>
      <c r="AN96" s="1404"/>
      <c r="AO96" s="1404"/>
      <c r="AP96" s="1404"/>
      <c r="AQ96" s="1404"/>
      <c r="AR96" s="1404"/>
      <c r="AS96" s="1404"/>
      <c r="AT96" s="1404"/>
      <c r="AU96" s="1404"/>
      <c r="AV96" s="1404"/>
      <c r="AW96" s="1404"/>
      <c r="AX96" s="1404"/>
      <c r="AY96" s="1404"/>
      <c r="AZ96" s="1404"/>
      <c r="BA96" s="1404"/>
      <c r="BB96" s="1404"/>
      <c r="BC96" s="1404"/>
      <c r="BD96" s="1404"/>
      <c r="BE96" s="1404"/>
      <c r="BF96" s="1404"/>
      <c r="BG96" s="1404"/>
      <c r="BH96" s="1404"/>
      <c r="BI96" s="1404"/>
      <c r="BJ96" s="1404"/>
      <c r="BK96" s="1404"/>
      <c r="BL96" s="1404"/>
      <c r="BM96" s="1404"/>
      <c r="BN96" s="1404"/>
      <c r="BO96" s="1404"/>
      <c r="BP96" s="1404"/>
      <c r="BQ96" s="1404"/>
      <c r="BR96" s="1404"/>
      <c r="BS96" s="1404"/>
      <c r="BT96" s="1404"/>
      <c r="BU96" s="1404"/>
      <c r="BV96" s="1404"/>
      <c r="BW96" s="1404"/>
      <c r="BX96" s="1404"/>
      <c r="BY96" s="1404"/>
      <c r="BZ96" s="1404"/>
      <c r="CA96" s="1404"/>
      <c r="CB96" s="1404"/>
      <c r="CC96" s="1404"/>
      <c r="CD96" s="1404"/>
      <c r="CE96" s="1404"/>
      <c r="CF96" s="1404"/>
      <c r="CG96" s="1404"/>
      <c r="CH96" s="1404"/>
      <c r="CI96" s="1404"/>
      <c r="CJ96" s="1404"/>
      <c r="CK96" s="1404"/>
      <c r="CL96" s="1404"/>
      <c r="CM96" s="1404"/>
    </row>
    <row r="97" spans="1:91" s="1035" customFormat="1" ht="15" customHeight="1">
      <c r="A97" s="2151"/>
      <c r="B97" s="2146"/>
      <c r="C97" s="1412" t="s">
        <v>2368</v>
      </c>
      <c r="D97" s="2028">
        <v>0</v>
      </c>
      <c r="E97" s="2146"/>
      <c r="F97" s="1404"/>
      <c r="G97" s="1404"/>
      <c r="H97" s="1404"/>
      <c r="I97" s="1404"/>
      <c r="J97" s="1404"/>
      <c r="K97" s="1404"/>
      <c r="L97" s="1404"/>
      <c r="M97" s="1404"/>
      <c r="N97" s="1404"/>
      <c r="O97" s="1404"/>
      <c r="P97" s="1404"/>
      <c r="Q97" s="1404"/>
      <c r="R97" s="1404"/>
      <c r="S97" s="1404"/>
      <c r="T97" s="1404"/>
      <c r="U97" s="1404"/>
      <c r="V97" s="1404"/>
      <c r="W97" s="1404"/>
      <c r="X97" s="1404"/>
      <c r="Y97" s="1404"/>
      <c r="Z97" s="1404"/>
      <c r="AA97" s="1404"/>
      <c r="AB97" s="1404"/>
      <c r="AC97" s="1404"/>
      <c r="AD97" s="1404"/>
      <c r="AE97" s="1404"/>
      <c r="AF97" s="1404"/>
      <c r="AG97" s="1404"/>
      <c r="AH97" s="1404"/>
      <c r="AI97" s="1404"/>
      <c r="AJ97" s="1404"/>
      <c r="AK97" s="1404"/>
      <c r="AL97" s="1404"/>
      <c r="AM97" s="1404"/>
      <c r="AN97" s="1404"/>
      <c r="AO97" s="1404"/>
      <c r="AP97" s="1404"/>
      <c r="AQ97" s="1404"/>
      <c r="AR97" s="1404"/>
      <c r="AS97" s="1404"/>
      <c r="AT97" s="1404"/>
      <c r="AU97" s="1404"/>
      <c r="AV97" s="1404"/>
      <c r="AW97" s="1404"/>
      <c r="AX97" s="1404"/>
      <c r="AY97" s="1404"/>
      <c r="AZ97" s="1404"/>
      <c r="BA97" s="1404"/>
      <c r="BB97" s="1404"/>
      <c r="BC97" s="1404"/>
      <c r="BD97" s="1404"/>
      <c r="BE97" s="1404"/>
      <c r="BF97" s="1404"/>
      <c r="BG97" s="1404"/>
      <c r="BH97" s="1404"/>
      <c r="BI97" s="1404"/>
      <c r="BJ97" s="1404"/>
      <c r="BK97" s="1404"/>
      <c r="BL97" s="1404"/>
      <c r="BM97" s="1404"/>
      <c r="BN97" s="1404"/>
      <c r="BO97" s="1404"/>
      <c r="BP97" s="1404"/>
      <c r="BQ97" s="1404"/>
      <c r="BR97" s="1404"/>
      <c r="BS97" s="1404"/>
      <c r="BT97" s="1404"/>
      <c r="BU97" s="1404"/>
      <c r="BV97" s="1404"/>
      <c r="BW97" s="1404"/>
      <c r="BX97" s="1404"/>
      <c r="BY97" s="1404"/>
      <c r="BZ97" s="1404"/>
      <c r="CA97" s="1404"/>
      <c r="CB97" s="1404"/>
      <c r="CC97" s="1404"/>
      <c r="CD97" s="1404"/>
      <c r="CE97" s="1404"/>
      <c r="CF97" s="1404"/>
      <c r="CG97" s="1404"/>
      <c r="CH97" s="1404"/>
      <c r="CI97" s="1404"/>
      <c r="CJ97" s="1404"/>
      <c r="CK97" s="1404"/>
      <c r="CL97" s="1404"/>
      <c r="CM97" s="1404"/>
    </row>
    <row r="98" spans="1:91" s="1035" customFormat="1" ht="15" customHeight="1">
      <c r="A98" s="2151"/>
      <c r="B98" s="2146"/>
      <c r="C98" s="1412" t="s">
        <v>2364</v>
      </c>
      <c r="D98" s="2028">
        <v>0</v>
      </c>
      <c r="E98" s="2146"/>
      <c r="F98" s="1404"/>
      <c r="G98" s="1404"/>
      <c r="H98" s="1404"/>
      <c r="I98" s="1404"/>
      <c r="J98" s="1404"/>
      <c r="K98" s="1404"/>
      <c r="L98" s="1404"/>
      <c r="M98" s="1404"/>
      <c r="N98" s="1404"/>
      <c r="O98" s="1404"/>
      <c r="P98" s="1404"/>
      <c r="Q98" s="1404"/>
      <c r="R98" s="1404"/>
      <c r="S98" s="1404"/>
      <c r="T98" s="1404"/>
      <c r="U98" s="1404"/>
      <c r="V98" s="1404"/>
      <c r="W98" s="1404"/>
      <c r="X98" s="1404"/>
      <c r="Y98" s="1404"/>
      <c r="Z98" s="1404"/>
      <c r="AA98" s="1404"/>
      <c r="AB98" s="1404"/>
      <c r="AC98" s="1404"/>
      <c r="AD98" s="1404"/>
      <c r="AE98" s="1404"/>
      <c r="AF98" s="1404"/>
      <c r="AG98" s="1404"/>
      <c r="AH98" s="1404"/>
      <c r="AI98" s="1404"/>
      <c r="AJ98" s="1404"/>
      <c r="AK98" s="1404"/>
      <c r="AL98" s="1404"/>
      <c r="AM98" s="1404"/>
      <c r="AN98" s="1404"/>
      <c r="AO98" s="1404"/>
      <c r="AP98" s="1404"/>
      <c r="AQ98" s="1404"/>
      <c r="AR98" s="1404"/>
      <c r="AS98" s="1404"/>
      <c r="AT98" s="1404"/>
      <c r="AU98" s="1404"/>
      <c r="AV98" s="1404"/>
      <c r="AW98" s="1404"/>
      <c r="AX98" s="1404"/>
      <c r="AY98" s="1404"/>
      <c r="AZ98" s="1404"/>
      <c r="BA98" s="1404"/>
      <c r="BB98" s="1404"/>
      <c r="BC98" s="1404"/>
      <c r="BD98" s="1404"/>
      <c r="BE98" s="1404"/>
      <c r="BF98" s="1404"/>
      <c r="BG98" s="1404"/>
      <c r="BH98" s="1404"/>
      <c r="BI98" s="1404"/>
      <c r="BJ98" s="1404"/>
      <c r="BK98" s="1404"/>
      <c r="BL98" s="1404"/>
      <c r="BM98" s="1404"/>
      <c r="BN98" s="1404"/>
      <c r="BO98" s="1404"/>
      <c r="BP98" s="1404"/>
      <c r="BQ98" s="1404"/>
      <c r="BR98" s="1404"/>
      <c r="BS98" s="1404"/>
      <c r="BT98" s="1404"/>
      <c r="BU98" s="1404"/>
      <c r="BV98" s="1404"/>
      <c r="BW98" s="1404"/>
      <c r="BX98" s="1404"/>
      <c r="BY98" s="1404"/>
      <c r="BZ98" s="1404"/>
      <c r="CA98" s="1404"/>
      <c r="CB98" s="1404"/>
      <c r="CC98" s="1404"/>
      <c r="CD98" s="1404"/>
      <c r="CE98" s="1404"/>
      <c r="CF98" s="1404"/>
      <c r="CG98" s="1404"/>
      <c r="CH98" s="1404"/>
      <c r="CI98" s="1404"/>
      <c r="CJ98" s="1404"/>
      <c r="CK98" s="1404"/>
      <c r="CL98" s="1404"/>
      <c r="CM98" s="1404"/>
    </row>
    <row r="99" spans="1:91" s="1032" customFormat="1" ht="27" customHeight="1" thickBot="1">
      <c r="A99" s="2151"/>
      <c r="B99" s="2146"/>
      <c r="C99" s="1410" t="s">
        <v>2396</v>
      </c>
      <c r="D99" s="2029">
        <v>0</v>
      </c>
      <c r="E99" s="2146"/>
      <c r="F99" s="1404"/>
      <c r="G99" s="1404"/>
      <c r="H99" s="1404"/>
      <c r="I99" s="1404"/>
      <c r="J99" s="1404"/>
      <c r="K99" s="1404"/>
      <c r="L99" s="1404"/>
      <c r="M99" s="1404"/>
      <c r="N99" s="1404"/>
      <c r="O99" s="1404"/>
      <c r="P99" s="1404"/>
      <c r="Q99" s="1404"/>
      <c r="R99" s="1404"/>
      <c r="S99" s="1404"/>
      <c r="T99" s="1404"/>
      <c r="U99" s="1404"/>
      <c r="V99" s="1404"/>
      <c r="W99" s="1404"/>
      <c r="X99" s="1404"/>
      <c r="Y99" s="1404"/>
      <c r="Z99" s="1404"/>
      <c r="AA99" s="1404"/>
      <c r="AB99" s="1404"/>
      <c r="AC99" s="1404"/>
      <c r="AD99" s="1404"/>
      <c r="AE99" s="1404"/>
      <c r="AF99" s="1404"/>
      <c r="AG99" s="1404"/>
      <c r="AH99" s="1404"/>
      <c r="AI99" s="1404"/>
      <c r="AJ99" s="1404"/>
      <c r="AK99" s="1404"/>
      <c r="AL99" s="1404"/>
      <c r="AM99" s="1404"/>
      <c r="AN99" s="1404"/>
      <c r="AO99" s="1404"/>
      <c r="AP99" s="1404"/>
      <c r="AQ99" s="1404"/>
      <c r="AR99" s="1404"/>
      <c r="AS99" s="1404"/>
      <c r="AT99" s="1404"/>
      <c r="AU99" s="1404"/>
      <c r="AV99" s="1404"/>
      <c r="AW99" s="1404"/>
      <c r="AX99" s="1404"/>
      <c r="AY99" s="1404"/>
      <c r="AZ99" s="1404"/>
      <c r="BA99" s="1404"/>
      <c r="BB99" s="1404"/>
      <c r="BC99" s="1404"/>
      <c r="BD99" s="1404"/>
      <c r="BE99" s="1404"/>
      <c r="BF99" s="1404"/>
      <c r="BG99" s="1404"/>
      <c r="BH99" s="1404"/>
      <c r="BI99" s="1404"/>
      <c r="BJ99" s="1404"/>
      <c r="BK99" s="1404"/>
      <c r="BL99" s="1404"/>
      <c r="BM99" s="1404"/>
      <c r="BN99" s="1404"/>
      <c r="BO99" s="1404"/>
      <c r="BP99" s="1404"/>
      <c r="BQ99" s="1404"/>
      <c r="BR99" s="1404"/>
      <c r="BS99" s="1404"/>
      <c r="BT99" s="1404"/>
      <c r="BU99" s="1404"/>
      <c r="BV99" s="1404"/>
      <c r="BW99" s="1404"/>
      <c r="BX99" s="1404"/>
      <c r="BY99" s="1404"/>
      <c r="BZ99" s="1404"/>
      <c r="CA99" s="1404"/>
      <c r="CB99" s="1404"/>
      <c r="CC99" s="1404"/>
      <c r="CD99" s="1404"/>
      <c r="CE99" s="1404"/>
      <c r="CF99" s="1404"/>
      <c r="CG99" s="1404"/>
      <c r="CH99" s="1404"/>
      <c r="CI99" s="1404"/>
      <c r="CJ99" s="1404"/>
      <c r="CK99" s="1404"/>
      <c r="CL99" s="1404"/>
      <c r="CM99" s="1404"/>
    </row>
    <row r="100" spans="1:91" s="1034" customFormat="1" ht="21" customHeight="1" thickBot="1">
      <c r="A100" s="2150" t="s">
        <v>773</v>
      </c>
      <c r="B100" s="2148" t="s">
        <v>1531</v>
      </c>
      <c r="C100" s="405" t="s">
        <v>2365</v>
      </c>
      <c r="D100" s="2022"/>
      <c r="E100" s="2148" t="s">
        <v>2808</v>
      </c>
      <c r="F100" s="1404"/>
      <c r="G100" s="1404"/>
      <c r="H100" s="1404"/>
      <c r="I100" s="1404"/>
      <c r="J100" s="1404"/>
      <c r="K100" s="1404"/>
      <c r="L100" s="1404"/>
      <c r="M100" s="1404"/>
      <c r="N100" s="1404"/>
      <c r="O100" s="1404"/>
      <c r="P100" s="1404"/>
      <c r="Q100" s="1404"/>
      <c r="R100" s="1404"/>
      <c r="S100" s="1404"/>
      <c r="T100" s="1404"/>
      <c r="U100" s="1404"/>
      <c r="V100" s="1404"/>
      <c r="W100" s="1404"/>
      <c r="X100" s="1404"/>
      <c r="Y100" s="1404"/>
      <c r="Z100" s="1404"/>
      <c r="AA100" s="1404"/>
      <c r="AB100" s="1404"/>
      <c r="AC100" s="1404"/>
      <c r="AD100" s="1404"/>
      <c r="AE100" s="1404"/>
      <c r="AF100" s="1404"/>
      <c r="AG100" s="1404"/>
      <c r="AH100" s="1404"/>
      <c r="AI100" s="1404"/>
      <c r="AJ100" s="1404"/>
      <c r="AK100" s="1404"/>
      <c r="AL100" s="1404"/>
      <c r="AM100" s="1404"/>
      <c r="AN100" s="1404"/>
      <c r="AO100" s="1404"/>
      <c r="AP100" s="1404"/>
      <c r="AQ100" s="1404"/>
      <c r="AR100" s="1404"/>
      <c r="AS100" s="1404"/>
      <c r="AT100" s="1404"/>
      <c r="AU100" s="1404"/>
      <c r="AV100" s="1404"/>
      <c r="AW100" s="1404"/>
      <c r="AX100" s="1404"/>
      <c r="AY100" s="1404"/>
      <c r="AZ100" s="1404"/>
      <c r="BA100" s="1404"/>
      <c r="BB100" s="1404"/>
      <c r="BC100" s="1404"/>
      <c r="BD100" s="1404"/>
      <c r="BE100" s="1404"/>
      <c r="BF100" s="1404"/>
      <c r="BG100" s="1404"/>
      <c r="BH100" s="1404"/>
      <c r="BI100" s="1404"/>
      <c r="BJ100" s="1404"/>
      <c r="BK100" s="1404"/>
      <c r="BL100" s="1404"/>
      <c r="BM100" s="1404"/>
      <c r="BN100" s="1404"/>
      <c r="BO100" s="1404"/>
      <c r="BP100" s="1404"/>
      <c r="BQ100" s="1404"/>
      <c r="BR100" s="1404"/>
      <c r="BS100" s="1404"/>
      <c r="BT100" s="1404"/>
      <c r="BU100" s="1404"/>
      <c r="BV100" s="1404"/>
      <c r="BW100" s="1404"/>
      <c r="BX100" s="1404"/>
      <c r="BY100" s="1404"/>
      <c r="BZ100" s="1404"/>
      <c r="CA100" s="1404"/>
      <c r="CB100" s="1404"/>
      <c r="CC100" s="1404"/>
      <c r="CD100" s="1404"/>
      <c r="CE100" s="1404"/>
      <c r="CF100" s="1404"/>
      <c r="CG100" s="1404"/>
      <c r="CH100" s="1404"/>
      <c r="CI100" s="1404"/>
      <c r="CJ100" s="1404"/>
      <c r="CK100" s="1404"/>
      <c r="CL100" s="1404"/>
      <c r="CM100" s="1404"/>
    </row>
    <row r="101" spans="1:91" s="1035" customFormat="1" ht="15" customHeight="1">
      <c r="A101" s="2151"/>
      <c r="B101" s="2146"/>
      <c r="C101" s="1493" t="s">
        <v>2367</v>
      </c>
      <c r="D101" s="2028">
        <v>0</v>
      </c>
      <c r="E101" s="2146"/>
      <c r="F101" s="1404"/>
      <c r="G101" s="1404"/>
      <c r="H101" s="1404"/>
      <c r="I101" s="1404"/>
      <c r="J101" s="1404"/>
      <c r="K101" s="1404"/>
      <c r="L101" s="1404"/>
      <c r="M101" s="1404"/>
      <c r="N101" s="1404"/>
      <c r="O101" s="1404"/>
      <c r="P101" s="1404"/>
      <c r="Q101" s="1404"/>
      <c r="R101" s="1404"/>
      <c r="S101" s="1404"/>
      <c r="T101" s="1404"/>
      <c r="U101" s="1404"/>
      <c r="V101" s="1404"/>
      <c r="W101" s="1404"/>
      <c r="X101" s="1404"/>
      <c r="Y101" s="1404"/>
      <c r="Z101" s="1404"/>
      <c r="AA101" s="1404"/>
      <c r="AB101" s="1404"/>
      <c r="AC101" s="1404"/>
      <c r="AD101" s="1404"/>
      <c r="AE101" s="1404"/>
      <c r="AF101" s="1404"/>
      <c r="AG101" s="1404"/>
      <c r="AH101" s="1404"/>
      <c r="AI101" s="1404"/>
      <c r="AJ101" s="1404"/>
      <c r="AK101" s="1404"/>
      <c r="AL101" s="1404"/>
      <c r="AM101" s="1404"/>
      <c r="AN101" s="1404"/>
      <c r="AO101" s="1404"/>
      <c r="AP101" s="1404"/>
      <c r="AQ101" s="1404"/>
      <c r="AR101" s="1404"/>
      <c r="AS101" s="1404"/>
      <c r="AT101" s="1404"/>
      <c r="AU101" s="1404"/>
      <c r="AV101" s="1404"/>
      <c r="AW101" s="1404"/>
      <c r="AX101" s="1404"/>
      <c r="AY101" s="1404"/>
      <c r="AZ101" s="1404"/>
      <c r="BA101" s="1404"/>
      <c r="BB101" s="1404"/>
      <c r="BC101" s="1404"/>
      <c r="BD101" s="1404"/>
      <c r="BE101" s="1404"/>
      <c r="BF101" s="1404"/>
      <c r="BG101" s="1404"/>
      <c r="BH101" s="1404"/>
      <c r="BI101" s="1404"/>
      <c r="BJ101" s="1404"/>
      <c r="BK101" s="1404"/>
      <c r="BL101" s="1404"/>
      <c r="BM101" s="1404"/>
      <c r="BN101" s="1404"/>
      <c r="BO101" s="1404"/>
      <c r="BP101" s="1404"/>
      <c r="BQ101" s="1404"/>
      <c r="BR101" s="1404"/>
      <c r="BS101" s="1404"/>
      <c r="BT101" s="1404"/>
      <c r="BU101" s="1404"/>
      <c r="BV101" s="1404"/>
      <c r="BW101" s="1404"/>
      <c r="BX101" s="1404"/>
      <c r="BY101" s="1404"/>
      <c r="BZ101" s="1404"/>
      <c r="CA101" s="1404"/>
      <c r="CB101" s="1404"/>
      <c r="CC101" s="1404"/>
      <c r="CD101" s="1404"/>
      <c r="CE101" s="1404"/>
      <c r="CF101" s="1404"/>
      <c r="CG101" s="1404"/>
      <c r="CH101" s="1404"/>
      <c r="CI101" s="1404"/>
      <c r="CJ101" s="1404"/>
      <c r="CK101" s="1404"/>
      <c r="CL101" s="1404"/>
      <c r="CM101" s="1404"/>
    </row>
    <row r="102" spans="1:91" s="1035" customFormat="1" ht="15" customHeight="1">
      <c r="A102" s="2151"/>
      <c r="B102" s="2146"/>
      <c r="C102" s="1411" t="s">
        <v>2366</v>
      </c>
      <c r="D102" s="2028">
        <v>0</v>
      </c>
      <c r="E102" s="2146"/>
      <c r="F102" s="1404"/>
      <c r="G102" s="1404"/>
      <c r="H102" s="1404"/>
      <c r="I102" s="1404"/>
      <c r="J102" s="1404"/>
      <c r="K102" s="1404"/>
      <c r="L102" s="1404"/>
      <c r="M102" s="1404"/>
      <c r="N102" s="1404"/>
      <c r="O102" s="1404"/>
      <c r="P102" s="1404"/>
      <c r="Q102" s="1404"/>
      <c r="R102" s="1404"/>
      <c r="S102" s="1404"/>
      <c r="T102" s="1404"/>
      <c r="U102" s="1404"/>
      <c r="V102" s="1404"/>
      <c r="W102" s="1404"/>
      <c r="X102" s="1404"/>
      <c r="Y102" s="1404"/>
      <c r="Z102" s="1404"/>
      <c r="AA102" s="1404"/>
      <c r="AB102" s="1404"/>
      <c r="AC102" s="1404"/>
      <c r="AD102" s="1404"/>
      <c r="AE102" s="1404"/>
      <c r="AF102" s="1404"/>
      <c r="AG102" s="1404"/>
      <c r="AH102" s="1404"/>
      <c r="AI102" s="1404"/>
      <c r="AJ102" s="1404"/>
      <c r="AK102" s="1404"/>
      <c r="AL102" s="1404"/>
      <c r="AM102" s="1404"/>
      <c r="AN102" s="1404"/>
      <c r="AO102" s="1404"/>
      <c r="AP102" s="1404"/>
      <c r="AQ102" s="1404"/>
      <c r="AR102" s="1404"/>
      <c r="AS102" s="1404"/>
      <c r="AT102" s="1404"/>
      <c r="AU102" s="1404"/>
      <c r="AV102" s="1404"/>
      <c r="AW102" s="1404"/>
      <c r="AX102" s="1404"/>
      <c r="AY102" s="1404"/>
      <c r="AZ102" s="1404"/>
      <c r="BA102" s="1404"/>
      <c r="BB102" s="1404"/>
      <c r="BC102" s="1404"/>
      <c r="BD102" s="1404"/>
      <c r="BE102" s="1404"/>
      <c r="BF102" s="1404"/>
      <c r="BG102" s="1404"/>
      <c r="BH102" s="1404"/>
      <c r="BI102" s="1404"/>
      <c r="BJ102" s="1404"/>
      <c r="BK102" s="1404"/>
      <c r="BL102" s="1404"/>
      <c r="BM102" s="1404"/>
      <c r="BN102" s="1404"/>
      <c r="BO102" s="1404"/>
      <c r="BP102" s="1404"/>
      <c r="BQ102" s="1404"/>
      <c r="BR102" s="1404"/>
      <c r="BS102" s="1404"/>
      <c r="BT102" s="1404"/>
      <c r="BU102" s="1404"/>
      <c r="BV102" s="1404"/>
      <c r="BW102" s="1404"/>
      <c r="BX102" s="1404"/>
      <c r="BY102" s="1404"/>
      <c r="BZ102" s="1404"/>
      <c r="CA102" s="1404"/>
      <c r="CB102" s="1404"/>
      <c r="CC102" s="1404"/>
      <c r="CD102" s="1404"/>
      <c r="CE102" s="1404"/>
      <c r="CF102" s="1404"/>
      <c r="CG102" s="1404"/>
      <c r="CH102" s="1404"/>
      <c r="CI102" s="1404"/>
      <c r="CJ102" s="1404"/>
      <c r="CK102" s="1404"/>
      <c r="CL102" s="1404"/>
      <c r="CM102" s="1404"/>
    </row>
    <row r="103" spans="1:91" s="1035" customFormat="1" ht="15" customHeight="1">
      <c r="A103" s="2151"/>
      <c r="B103" s="2146"/>
      <c r="C103" s="1412" t="s">
        <v>2364</v>
      </c>
      <c r="D103" s="2028">
        <v>0</v>
      </c>
      <c r="E103" s="2146"/>
      <c r="F103" s="1404"/>
      <c r="G103" s="1404"/>
      <c r="H103" s="1404"/>
      <c r="I103" s="1404"/>
      <c r="J103" s="1404"/>
      <c r="K103" s="1404"/>
      <c r="L103" s="1404"/>
      <c r="M103" s="1404"/>
      <c r="N103" s="1404"/>
      <c r="O103" s="1404"/>
      <c r="P103" s="1404"/>
      <c r="Q103" s="1404"/>
      <c r="R103" s="1404"/>
      <c r="S103" s="1404"/>
      <c r="T103" s="1404"/>
      <c r="U103" s="1404"/>
      <c r="V103" s="1404"/>
      <c r="W103" s="1404"/>
      <c r="X103" s="1404"/>
      <c r="Y103" s="1404"/>
      <c r="Z103" s="1404"/>
      <c r="AA103" s="1404"/>
      <c r="AB103" s="1404"/>
      <c r="AC103" s="1404"/>
      <c r="AD103" s="1404"/>
      <c r="AE103" s="1404"/>
      <c r="AF103" s="1404"/>
      <c r="AG103" s="1404"/>
      <c r="AH103" s="1404"/>
      <c r="AI103" s="1404"/>
      <c r="AJ103" s="1404"/>
      <c r="AK103" s="1404"/>
      <c r="AL103" s="1404"/>
      <c r="AM103" s="1404"/>
      <c r="AN103" s="1404"/>
      <c r="AO103" s="1404"/>
      <c r="AP103" s="1404"/>
      <c r="AQ103" s="1404"/>
      <c r="AR103" s="1404"/>
      <c r="AS103" s="1404"/>
      <c r="AT103" s="1404"/>
      <c r="AU103" s="1404"/>
      <c r="AV103" s="1404"/>
      <c r="AW103" s="1404"/>
      <c r="AX103" s="1404"/>
      <c r="AY103" s="1404"/>
      <c r="AZ103" s="1404"/>
      <c r="BA103" s="1404"/>
      <c r="BB103" s="1404"/>
      <c r="BC103" s="1404"/>
      <c r="BD103" s="1404"/>
      <c r="BE103" s="1404"/>
      <c r="BF103" s="1404"/>
      <c r="BG103" s="1404"/>
      <c r="BH103" s="1404"/>
      <c r="BI103" s="1404"/>
      <c r="BJ103" s="1404"/>
      <c r="BK103" s="1404"/>
      <c r="BL103" s="1404"/>
      <c r="BM103" s="1404"/>
      <c r="BN103" s="1404"/>
      <c r="BO103" s="1404"/>
      <c r="BP103" s="1404"/>
      <c r="BQ103" s="1404"/>
      <c r="BR103" s="1404"/>
      <c r="BS103" s="1404"/>
      <c r="BT103" s="1404"/>
      <c r="BU103" s="1404"/>
      <c r="BV103" s="1404"/>
      <c r="BW103" s="1404"/>
      <c r="BX103" s="1404"/>
      <c r="BY103" s="1404"/>
      <c r="BZ103" s="1404"/>
      <c r="CA103" s="1404"/>
      <c r="CB103" s="1404"/>
      <c r="CC103" s="1404"/>
      <c r="CD103" s="1404"/>
      <c r="CE103" s="1404"/>
      <c r="CF103" s="1404"/>
      <c r="CG103" s="1404"/>
      <c r="CH103" s="1404"/>
      <c r="CI103" s="1404"/>
      <c r="CJ103" s="1404"/>
      <c r="CK103" s="1404"/>
      <c r="CL103" s="1404"/>
      <c r="CM103" s="1404"/>
    </row>
    <row r="104" spans="1:91" s="1032" customFormat="1" ht="27.6" customHeight="1" thickBot="1">
      <c r="A104" s="2152"/>
      <c r="B104" s="2149"/>
      <c r="C104" s="1410" t="s">
        <v>2396</v>
      </c>
      <c r="D104" s="2030">
        <v>0</v>
      </c>
      <c r="E104" s="2149"/>
      <c r="F104" s="1404"/>
      <c r="G104" s="1404"/>
      <c r="H104" s="1404"/>
      <c r="I104" s="1404"/>
      <c r="J104" s="1404"/>
      <c r="K104" s="1404"/>
      <c r="L104" s="1404"/>
      <c r="M104" s="1404"/>
      <c r="N104" s="1404"/>
      <c r="O104" s="1404"/>
      <c r="P104" s="1404"/>
      <c r="Q104" s="1404"/>
      <c r="R104" s="1404"/>
      <c r="S104" s="1404"/>
      <c r="T104" s="1404"/>
      <c r="U104" s="1404"/>
      <c r="V104" s="1404"/>
      <c r="W104" s="1404"/>
      <c r="X104" s="1404"/>
      <c r="Y104" s="1404"/>
      <c r="Z104" s="1404"/>
      <c r="AA104" s="1404"/>
      <c r="AB104" s="1404"/>
      <c r="AC104" s="1404"/>
      <c r="AD104" s="1404"/>
      <c r="AE104" s="1404"/>
      <c r="AF104" s="1404"/>
      <c r="AG104" s="1404"/>
      <c r="AH104" s="1404"/>
      <c r="AI104" s="1404"/>
      <c r="AJ104" s="1404"/>
      <c r="AK104" s="1404"/>
      <c r="AL104" s="1404"/>
      <c r="AM104" s="1404"/>
      <c r="AN104" s="1404"/>
      <c r="AO104" s="1404"/>
      <c r="AP104" s="1404"/>
      <c r="AQ104" s="1404"/>
      <c r="AR104" s="1404"/>
      <c r="AS104" s="1404"/>
      <c r="AT104" s="1404"/>
      <c r="AU104" s="1404"/>
      <c r="AV104" s="1404"/>
      <c r="AW104" s="1404"/>
      <c r="AX104" s="1404"/>
      <c r="AY104" s="1404"/>
      <c r="AZ104" s="1404"/>
      <c r="BA104" s="1404"/>
      <c r="BB104" s="1404"/>
      <c r="BC104" s="1404"/>
      <c r="BD104" s="1404"/>
      <c r="BE104" s="1404"/>
      <c r="BF104" s="1404"/>
      <c r="BG104" s="1404"/>
      <c r="BH104" s="1404"/>
      <c r="BI104" s="1404"/>
      <c r="BJ104" s="1404"/>
      <c r="BK104" s="1404"/>
      <c r="BL104" s="1404"/>
      <c r="BM104" s="1404"/>
      <c r="BN104" s="1404"/>
      <c r="BO104" s="1404"/>
      <c r="BP104" s="1404"/>
      <c r="BQ104" s="1404"/>
      <c r="BR104" s="1404"/>
      <c r="BS104" s="1404"/>
      <c r="BT104" s="1404"/>
      <c r="BU104" s="1404"/>
      <c r="BV104" s="1404"/>
      <c r="BW104" s="1404"/>
      <c r="BX104" s="1404"/>
      <c r="BY104" s="1404"/>
      <c r="BZ104" s="1404"/>
      <c r="CA104" s="1404"/>
      <c r="CB104" s="1404"/>
      <c r="CC104" s="1404"/>
      <c r="CD104" s="1404"/>
      <c r="CE104" s="1404"/>
      <c r="CF104" s="1404"/>
      <c r="CG104" s="1404"/>
      <c r="CH104" s="1404"/>
      <c r="CI104" s="1404"/>
      <c r="CJ104" s="1404"/>
      <c r="CK104" s="1404"/>
      <c r="CL104" s="1404"/>
      <c r="CM104" s="1404"/>
    </row>
    <row r="105" spans="1:91" s="1034" customFormat="1" ht="30" customHeight="1" thickBot="1">
      <c r="A105" s="2151" t="s">
        <v>786</v>
      </c>
      <c r="B105" s="2146" t="s">
        <v>2448</v>
      </c>
      <c r="C105" s="1485" t="s">
        <v>2398</v>
      </c>
      <c r="D105" s="2019"/>
      <c r="E105" s="2146" t="s">
        <v>2809</v>
      </c>
      <c r="F105" s="1404"/>
      <c r="G105" s="1404"/>
      <c r="H105" s="1404"/>
      <c r="I105" s="1404"/>
      <c r="J105" s="1404"/>
      <c r="K105" s="1404"/>
      <c r="L105" s="1404"/>
      <c r="M105" s="1404"/>
      <c r="N105" s="1404"/>
      <c r="O105" s="1404"/>
      <c r="P105" s="1404"/>
      <c r="Q105" s="1404"/>
      <c r="R105" s="1404"/>
      <c r="S105" s="1404"/>
      <c r="T105" s="1404"/>
      <c r="U105" s="1404"/>
      <c r="V105" s="1404"/>
      <c r="W105" s="1404"/>
      <c r="X105" s="1404"/>
      <c r="Y105" s="1404"/>
      <c r="Z105" s="1404"/>
      <c r="AA105" s="1404"/>
      <c r="AB105" s="1404"/>
      <c r="AC105" s="1404"/>
      <c r="AD105" s="1404"/>
      <c r="AE105" s="1404"/>
      <c r="AF105" s="1404"/>
      <c r="AG105" s="1404"/>
      <c r="AH105" s="1404"/>
      <c r="AI105" s="1404"/>
      <c r="AJ105" s="1404"/>
      <c r="AK105" s="1404"/>
      <c r="AL105" s="1404"/>
      <c r="AM105" s="1404"/>
      <c r="AN105" s="1404"/>
      <c r="AO105" s="1404"/>
      <c r="AP105" s="1404"/>
      <c r="AQ105" s="1404"/>
      <c r="AR105" s="1404"/>
      <c r="AS105" s="1404"/>
      <c r="AT105" s="1404"/>
      <c r="AU105" s="1404"/>
      <c r="AV105" s="1404"/>
      <c r="AW105" s="1404"/>
      <c r="AX105" s="1404"/>
      <c r="AY105" s="1404"/>
      <c r="AZ105" s="1404"/>
      <c r="BA105" s="1404"/>
      <c r="BB105" s="1404"/>
      <c r="BC105" s="1404"/>
      <c r="BD105" s="1404"/>
      <c r="BE105" s="1404"/>
      <c r="BF105" s="1404"/>
      <c r="BG105" s="1404"/>
      <c r="BH105" s="1404"/>
      <c r="BI105" s="1404"/>
      <c r="BJ105" s="1404"/>
      <c r="BK105" s="1404"/>
      <c r="BL105" s="1404"/>
      <c r="BM105" s="1404"/>
      <c r="BN105" s="1404"/>
      <c r="BO105" s="1404"/>
      <c r="BP105" s="1404"/>
      <c r="BQ105" s="1404"/>
      <c r="BR105" s="1404"/>
      <c r="BS105" s="1404"/>
      <c r="BT105" s="1404"/>
      <c r="BU105" s="1404"/>
      <c r="BV105" s="1404"/>
      <c r="BW105" s="1404"/>
      <c r="BX105" s="1404"/>
      <c r="BY105" s="1404"/>
      <c r="BZ105" s="1404"/>
      <c r="CA105" s="1404"/>
      <c r="CB105" s="1404"/>
      <c r="CC105" s="1404"/>
      <c r="CD105" s="1404"/>
      <c r="CE105" s="1404"/>
      <c r="CF105" s="1404"/>
      <c r="CG105" s="1404"/>
      <c r="CH105" s="1404"/>
      <c r="CI105" s="1404"/>
      <c r="CJ105" s="1404"/>
      <c r="CK105" s="1404"/>
      <c r="CL105" s="1404"/>
      <c r="CM105" s="1404"/>
    </row>
    <row r="106" spans="1:91" s="1035" customFormat="1" ht="15" customHeight="1">
      <c r="A106" s="2151"/>
      <c r="B106" s="2147"/>
      <c r="C106" s="1493" t="s">
        <v>2499</v>
      </c>
      <c r="D106" s="2080">
        <v>0</v>
      </c>
      <c r="E106" s="2147"/>
      <c r="F106" s="1404"/>
      <c r="G106" s="1404"/>
      <c r="H106" s="1404"/>
      <c r="I106" s="1404"/>
      <c r="J106" s="1404"/>
      <c r="K106" s="1404"/>
      <c r="L106" s="1404"/>
      <c r="M106" s="1404"/>
      <c r="N106" s="1404"/>
      <c r="O106" s="1404"/>
      <c r="P106" s="1404"/>
      <c r="Q106" s="1404"/>
      <c r="R106" s="1404"/>
      <c r="S106" s="1404"/>
      <c r="T106" s="1404"/>
      <c r="U106" s="1404"/>
      <c r="V106" s="1404"/>
      <c r="W106" s="1404"/>
      <c r="X106" s="1404"/>
      <c r="Y106" s="1404"/>
      <c r="Z106" s="1404"/>
      <c r="AA106" s="1404"/>
      <c r="AB106" s="1404"/>
      <c r="AC106" s="1404"/>
      <c r="AD106" s="1404"/>
      <c r="AE106" s="1404"/>
      <c r="AF106" s="1404"/>
      <c r="AG106" s="1404"/>
      <c r="AH106" s="1404"/>
      <c r="AI106" s="1404"/>
      <c r="AJ106" s="1404"/>
      <c r="AK106" s="1404"/>
      <c r="AL106" s="1404"/>
      <c r="AM106" s="1404"/>
      <c r="AN106" s="1404"/>
      <c r="AO106" s="1404"/>
      <c r="AP106" s="1404"/>
      <c r="AQ106" s="1404"/>
      <c r="AR106" s="1404"/>
      <c r="AS106" s="1404"/>
      <c r="AT106" s="1404"/>
      <c r="AU106" s="1404"/>
      <c r="AV106" s="1404"/>
      <c r="AW106" s="1404"/>
      <c r="AX106" s="1404"/>
      <c r="AY106" s="1404"/>
      <c r="AZ106" s="1404"/>
      <c r="BA106" s="1404"/>
      <c r="BB106" s="1404"/>
      <c r="BC106" s="1404"/>
      <c r="BD106" s="1404"/>
      <c r="BE106" s="1404"/>
      <c r="BF106" s="1404"/>
      <c r="BG106" s="1404"/>
      <c r="BH106" s="1404"/>
      <c r="BI106" s="1404"/>
      <c r="BJ106" s="1404"/>
      <c r="BK106" s="1404"/>
      <c r="BL106" s="1404"/>
      <c r="BM106" s="1404"/>
      <c r="BN106" s="1404"/>
      <c r="BO106" s="1404"/>
      <c r="BP106" s="1404"/>
      <c r="BQ106" s="1404"/>
      <c r="BR106" s="1404"/>
      <c r="BS106" s="1404"/>
      <c r="BT106" s="1404"/>
      <c r="BU106" s="1404"/>
      <c r="BV106" s="1404"/>
      <c r="BW106" s="1404"/>
      <c r="BX106" s="1404"/>
      <c r="BY106" s="1404"/>
      <c r="BZ106" s="1404"/>
      <c r="CA106" s="1404"/>
      <c r="CB106" s="1404"/>
      <c r="CC106" s="1404"/>
      <c r="CD106" s="1404"/>
      <c r="CE106" s="1404"/>
      <c r="CF106" s="1404"/>
      <c r="CG106" s="1404"/>
      <c r="CH106" s="1404"/>
      <c r="CI106" s="1404"/>
      <c r="CJ106" s="1404"/>
      <c r="CK106" s="1404"/>
      <c r="CL106" s="1404"/>
      <c r="CM106" s="1404"/>
    </row>
    <row r="107" spans="1:91" s="1035" customFormat="1" ht="15" customHeight="1">
      <c r="A107" s="2151"/>
      <c r="B107" s="2147"/>
      <c r="C107" s="1412" t="s">
        <v>2500</v>
      </c>
      <c r="D107" s="2080">
        <v>0</v>
      </c>
      <c r="E107" s="2147"/>
      <c r="F107" s="1404"/>
      <c r="G107" s="1404"/>
      <c r="H107" s="1404"/>
      <c r="I107" s="1404"/>
      <c r="J107" s="1404"/>
      <c r="K107" s="1404"/>
      <c r="L107" s="1404"/>
      <c r="M107" s="1404"/>
      <c r="N107" s="1404"/>
      <c r="O107" s="1404"/>
      <c r="P107" s="1404"/>
      <c r="Q107" s="1404"/>
      <c r="R107" s="1404"/>
      <c r="S107" s="1404"/>
      <c r="T107" s="1404"/>
      <c r="U107" s="1404"/>
      <c r="V107" s="1404"/>
      <c r="W107" s="1404"/>
      <c r="X107" s="1404"/>
      <c r="Y107" s="1404"/>
      <c r="Z107" s="1404"/>
      <c r="AA107" s="1404"/>
      <c r="AB107" s="1404"/>
      <c r="AC107" s="1404"/>
      <c r="AD107" s="1404"/>
      <c r="AE107" s="1404"/>
      <c r="AF107" s="1404"/>
      <c r="AG107" s="1404"/>
      <c r="AH107" s="1404"/>
      <c r="AI107" s="1404"/>
      <c r="AJ107" s="1404"/>
      <c r="AK107" s="1404"/>
      <c r="AL107" s="1404"/>
      <c r="AM107" s="1404"/>
      <c r="AN107" s="1404"/>
      <c r="AO107" s="1404"/>
      <c r="AP107" s="1404"/>
      <c r="AQ107" s="1404"/>
      <c r="AR107" s="1404"/>
      <c r="AS107" s="1404"/>
      <c r="AT107" s="1404"/>
      <c r="AU107" s="1404"/>
      <c r="AV107" s="1404"/>
      <c r="AW107" s="1404"/>
      <c r="AX107" s="1404"/>
      <c r="AY107" s="1404"/>
      <c r="AZ107" s="1404"/>
      <c r="BA107" s="1404"/>
      <c r="BB107" s="1404"/>
      <c r="BC107" s="1404"/>
      <c r="BD107" s="1404"/>
      <c r="BE107" s="1404"/>
      <c r="BF107" s="1404"/>
      <c r="BG107" s="1404"/>
      <c r="BH107" s="1404"/>
      <c r="BI107" s="1404"/>
      <c r="BJ107" s="1404"/>
      <c r="BK107" s="1404"/>
      <c r="BL107" s="1404"/>
      <c r="BM107" s="1404"/>
      <c r="BN107" s="1404"/>
      <c r="BO107" s="1404"/>
      <c r="BP107" s="1404"/>
      <c r="BQ107" s="1404"/>
      <c r="BR107" s="1404"/>
      <c r="BS107" s="1404"/>
      <c r="BT107" s="1404"/>
      <c r="BU107" s="1404"/>
      <c r="BV107" s="1404"/>
      <c r="BW107" s="1404"/>
      <c r="BX107" s="1404"/>
      <c r="BY107" s="1404"/>
      <c r="BZ107" s="1404"/>
      <c r="CA107" s="1404"/>
      <c r="CB107" s="1404"/>
      <c r="CC107" s="1404"/>
      <c r="CD107" s="1404"/>
      <c r="CE107" s="1404"/>
      <c r="CF107" s="1404"/>
      <c r="CG107" s="1404"/>
      <c r="CH107" s="1404"/>
      <c r="CI107" s="1404"/>
      <c r="CJ107" s="1404"/>
      <c r="CK107" s="1404"/>
      <c r="CL107" s="1404"/>
      <c r="CM107" s="1404"/>
    </row>
    <row r="108" spans="1:91" s="1035" customFormat="1" ht="15" customHeight="1">
      <c r="A108" s="2151"/>
      <c r="B108" s="2147"/>
      <c r="C108" s="1412" t="s">
        <v>2501</v>
      </c>
      <c r="D108" s="2080">
        <v>0</v>
      </c>
      <c r="E108" s="2147"/>
      <c r="F108" s="1404"/>
      <c r="G108" s="1404"/>
      <c r="H108" s="1404"/>
      <c r="I108" s="1404"/>
      <c r="J108" s="1404"/>
      <c r="K108" s="1404"/>
      <c r="L108" s="1404"/>
      <c r="M108" s="1404"/>
      <c r="N108" s="1404"/>
      <c r="O108" s="1404"/>
      <c r="P108" s="1404"/>
      <c r="Q108" s="1404"/>
      <c r="R108" s="1404"/>
      <c r="S108" s="1404"/>
      <c r="T108" s="1404"/>
      <c r="U108" s="1404"/>
      <c r="V108" s="1404"/>
      <c r="W108" s="1404"/>
      <c r="X108" s="1404"/>
      <c r="Y108" s="1404"/>
      <c r="Z108" s="1404"/>
      <c r="AA108" s="1404"/>
      <c r="AB108" s="1404"/>
      <c r="AC108" s="1404"/>
      <c r="AD108" s="1404"/>
      <c r="AE108" s="1404"/>
      <c r="AF108" s="1404"/>
      <c r="AG108" s="1404"/>
      <c r="AH108" s="1404"/>
      <c r="AI108" s="1404"/>
      <c r="AJ108" s="1404"/>
      <c r="AK108" s="1404"/>
      <c r="AL108" s="1404"/>
      <c r="AM108" s="1404"/>
      <c r="AN108" s="1404"/>
      <c r="AO108" s="1404"/>
      <c r="AP108" s="1404"/>
      <c r="AQ108" s="1404"/>
      <c r="AR108" s="1404"/>
      <c r="AS108" s="1404"/>
      <c r="AT108" s="1404"/>
      <c r="AU108" s="1404"/>
      <c r="AV108" s="1404"/>
      <c r="AW108" s="1404"/>
      <c r="AX108" s="1404"/>
      <c r="AY108" s="1404"/>
      <c r="AZ108" s="1404"/>
      <c r="BA108" s="1404"/>
      <c r="BB108" s="1404"/>
      <c r="BC108" s="1404"/>
      <c r="BD108" s="1404"/>
      <c r="BE108" s="1404"/>
      <c r="BF108" s="1404"/>
      <c r="BG108" s="1404"/>
      <c r="BH108" s="1404"/>
      <c r="BI108" s="1404"/>
      <c r="BJ108" s="1404"/>
      <c r="BK108" s="1404"/>
      <c r="BL108" s="1404"/>
      <c r="BM108" s="1404"/>
      <c r="BN108" s="1404"/>
      <c r="BO108" s="1404"/>
      <c r="BP108" s="1404"/>
      <c r="BQ108" s="1404"/>
      <c r="BR108" s="1404"/>
      <c r="BS108" s="1404"/>
      <c r="BT108" s="1404"/>
      <c r="BU108" s="1404"/>
      <c r="BV108" s="1404"/>
      <c r="BW108" s="1404"/>
      <c r="BX108" s="1404"/>
      <c r="BY108" s="1404"/>
      <c r="BZ108" s="1404"/>
      <c r="CA108" s="1404"/>
      <c r="CB108" s="1404"/>
      <c r="CC108" s="1404"/>
      <c r="CD108" s="1404"/>
      <c r="CE108" s="1404"/>
      <c r="CF108" s="1404"/>
      <c r="CG108" s="1404"/>
      <c r="CH108" s="1404"/>
      <c r="CI108" s="1404"/>
      <c r="CJ108" s="1404"/>
      <c r="CK108" s="1404"/>
      <c r="CL108" s="1404"/>
      <c r="CM108" s="1404"/>
    </row>
    <row r="109" spans="1:91" s="1032" customFormat="1" ht="27" customHeight="1" thickBot="1">
      <c r="A109" s="2151"/>
      <c r="B109" s="2147"/>
      <c r="C109" s="1410" t="s">
        <v>2258</v>
      </c>
      <c r="D109" s="2081">
        <v>0</v>
      </c>
      <c r="E109" s="2147"/>
      <c r="F109" s="1404"/>
      <c r="G109" s="1404"/>
      <c r="H109" s="1404"/>
      <c r="I109" s="1404"/>
      <c r="J109" s="1404"/>
      <c r="K109" s="1404"/>
      <c r="L109" s="1404"/>
      <c r="M109" s="1404"/>
      <c r="N109" s="1404"/>
      <c r="O109" s="1404"/>
      <c r="P109" s="1404"/>
      <c r="Q109" s="1404"/>
      <c r="R109" s="1404"/>
      <c r="S109" s="1404"/>
      <c r="T109" s="1404"/>
      <c r="U109" s="1404"/>
      <c r="V109" s="1404"/>
      <c r="W109" s="1404"/>
      <c r="X109" s="1404"/>
      <c r="Y109" s="1404"/>
      <c r="Z109" s="1404"/>
      <c r="AA109" s="1404"/>
      <c r="AB109" s="1404"/>
      <c r="AC109" s="1404"/>
      <c r="AD109" s="1404"/>
      <c r="AE109" s="1404"/>
      <c r="AF109" s="1404"/>
      <c r="AG109" s="1404"/>
      <c r="AH109" s="1404"/>
      <c r="AI109" s="1404"/>
      <c r="AJ109" s="1404"/>
      <c r="AK109" s="1404"/>
      <c r="AL109" s="1404"/>
      <c r="AM109" s="1404"/>
      <c r="AN109" s="1404"/>
      <c r="AO109" s="1404"/>
      <c r="AP109" s="1404"/>
      <c r="AQ109" s="1404"/>
      <c r="AR109" s="1404"/>
      <c r="AS109" s="1404"/>
      <c r="AT109" s="1404"/>
      <c r="AU109" s="1404"/>
      <c r="AV109" s="1404"/>
      <c r="AW109" s="1404"/>
      <c r="AX109" s="1404"/>
      <c r="AY109" s="1404"/>
      <c r="AZ109" s="1404"/>
      <c r="BA109" s="1404"/>
      <c r="BB109" s="1404"/>
      <c r="BC109" s="1404"/>
      <c r="BD109" s="1404"/>
      <c r="BE109" s="1404"/>
      <c r="BF109" s="1404"/>
      <c r="BG109" s="1404"/>
      <c r="BH109" s="1404"/>
      <c r="BI109" s="1404"/>
      <c r="BJ109" s="1404"/>
      <c r="BK109" s="1404"/>
      <c r="BL109" s="1404"/>
      <c r="BM109" s="1404"/>
      <c r="BN109" s="1404"/>
      <c r="BO109" s="1404"/>
      <c r="BP109" s="1404"/>
      <c r="BQ109" s="1404"/>
      <c r="BR109" s="1404"/>
      <c r="BS109" s="1404"/>
      <c r="BT109" s="1404"/>
      <c r="BU109" s="1404"/>
      <c r="BV109" s="1404"/>
      <c r="BW109" s="1404"/>
      <c r="BX109" s="1404"/>
      <c r="BY109" s="1404"/>
      <c r="BZ109" s="1404"/>
      <c r="CA109" s="1404"/>
      <c r="CB109" s="1404"/>
      <c r="CC109" s="1404"/>
      <c r="CD109" s="1404"/>
      <c r="CE109" s="1404"/>
      <c r="CF109" s="1404"/>
      <c r="CG109" s="1404"/>
      <c r="CH109" s="1404"/>
      <c r="CI109" s="1404"/>
      <c r="CJ109" s="1404"/>
      <c r="CK109" s="1404"/>
      <c r="CL109" s="1404"/>
      <c r="CM109" s="1404"/>
    </row>
    <row r="110" spans="1:91" s="1034" customFormat="1" ht="30" customHeight="1" thickBot="1">
      <c r="A110" s="2150" t="s">
        <v>1165</v>
      </c>
      <c r="B110" s="2148" t="s">
        <v>1358</v>
      </c>
      <c r="C110" s="405" t="s">
        <v>2105</v>
      </c>
      <c r="D110" s="2022"/>
      <c r="E110" s="2148" t="s">
        <v>2810</v>
      </c>
      <c r="F110" s="1404"/>
      <c r="G110" s="1404"/>
      <c r="H110" s="1404"/>
      <c r="I110" s="1404"/>
      <c r="J110" s="1404"/>
      <c r="K110" s="1404"/>
      <c r="L110" s="1404"/>
      <c r="M110" s="1404"/>
      <c r="N110" s="1404"/>
      <c r="O110" s="1404"/>
      <c r="P110" s="1404"/>
      <c r="Q110" s="1404"/>
      <c r="R110" s="1404"/>
      <c r="S110" s="1404"/>
      <c r="T110" s="1404"/>
      <c r="U110" s="1404"/>
      <c r="V110" s="1404"/>
      <c r="W110" s="1404"/>
      <c r="X110" s="1404"/>
      <c r="Y110" s="1404"/>
      <c r="Z110" s="1404"/>
      <c r="AA110" s="1404"/>
      <c r="AB110" s="1404"/>
      <c r="AC110" s="1404"/>
      <c r="AD110" s="1404"/>
      <c r="AE110" s="1404"/>
      <c r="AF110" s="1404"/>
      <c r="AG110" s="1404"/>
      <c r="AH110" s="1404"/>
      <c r="AI110" s="1404"/>
      <c r="AJ110" s="1404"/>
      <c r="AK110" s="1404"/>
      <c r="AL110" s="1404"/>
      <c r="AM110" s="1404"/>
      <c r="AN110" s="1404"/>
      <c r="AO110" s="1404"/>
      <c r="AP110" s="1404"/>
      <c r="AQ110" s="1404"/>
      <c r="AR110" s="1404"/>
      <c r="AS110" s="1404"/>
      <c r="AT110" s="1404"/>
      <c r="AU110" s="1404"/>
      <c r="AV110" s="1404"/>
      <c r="AW110" s="1404"/>
      <c r="AX110" s="1404"/>
      <c r="AY110" s="1404"/>
      <c r="AZ110" s="1404"/>
      <c r="BA110" s="1404"/>
      <c r="BB110" s="1404"/>
      <c r="BC110" s="1404"/>
      <c r="BD110" s="1404"/>
      <c r="BE110" s="1404"/>
      <c r="BF110" s="1404"/>
      <c r="BG110" s="1404"/>
      <c r="BH110" s="1404"/>
      <c r="BI110" s="1404"/>
      <c r="BJ110" s="1404"/>
      <c r="BK110" s="1404"/>
      <c r="BL110" s="1404"/>
      <c r="BM110" s="1404"/>
      <c r="BN110" s="1404"/>
      <c r="BO110" s="1404"/>
      <c r="BP110" s="1404"/>
      <c r="BQ110" s="1404"/>
      <c r="BR110" s="1404"/>
      <c r="BS110" s="1404"/>
      <c r="BT110" s="1404"/>
      <c r="BU110" s="1404"/>
      <c r="BV110" s="1404"/>
      <c r="BW110" s="1404"/>
      <c r="BX110" s="1404"/>
      <c r="BY110" s="1404"/>
      <c r="BZ110" s="1404"/>
      <c r="CA110" s="1404"/>
      <c r="CB110" s="1404"/>
      <c r="CC110" s="1404"/>
      <c r="CD110" s="1404"/>
      <c r="CE110" s="1404"/>
      <c r="CF110" s="1404"/>
      <c r="CG110" s="1404"/>
      <c r="CH110" s="1404"/>
      <c r="CI110" s="1404"/>
      <c r="CJ110" s="1404"/>
      <c r="CK110" s="1404"/>
      <c r="CL110" s="1404"/>
      <c r="CM110" s="1404"/>
    </row>
    <row r="111" spans="1:91" s="1035" customFormat="1" ht="15" customHeight="1">
      <c r="A111" s="2151"/>
      <c r="B111" s="2147"/>
      <c r="C111" s="1475" t="s">
        <v>44</v>
      </c>
      <c r="D111" s="2080">
        <v>0</v>
      </c>
      <c r="E111" s="2147"/>
      <c r="F111" s="1404"/>
      <c r="G111" s="1404"/>
      <c r="H111" s="1404"/>
      <c r="I111" s="1404"/>
      <c r="J111" s="1404"/>
      <c r="K111" s="1404"/>
      <c r="L111" s="1404"/>
      <c r="M111" s="1404"/>
      <c r="N111" s="1404"/>
      <c r="O111" s="1404"/>
      <c r="P111" s="1404"/>
      <c r="Q111" s="1404"/>
      <c r="R111" s="1404"/>
      <c r="S111" s="1404"/>
      <c r="T111" s="1404"/>
      <c r="U111" s="1404"/>
      <c r="V111" s="1404"/>
      <c r="W111" s="1404"/>
      <c r="X111" s="1404"/>
      <c r="Y111" s="1404"/>
      <c r="Z111" s="1404"/>
      <c r="AA111" s="1404"/>
      <c r="AB111" s="1404"/>
      <c r="AC111" s="1404"/>
      <c r="AD111" s="1404"/>
      <c r="AE111" s="1404"/>
      <c r="AF111" s="1404"/>
      <c r="AG111" s="1404"/>
      <c r="AH111" s="1404"/>
      <c r="AI111" s="1404"/>
      <c r="AJ111" s="1404"/>
      <c r="AK111" s="1404"/>
      <c r="AL111" s="1404"/>
      <c r="AM111" s="1404"/>
      <c r="AN111" s="1404"/>
      <c r="AO111" s="1404"/>
      <c r="AP111" s="1404"/>
      <c r="AQ111" s="1404"/>
      <c r="AR111" s="1404"/>
      <c r="AS111" s="1404"/>
      <c r="AT111" s="1404"/>
      <c r="AU111" s="1404"/>
      <c r="AV111" s="1404"/>
      <c r="AW111" s="1404"/>
      <c r="AX111" s="1404"/>
      <c r="AY111" s="1404"/>
      <c r="AZ111" s="1404"/>
      <c r="BA111" s="1404"/>
      <c r="BB111" s="1404"/>
      <c r="BC111" s="1404"/>
      <c r="BD111" s="1404"/>
      <c r="BE111" s="1404"/>
      <c r="BF111" s="1404"/>
      <c r="BG111" s="1404"/>
      <c r="BH111" s="1404"/>
      <c r="BI111" s="1404"/>
      <c r="BJ111" s="1404"/>
      <c r="BK111" s="1404"/>
      <c r="BL111" s="1404"/>
      <c r="BM111" s="1404"/>
      <c r="BN111" s="1404"/>
      <c r="BO111" s="1404"/>
      <c r="BP111" s="1404"/>
      <c r="BQ111" s="1404"/>
      <c r="BR111" s="1404"/>
      <c r="BS111" s="1404"/>
      <c r="BT111" s="1404"/>
      <c r="BU111" s="1404"/>
      <c r="BV111" s="1404"/>
      <c r="BW111" s="1404"/>
      <c r="BX111" s="1404"/>
      <c r="BY111" s="1404"/>
      <c r="BZ111" s="1404"/>
      <c r="CA111" s="1404"/>
      <c r="CB111" s="1404"/>
      <c r="CC111" s="1404"/>
      <c r="CD111" s="1404"/>
      <c r="CE111" s="1404"/>
      <c r="CF111" s="1404"/>
      <c r="CG111" s="1404"/>
      <c r="CH111" s="1404"/>
      <c r="CI111" s="1404"/>
      <c r="CJ111" s="1404"/>
      <c r="CK111" s="1404"/>
      <c r="CL111" s="1404"/>
      <c r="CM111" s="1404"/>
    </row>
    <row r="112" spans="1:91" s="1035" customFormat="1" ht="15" customHeight="1">
      <c r="A112" s="2151"/>
      <c r="B112" s="2147"/>
      <c r="C112" s="1412" t="s">
        <v>32</v>
      </c>
      <c r="D112" s="2080">
        <v>0</v>
      </c>
      <c r="E112" s="2147"/>
      <c r="F112" s="1404"/>
      <c r="G112" s="1404"/>
      <c r="H112" s="1404"/>
      <c r="I112" s="1404"/>
      <c r="J112" s="1404"/>
      <c r="K112" s="1404"/>
      <c r="L112" s="1404"/>
      <c r="M112" s="1404"/>
      <c r="N112" s="1404"/>
      <c r="O112" s="1404"/>
      <c r="P112" s="1404"/>
      <c r="Q112" s="1404"/>
      <c r="R112" s="1404"/>
      <c r="S112" s="1404"/>
      <c r="T112" s="1404"/>
      <c r="U112" s="1404"/>
      <c r="V112" s="1404"/>
      <c r="W112" s="1404"/>
      <c r="X112" s="1404"/>
      <c r="Y112" s="1404"/>
      <c r="Z112" s="1404"/>
      <c r="AA112" s="1404"/>
      <c r="AB112" s="1404"/>
      <c r="AC112" s="1404"/>
      <c r="AD112" s="1404"/>
      <c r="AE112" s="1404"/>
      <c r="AF112" s="1404"/>
      <c r="AG112" s="1404"/>
      <c r="AH112" s="1404"/>
      <c r="AI112" s="1404"/>
      <c r="AJ112" s="1404"/>
      <c r="AK112" s="1404"/>
      <c r="AL112" s="1404"/>
      <c r="AM112" s="1404"/>
      <c r="AN112" s="1404"/>
      <c r="AO112" s="1404"/>
      <c r="AP112" s="1404"/>
      <c r="AQ112" s="1404"/>
      <c r="AR112" s="1404"/>
      <c r="AS112" s="1404"/>
      <c r="AT112" s="1404"/>
      <c r="AU112" s="1404"/>
      <c r="AV112" s="1404"/>
      <c r="AW112" s="1404"/>
      <c r="AX112" s="1404"/>
      <c r="AY112" s="1404"/>
      <c r="AZ112" s="1404"/>
      <c r="BA112" s="1404"/>
      <c r="BB112" s="1404"/>
      <c r="BC112" s="1404"/>
      <c r="BD112" s="1404"/>
      <c r="BE112" s="1404"/>
      <c r="BF112" s="1404"/>
      <c r="BG112" s="1404"/>
      <c r="BH112" s="1404"/>
      <c r="BI112" s="1404"/>
      <c r="BJ112" s="1404"/>
      <c r="BK112" s="1404"/>
      <c r="BL112" s="1404"/>
      <c r="BM112" s="1404"/>
      <c r="BN112" s="1404"/>
      <c r="BO112" s="1404"/>
      <c r="BP112" s="1404"/>
      <c r="BQ112" s="1404"/>
      <c r="BR112" s="1404"/>
      <c r="BS112" s="1404"/>
      <c r="BT112" s="1404"/>
      <c r="BU112" s="1404"/>
      <c r="BV112" s="1404"/>
      <c r="BW112" s="1404"/>
      <c r="BX112" s="1404"/>
      <c r="BY112" s="1404"/>
      <c r="BZ112" s="1404"/>
      <c r="CA112" s="1404"/>
      <c r="CB112" s="1404"/>
      <c r="CC112" s="1404"/>
      <c r="CD112" s="1404"/>
      <c r="CE112" s="1404"/>
      <c r="CF112" s="1404"/>
      <c r="CG112" s="1404"/>
      <c r="CH112" s="1404"/>
      <c r="CI112" s="1404"/>
      <c r="CJ112" s="1404"/>
      <c r="CK112" s="1404"/>
      <c r="CL112" s="1404"/>
      <c r="CM112" s="1404"/>
    </row>
    <row r="113" spans="1:91" s="1032" customFormat="1" ht="15" customHeight="1" thickBot="1">
      <c r="A113" s="2152"/>
      <c r="B113" s="2153"/>
      <c r="C113" s="1410" t="s">
        <v>33</v>
      </c>
      <c r="D113" s="2082">
        <v>0</v>
      </c>
      <c r="E113" s="2153"/>
      <c r="F113" s="1404"/>
      <c r="G113" s="1404"/>
      <c r="H113" s="1404"/>
      <c r="I113" s="1404"/>
      <c r="J113" s="1404"/>
      <c r="K113" s="1404"/>
      <c r="L113" s="1404"/>
      <c r="M113" s="1404"/>
      <c r="N113" s="1404"/>
      <c r="O113" s="1404"/>
      <c r="P113" s="1404"/>
      <c r="Q113" s="1404"/>
      <c r="R113" s="1404"/>
      <c r="S113" s="1404"/>
      <c r="T113" s="1404"/>
      <c r="U113" s="1404"/>
      <c r="V113" s="1404"/>
      <c r="W113" s="1404"/>
      <c r="X113" s="1404"/>
      <c r="Y113" s="1404"/>
      <c r="Z113" s="1404"/>
      <c r="AA113" s="1404"/>
      <c r="AB113" s="1404"/>
      <c r="AC113" s="1404"/>
      <c r="AD113" s="1404"/>
      <c r="AE113" s="1404"/>
      <c r="AF113" s="1404"/>
      <c r="AG113" s="1404"/>
      <c r="AH113" s="1404"/>
      <c r="AI113" s="1404"/>
      <c r="AJ113" s="1404"/>
      <c r="AK113" s="1404"/>
      <c r="AL113" s="1404"/>
      <c r="AM113" s="1404"/>
      <c r="AN113" s="1404"/>
      <c r="AO113" s="1404"/>
      <c r="AP113" s="1404"/>
      <c r="AQ113" s="1404"/>
      <c r="AR113" s="1404"/>
      <c r="AS113" s="1404"/>
      <c r="AT113" s="1404"/>
      <c r="AU113" s="1404"/>
      <c r="AV113" s="1404"/>
      <c r="AW113" s="1404"/>
      <c r="AX113" s="1404"/>
      <c r="AY113" s="1404"/>
      <c r="AZ113" s="1404"/>
      <c r="BA113" s="1404"/>
      <c r="BB113" s="1404"/>
      <c r="BC113" s="1404"/>
      <c r="BD113" s="1404"/>
      <c r="BE113" s="1404"/>
      <c r="BF113" s="1404"/>
      <c r="BG113" s="1404"/>
      <c r="BH113" s="1404"/>
      <c r="BI113" s="1404"/>
      <c r="BJ113" s="1404"/>
      <c r="BK113" s="1404"/>
      <c r="BL113" s="1404"/>
      <c r="BM113" s="1404"/>
      <c r="BN113" s="1404"/>
      <c r="BO113" s="1404"/>
      <c r="BP113" s="1404"/>
      <c r="BQ113" s="1404"/>
      <c r="BR113" s="1404"/>
      <c r="BS113" s="1404"/>
      <c r="BT113" s="1404"/>
      <c r="BU113" s="1404"/>
      <c r="BV113" s="1404"/>
      <c r="BW113" s="1404"/>
      <c r="BX113" s="1404"/>
      <c r="BY113" s="1404"/>
      <c r="BZ113" s="1404"/>
      <c r="CA113" s="1404"/>
      <c r="CB113" s="1404"/>
      <c r="CC113" s="1404"/>
      <c r="CD113" s="1404"/>
      <c r="CE113" s="1404"/>
      <c r="CF113" s="1404"/>
      <c r="CG113" s="1404"/>
      <c r="CH113" s="1404"/>
      <c r="CI113" s="1404"/>
      <c r="CJ113" s="1404"/>
      <c r="CK113" s="1404"/>
      <c r="CL113" s="1404"/>
      <c r="CM113" s="1404"/>
    </row>
    <row r="114" spans="1:91" s="1034" customFormat="1" ht="126" customHeight="1" thickBot="1">
      <c r="A114" s="2151" t="s">
        <v>1166</v>
      </c>
      <c r="B114" s="2147" t="s">
        <v>568</v>
      </c>
      <c r="C114" s="1485" t="s">
        <v>2502</v>
      </c>
      <c r="D114" s="2019"/>
      <c r="E114" s="2146" t="s">
        <v>2449</v>
      </c>
      <c r="F114" s="1404"/>
      <c r="G114" s="1404"/>
      <c r="H114" s="1404"/>
      <c r="I114" s="1404"/>
      <c r="J114" s="1404"/>
      <c r="K114" s="1404"/>
      <c r="L114" s="1404"/>
      <c r="M114" s="1404"/>
      <c r="N114" s="1404"/>
      <c r="O114" s="1404"/>
      <c r="P114" s="1404"/>
      <c r="Q114" s="1404"/>
      <c r="R114" s="1404"/>
      <c r="S114" s="1404"/>
      <c r="T114" s="1404"/>
      <c r="U114" s="1404"/>
      <c r="V114" s="1404"/>
      <c r="W114" s="1404"/>
      <c r="X114" s="1404"/>
      <c r="Y114" s="1404"/>
      <c r="Z114" s="1404"/>
      <c r="AA114" s="1404"/>
      <c r="AB114" s="1404"/>
      <c r="AC114" s="1404"/>
      <c r="AD114" s="1404"/>
      <c r="AE114" s="1404"/>
      <c r="AF114" s="1404"/>
      <c r="AG114" s="1404"/>
      <c r="AH114" s="1404"/>
      <c r="AI114" s="1404"/>
      <c r="AJ114" s="1404"/>
      <c r="AK114" s="1404"/>
      <c r="AL114" s="1404"/>
      <c r="AM114" s="1404"/>
      <c r="AN114" s="1404"/>
      <c r="AO114" s="1404"/>
      <c r="AP114" s="1404"/>
      <c r="AQ114" s="1404"/>
      <c r="AR114" s="1404"/>
      <c r="AS114" s="1404"/>
      <c r="AT114" s="1404"/>
      <c r="AU114" s="1404"/>
      <c r="AV114" s="1404"/>
      <c r="AW114" s="1404"/>
      <c r="AX114" s="1404"/>
      <c r="AY114" s="1404"/>
      <c r="AZ114" s="1404"/>
      <c r="BA114" s="1404"/>
      <c r="BB114" s="1404"/>
      <c r="BC114" s="1404"/>
      <c r="BD114" s="1404"/>
      <c r="BE114" s="1404"/>
      <c r="BF114" s="1404"/>
      <c r="BG114" s="1404"/>
      <c r="BH114" s="1404"/>
      <c r="BI114" s="1404"/>
      <c r="BJ114" s="1404"/>
      <c r="BK114" s="1404"/>
      <c r="BL114" s="1404"/>
      <c r="BM114" s="1404"/>
      <c r="BN114" s="1404"/>
      <c r="BO114" s="1404"/>
      <c r="BP114" s="1404"/>
      <c r="BQ114" s="1404"/>
      <c r="BR114" s="1404"/>
      <c r="BS114" s="1404"/>
      <c r="BT114" s="1404"/>
      <c r="BU114" s="1404"/>
      <c r="BV114" s="1404"/>
      <c r="BW114" s="1404"/>
      <c r="BX114" s="1404"/>
      <c r="BY114" s="1404"/>
      <c r="BZ114" s="1404"/>
      <c r="CA114" s="1404"/>
      <c r="CB114" s="1404"/>
      <c r="CC114" s="1404"/>
      <c r="CD114" s="1404"/>
      <c r="CE114" s="1404"/>
      <c r="CF114" s="1404"/>
      <c r="CG114" s="1404"/>
      <c r="CH114" s="1404"/>
      <c r="CI114" s="1404"/>
      <c r="CJ114" s="1404"/>
      <c r="CK114" s="1404"/>
      <c r="CL114" s="1404"/>
      <c r="CM114" s="1404"/>
    </row>
    <row r="115" spans="1:91" s="1035" customFormat="1" ht="15" customHeight="1">
      <c r="A115" s="2151"/>
      <c r="B115" s="2147"/>
      <c r="C115" s="1493" t="s">
        <v>37</v>
      </c>
      <c r="D115" s="2080">
        <v>0</v>
      </c>
      <c r="E115" s="2147"/>
      <c r="F115" s="1404"/>
      <c r="G115" s="1404"/>
      <c r="H115" s="1404"/>
      <c r="I115" s="1404"/>
      <c r="J115" s="1404"/>
      <c r="K115" s="1404"/>
      <c r="L115" s="1404"/>
      <c r="M115" s="1404"/>
      <c r="N115" s="1404"/>
      <c r="O115" s="1404"/>
      <c r="P115" s="1404"/>
      <c r="Q115" s="1404"/>
      <c r="R115" s="1404"/>
      <c r="S115" s="1404"/>
      <c r="T115" s="1404"/>
      <c r="U115" s="1404"/>
      <c r="V115" s="1404"/>
      <c r="W115" s="1404"/>
      <c r="X115" s="1404"/>
      <c r="Y115" s="1404"/>
      <c r="Z115" s="1404"/>
      <c r="AA115" s="1404"/>
      <c r="AB115" s="1404"/>
      <c r="AC115" s="1404"/>
      <c r="AD115" s="1404"/>
      <c r="AE115" s="1404"/>
      <c r="AF115" s="1404"/>
      <c r="AG115" s="1404"/>
      <c r="AH115" s="1404"/>
      <c r="AI115" s="1404"/>
      <c r="AJ115" s="1404"/>
      <c r="AK115" s="1404"/>
      <c r="AL115" s="1404"/>
      <c r="AM115" s="1404"/>
      <c r="AN115" s="1404"/>
      <c r="AO115" s="1404"/>
      <c r="AP115" s="1404"/>
      <c r="AQ115" s="1404"/>
      <c r="AR115" s="1404"/>
      <c r="AS115" s="1404"/>
      <c r="AT115" s="1404"/>
      <c r="AU115" s="1404"/>
      <c r="AV115" s="1404"/>
      <c r="AW115" s="1404"/>
      <c r="AX115" s="1404"/>
      <c r="AY115" s="1404"/>
      <c r="AZ115" s="1404"/>
      <c r="BA115" s="1404"/>
      <c r="BB115" s="1404"/>
      <c r="BC115" s="1404"/>
      <c r="BD115" s="1404"/>
      <c r="BE115" s="1404"/>
      <c r="BF115" s="1404"/>
      <c r="BG115" s="1404"/>
      <c r="BH115" s="1404"/>
      <c r="BI115" s="1404"/>
      <c r="BJ115" s="1404"/>
      <c r="BK115" s="1404"/>
      <c r="BL115" s="1404"/>
      <c r="BM115" s="1404"/>
      <c r="BN115" s="1404"/>
      <c r="BO115" s="1404"/>
      <c r="BP115" s="1404"/>
      <c r="BQ115" s="1404"/>
      <c r="BR115" s="1404"/>
      <c r="BS115" s="1404"/>
      <c r="BT115" s="1404"/>
      <c r="BU115" s="1404"/>
      <c r="BV115" s="1404"/>
      <c r="BW115" s="1404"/>
      <c r="BX115" s="1404"/>
      <c r="BY115" s="1404"/>
      <c r="BZ115" s="1404"/>
      <c r="CA115" s="1404"/>
      <c r="CB115" s="1404"/>
      <c r="CC115" s="1404"/>
      <c r="CD115" s="1404"/>
      <c r="CE115" s="1404"/>
      <c r="CF115" s="1404"/>
      <c r="CG115" s="1404"/>
      <c r="CH115" s="1404"/>
      <c r="CI115" s="1404"/>
      <c r="CJ115" s="1404"/>
      <c r="CK115" s="1404"/>
      <c r="CL115" s="1404"/>
      <c r="CM115" s="1404"/>
    </row>
    <row r="116" spans="1:91" s="1035" customFormat="1" ht="15" customHeight="1">
      <c r="A116" s="2151"/>
      <c r="B116" s="2147"/>
      <c r="C116" s="1412" t="s">
        <v>110</v>
      </c>
      <c r="D116" s="2080">
        <v>0</v>
      </c>
      <c r="E116" s="2147"/>
      <c r="F116" s="1404"/>
      <c r="G116" s="1404"/>
      <c r="H116" s="1404"/>
      <c r="I116" s="1404"/>
      <c r="J116" s="1404"/>
      <c r="K116" s="1404"/>
      <c r="L116" s="1404"/>
      <c r="M116" s="1404"/>
      <c r="N116" s="1404"/>
      <c r="O116" s="1404"/>
      <c r="P116" s="1404"/>
      <c r="Q116" s="1404"/>
      <c r="R116" s="1404"/>
      <c r="S116" s="1404"/>
      <c r="T116" s="1404"/>
      <c r="U116" s="1404"/>
      <c r="V116" s="1404"/>
      <c r="W116" s="1404"/>
      <c r="X116" s="1404"/>
      <c r="Y116" s="1404"/>
      <c r="Z116" s="1404"/>
      <c r="AA116" s="1404"/>
      <c r="AB116" s="1404"/>
      <c r="AC116" s="1404"/>
      <c r="AD116" s="1404"/>
      <c r="AE116" s="1404"/>
      <c r="AF116" s="1404"/>
      <c r="AG116" s="1404"/>
      <c r="AH116" s="1404"/>
      <c r="AI116" s="1404"/>
      <c r="AJ116" s="1404"/>
      <c r="AK116" s="1404"/>
      <c r="AL116" s="1404"/>
      <c r="AM116" s="1404"/>
      <c r="AN116" s="1404"/>
      <c r="AO116" s="1404"/>
      <c r="AP116" s="1404"/>
      <c r="AQ116" s="1404"/>
      <c r="AR116" s="1404"/>
      <c r="AS116" s="1404"/>
      <c r="AT116" s="1404"/>
      <c r="AU116" s="1404"/>
      <c r="AV116" s="1404"/>
      <c r="AW116" s="1404"/>
      <c r="AX116" s="1404"/>
      <c r="AY116" s="1404"/>
      <c r="AZ116" s="1404"/>
      <c r="BA116" s="1404"/>
      <c r="BB116" s="1404"/>
      <c r="BC116" s="1404"/>
      <c r="BD116" s="1404"/>
      <c r="BE116" s="1404"/>
      <c r="BF116" s="1404"/>
      <c r="BG116" s="1404"/>
      <c r="BH116" s="1404"/>
      <c r="BI116" s="1404"/>
      <c r="BJ116" s="1404"/>
      <c r="BK116" s="1404"/>
      <c r="BL116" s="1404"/>
      <c r="BM116" s="1404"/>
      <c r="BN116" s="1404"/>
      <c r="BO116" s="1404"/>
      <c r="BP116" s="1404"/>
      <c r="BQ116" s="1404"/>
      <c r="BR116" s="1404"/>
      <c r="BS116" s="1404"/>
      <c r="BT116" s="1404"/>
      <c r="BU116" s="1404"/>
      <c r="BV116" s="1404"/>
      <c r="BW116" s="1404"/>
      <c r="BX116" s="1404"/>
      <c r="BY116" s="1404"/>
      <c r="BZ116" s="1404"/>
      <c r="CA116" s="1404"/>
      <c r="CB116" s="1404"/>
      <c r="CC116" s="1404"/>
      <c r="CD116" s="1404"/>
      <c r="CE116" s="1404"/>
      <c r="CF116" s="1404"/>
      <c r="CG116" s="1404"/>
      <c r="CH116" s="1404"/>
      <c r="CI116" s="1404"/>
      <c r="CJ116" s="1404"/>
      <c r="CK116" s="1404"/>
      <c r="CL116" s="1404"/>
      <c r="CM116" s="1404"/>
    </row>
    <row r="117" spans="1:91" s="1032" customFormat="1" ht="15" customHeight="1" thickBot="1">
      <c r="A117" s="2151"/>
      <c r="B117" s="2147"/>
      <c r="C117" s="1410" t="s">
        <v>45</v>
      </c>
      <c r="D117" s="2081">
        <v>0</v>
      </c>
      <c r="E117" s="2147"/>
      <c r="F117" s="1404"/>
      <c r="G117" s="1404"/>
      <c r="H117" s="1404"/>
      <c r="I117" s="1404"/>
      <c r="J117" s="1404"/>
      <c r="K117" s="1404"/>
      <c r="L117" s="1404"/>
      <c r="M117" s="1404"/>
      <c r="N117" s="1404"/>
      <c r="O117" s="1404"/>
      <c r="P117" s="1404"/>
      <c r="Q117" s="1404"/>
      <c r="R117" s="1404"/>
      <c r="S117" s="1404"/>
      <c r="T117" s="1404"/>
      <c r="U117" s="1404"/>
      <c r="V117" s="1404"/>
      <c r="W117" s="1404"/>
      <c r="X117" s="1404"/>
      <c r="Y117" s="1404"/>
      <c r="Z117" s="1404"/>
      <c r="AA117" s="1404"/>
      <c r="AB117" s="1404"/>
      <c r="AC117" s="1404"/>
      <c r="AD117" s="1404"/>
      <c r="AE117" s="1404"/>
      <c r="AF117" s="1404"/>
      <c r="AG117" s="1404"/>
      <c r="AH117" s="1404"/>
      <c r="AI117" s="1404"/>
      <c r="AJ117" s="1404"/>
      <c r="AK117" s="1404"/>
      <c r="AL117" s="1404"/>
      <c r="AM117" s="1404"/>
      <c r="AN117" s="1404"/>
      <c r="AO117" s="1404"/>
      <c r="AP117" s="1404"/>
      <c r="AQ117" s="1404"/>
      <c r="AR117" s="1404"/>
      <c r="AS117" s="1404"/>
      <c r="AT117" s="1404"/>
      <c r="AU117" s="1404"/>
      <c r="AV117" s="1404"/>
      <c r="AW117" s="1404"/>
      <c r="AX117" s="1404"/>
      <c r="AY117" s="1404"/>
      <c r="AZ117" s="1404"/>
      <c r="BA117" s="1404"/>
      <c r="BB117" s="1404"/>
      <c r="BC117" s="1404"/>
      <c r="BD117" s="1404"/>
      <c r="BE117" s="1404"/>
      <c r="BF117" s="1404"/>
      <c r="BG117" s="1404"/>
      <c r="BH117" s="1404"/>
      <c r="BI117" s="1404"/>
      <c r="BJ117" s="1404"/>
      <c r="BK117" s="1404"/>
      <c r="BL117" s="1404"/>
      <c r="BM117" s="1404"/>
      <c r="BN117" s="1404"/>
      <c r="BO117" s="1404"/>
      <c r="BP117" s="1404"/>
      <c r="BQ117" s="1404"/>
      <c r="BR117" s="1404"/>
      <c r="BS117" s="1404"/>
      <c r="BT117" s="1404"/>
      <c r="BU117" s="1404"/>
      <c r="BV117" s="1404"/>
      <c r="BW117" s="1404"/>
      <c r="BX117" s="1404"/>
      <c r="BY117" s="1404"/>
      <c r="BZ117" s="1404"/>
      <c r="CA117" s="1404"/>
      <c r="CB117" s="1404"/>
      <c r="CC117" s="1404"/>
      <c r="CD117" s="1404"/>
      <c r="CE117" s="1404"/>
      <c r="CF117" s="1404"/>
      <c r="CG117" s="1404"/>
      <c r="CH117" s="1404"/>
      <c r="CI117" s="1404"/>
      <c r="CJ117" s="1404"/>
      <c r="CK117" s="1404"/>
      <c r="CL117" s="1404"/>
      <c r="CM117" s="1404"/>
    </row>
    <row r="118" spans="1:91" s="1034" customFormat="1" ht="21" customHeight="1" thickBot="1">
      <c r="A118" s="2150" t="s">
        <v>774</v>
      </c>
      <c r="B118" s="2148" t="s">
        <v>97</v>
      </c>
      <c r="C118" s="405" t="s">
        <v>1330</v>
      </c>
      <c r="D118" s="2022"/>
      <c r="E118" s="2148" t="s">
        <v>2811</v>
      </c>
      <c r="F118" s="1404"/>
      <c r="G118" s="1404"/>
      <c r="H118" s="1404"/>
      <c r="I118" s="1404"/>
      <c r="J118" s="1404"/>
      <c r="K118" s="1404"/>
      <c r="L118" s="1404"/>
      <c r="M118" s="1404"/>
      <c r="N118" s="1404"/>
      <c r="O118" s="1404"/>
      <c r="P118" s="1404"/>
      <c r="Q118" s="1404"/>
      <c r="R118" s="1404"/>
      <c r="S118" s="1404"/>
      <c r="T118" s="1404"/>
      <c r="U118" s="1404"/>
      <c r="V118" s="1404"/>
      <c r="W118" s="1404"/>
      <c r="X118" s="1404"/>
      <c r="Y118" s="1404"/>
      <c r="Z118" s="1404"/>
      <c r="AA118" s="1404"/>
      <c r="AB118" s="1404"/>
      <c r="AC118" s="1404"/>
      <c r="AD118" s="1404"/>
      <c r="AE118" s="1404"/>
      <c r="AF118" s="1404"/>
      <c r="AG118" s="1404"/>
      <c r="AH118" s="1404"/>
      <c r="AI118" s="1404"/>
      <c r="AJ118" s="1404"/>
      <c r="AK118" s="1404"/>
      <c r="AL118" s="1404"/>
      <c r="AM118" s="1404"/>
      <c r="AN118" s="1404"/>
      <c r="AO118" s="1404"/>
      <c r="AP118" s="1404"/>
      <c r="AQ118" s="1404"/>
      <c r="AR118" s="1404"/>
      <c r="AS118" s="1404"/>
      <c r="AT118" s="1404"/>
      <c r="AU118" s="1404"/>
      <c r="AV118" s="1404"/>
      <c r="AW118" s="1404"/>
      <c r="AX118" s="1404"/>
      <c r="AY118" s="1404"/>
      <c r="AZ118" s="1404"/>
      <c r="BA118" s="1404"/>
      <c r="BB118" s="1404"/>
      <c r="BC118" s="1404"/>
      <c r="BD118" s="1404"/>
      <c r="BE118" s="1404"/>
      <c r="BF118" s="1404"/>
      <c r="BG118" s="1404"/>
      <c r="BH118" s="1404"/>
      <c r="BI118" s="1404"/>
      <c r="BJ118" s="1404"/>
      <c r="BK118" s="1404"/>
      <c r="BL118" s="1404"/>
      <c r="BM118" s="1404"/>
      <c r="BN118" s="1404"/>
      <c r="BO118" s="1404"/>
      <c r="BP118" s="1404"/>
      <c r="BQ118" s="1404"/>
      <c r="BR118" s="1404"/>
      <c r="BS118" s="1404"/>
      <c r="BT118" s="1404"/>
      <c r="BU118" s="1404"/>
      <c r="BV118" s="1404"/>
      <c r="BW118" s="1404"/>
      <c r="BX118" s="1404"/>
      <c r="BY118" s="1404"/>
      <c r="BZ118" s="1404"/>
      <c r="CA118" s="1404"/>
      <c r="CB118" s="1404"/>
      <c r="CC118" s="1404"/>
      <c r="CD118" s="1404"/>
      <c r="CE118" s="1404"/>
      <c r="CF118" s="1404"/>
      <c r="CG118" s="1404"/>
      <c r="CH118" s="1404"/>
      <c r="CI118" s="1404"/>
      <c r="CJ118" s="1404"/>
      <c r="CK118" s="1404"/>
      <c r="CL118" s="1404"/>
      <c r="CM118" s="1404"/>
    </row>
    <row r="119" spans="1:91" s="1035" customFormat="1" ht="15" customHeight="1">
      <c r="A119" s="2151"/>
      <c r="B119" s="2146"/>
      <c r="C119" s="1493" t="s">
        <v>1775</v>
      </c>
      <c r="D119" s="2080">
        <v>0</v>
      </c>
      <c r="E119" s="2146"/>
      <c r="F119" s="1404"/>
      <c r="G119" s="1404"/>
      <c r="H119" s="1404"/>
      <c r="I119" s="1404"/>
      <c r="J119" s="1404"/>
      <c r="K119" s="1404"/>
      <c r="L119" s="1404"/>
      <c r="M119" s="1404"/>
      <c r="N119" s="1404"/>
      <c r="O119" s="1404"/>
      <c r="P119" s="1404"/>
      <c r="Q119" s="1404"/>
      <c r="R119" s="1404"/>
      <c r="S119" s="1404"/>
      <c r="T119" s="1404"/>
      <c r="U119" s="1404"/>
      <c r="V119" s="1404"/>
      <c r="W119" s="1404"/>
      <c r="X119" s="1404"/>
      <c r="Y119" s="1404"/>
      <c r="Z119" s="1404"/>
      <c r="AA119" s="1404"/>
      <c r="AB119" s="1404"/>
      <c r="AC119" s="1404"/>
      <c r="AD119" s="1404"/>
      <c r="AE119" s="1404"/>
      <c r="AF119" s="1404"/>
      <c r="AG119" s="1404"/>
      <c r="AH119" s="1404"/>
      <c r="AI119" s="1404"/>
      <c r="AJ119" s="1404"/>
      <c r="AK119" s="1404"/>
      <c r="AL119" s="1404"/>
      <c r="AM119" s="1404"/>
      <c r="AN119" s="1404"/>
      <c r="AO119" s="1404"/>
      <c r="AP119" s="1404"/>
      <c r="AQ119" s="1404"/>
      <c r="AR119" s="1404"/>
      <c r="AS119" s="1404"/>
      <c r="AT119" s="1404"/>
      <c r="AU119" s="1404"/>
      <c r="AV119" s="1404"/>
      <c r="AW119" s="1404"/>
      <c r="AX119" s="1404"/>
      <c r="AY119" s="1404"/>
      <c r="AZ119" s="1404"/>
      <c r="BA119" s="1404"/>
      <c r="BB119" s="1404"/>
      <c r="BC119" s="1404"/>
      <c r="BD119" s="1404"/>
      <c r="BE119" s="1404"/>
      <c r="BF119" s="1404"/>
      <c r="BG119" s="1404"/>
      <c r="BH119" s="1404"/>
      <c r="BI119" s="1404"/>
      <c r="BJ119" s="1404"/>
      <c r="BK119" s="1404"/>
      <c r="BL119" s="1404"/>
      <c r="BM119" s="1404"/>
      <c r="BN119" s="1404"/>
      <c r="BO119" s="1404"/>
      <c r="BP119" s="1404"/>
      <c r="BQ119" s="1404"/>
      <c r="BR119" s="1404"/>
      <c r="BS119" s="1404"/>
      <c r="BT119" s="1404"/>
      <c r="BU119" s="1404"/>
      <c r="BV119" s="1404"/>
      <c r="BW119" s="1404"/>
      <c r="BX119" s="1404"/>
      <c r="BY119" s="1404"/>
      <c r="BZ119" s="1404"/>
      <c r="CA119" s="1404"/>
      <c r="CB119" s="1404"/>
      <c r="CC119" s="1404"/>
      <c r="CD119" s="1404"/>
      <c r="CE119" s="1404"/>
      <c r="CF119" s="1404"/>
      <c r="CG119" s="1404"/>
      <c r="CH119" s="1404"/>
      <c r="CI119" s="1404"/>
      <c r="CJ119" s="1404"/>
      <c r="CK119" s="1404"/>
      <c r="CL119" s="1404"/>
      <c r="CM119" s="1404"/>
    </row>
    <row r="120" spans="1:91" s="1035" customFormat="1" ht="15" customHeight="1">
      <c r="A120" s="2151"/>
      <c r="B120" s="2146"/>
      <c r="C120" s="1412" t="s">
        <v>1776</v>
      </c>
      <c r="D120" s="2080">
        <v>0</v>
      </c>
      <c r="E120" s="2146"/>
      <c r="F120" s="1404"/>
      <c r="G120" s="1404"/>
      <c r="H120" s="1404"/>
      <c r="I120" s="1404"/>
      <c r="J120" s="1404"/>
      <c r="K120" s="1404"/>
      <c r="L120" s="1404"/>
      <c r="M120" s="1404"/>
      <c r="N120" s="1404"/>
      <c r="O120" s="1404"/>
      <c r="P120" s="1404"/>
      <c r="Q120" s="1404"/>
      <c r="R120" s="1404"/>
      <c r="S120" s="1404"/>
      <c r="T120" s="1404"/>
      <c r="U120" s="1404"/>
      <c r="V120" s="1404"/>
      <c r="W120" s="1404"/>
      <c r="X120" s="1404"/>
      <c r="Y120" s="1404"/>
      <c r="Z120" s="1404"/>
      <c r="AA120" s="1404"/>
      <c r="AB120" s="1404"/>
      <c r="AC120" s="1404"/>
      <c r="AD120" s="1404"/>
      <c r="AE120" s="1404"/>
      <c r="AF120" s="1404"/>
      <c r="AG120" s="1404"/>
      <c r="AH120" s="1404"/>
      <c r="AI120" s="1404"/>
      <c r="AJ120" s="1404"/>
      <c r="AK120" s="1404"/>
      <c r="AL120" s="1404"/>
      <c r="AM120" s="1404"/>
      <c r="AN120" s="1404"/>
      <c r="AO120" s="1404"/>
      <c r="AP120" s="1404"/>
      <c r="AQ120" s="1404"/>
      <c r="AR120" s="1404"/>
      <c r="AS120" s="1404"/>
      <c r="AT120" s="1404"/>
      <c r="AU120" s="1404"/>
      <c r="AV120" s="1404"/>
      <c r="AW120" s="1404"/>
      <c r="AX120" s="1404"/>
      <c r="AY120" s="1404"/>
      <c r="AZ120" s="1404"/>
      <c r="BA120" s="1404"/>
      <c r="BB120" s="1404"/>
      <c r="BC120" s="1404"/>
      <c r="BD120" s="1404"/>
      <c r="BE120" s="1404"/>
      <c r="BF120" s="1404"/>
      <c r="BG120" s="1404"/>
      <c r="BH120" s="1404"/>
      <c r="BI120" s="1404"/>
      <c r="BJ120" s="1404"/>
      <c r="BK120" s="1404"/>
      <c r="BL120" s="1404"/>
      <c r="BM120" s="1404"/>
      <c r="BN120" s="1404"/>
      <c r="BO120" s="1404"/>
      <c r="BP120" s="1404"/>
      <c r="BQ120" s="1404"/>
      <c r="BR120" s="1404"/>
      <c r="BS120" s="1404"/>
      <c r="BT120" s="1404"/>
      <c r="BU120" s="1404"/>
      <c r="BV120" s="1404"/>
      <c r="BW120" s="1404"/>
      <c r="BX120" s="1404"/>
      <c r="BY120" s="1404"/>
      <c r="BZ120" s="1404"/>
      <c r="CA120" s="1404"/>
      <c r="CB120" s="1404"/>
      <c r="CC120" s="1404"/>
      <c r="CD120" s="1404"/>
      <c r="CE120" s="1404"/>
      <c r="CF120" s="1404"/>
      <c r="CG120" s="1404"/>
      <c r="CH120" s="1404"/>
      <c r="CI120" s="1404"/>
      <c r="CJ120" s="1404"/>
      <c r="CK120" s="1404"/>
      <c r="CL120" s="1404"/>
      <c r="CM120" s="1404"/>
    </row>
    <row r="121" spans="1:91" s="1032" customFormat="1" ht="15" customHeight="1" thickBot="1">
      <c r="A121" s="2152"/>
      <c r="B121" s="2149"/>
      <c r="C121" s="1410" t="s">
        <v>2503</v>
      </c>
      <c r="D121" s="2082">
        <v>0</v>
      </c>
      <c r="E121" s="2149"/>
      <c r="F121" s="1404"/>
      <c r="G121" s="1404"/>
      <c r="H121" s="1404"/>
      <c r="I121" s="1404"/>
      <c r="J121" s="1404"/>
      <c r="K121" s="1404"/>
      <c r="L121" s="1404"/>
      <c r="M121" s="1404"/>
      <c r="N121" s="1404"/>
      <c r="O121" s="1404"/>
      <c r="P121" s="1404"/>
      <c r="Q121" s="1404"/>
      <c r="R121" s="1404"/>
      <c r="S121" s="1404"/>
      <c r="T121" s="1404"/>
      <c r="U121" s="1404"/>
      <c r="V121" s="1404"/>
      <c r="W121" s="1404"/>
      <c r="X121" s="1404"/>
      <c r="Y121" s="1404"/>
      <c r="Z121" s="1404"/>
      <c r="AA121" s="1404"/>
      <c r="AB121" s="1404"/>
      <c r="AC121" s="1404"/>
      <c r="AD121" s="1404"/>
      <c r="AE121" s="1404"/>
      <c r="AF121" s="1404"/>
      <c r="AG121" s="1404"/>
      <c r="AH121" s="1404"/>
      <c r="AI121" s="1404"/>
      <c r="AJ121" s="1404"/>
      <c r="AK121" s="1404"/>
      <c r="AL121" s="1404"/>
      <c r="AM121" s="1404"/>
      <c r="AN121" s="1404"/>
      <c r="AO121" s="1404"/>
      <c r="AP121" s="1404"/>
      <c r="AQ121" s="1404"/>
      <c r="AR121" s="1404"/>
      <c r="AS121" s="1404"/>
      <c r="AT121" s="1404"/>
      <c r="AU121" s="1404"/>
      <c r="AV121" s="1404"/>
      <c r="AW121" s="1404"/>
      <c r="AX121" s="1404"/>
      <c r="AY121" s="1404"/>
      <c r="AZ121" s="1404"/>
      <c r="BA121" s="1404"/>
      <c r="BB121" s="1404"/>
      <c r="BC121" s="1404"/>
      <c r="BD121" s="1404"/>
      <c r="BE121" s="1404"/>
      <c r="BF121" s="1404"/>
      <c r="BG121" s="1404"/>
      <c r="BH121" s="1404"/>
      <c r="BI121" s="1404"/>
      <c r="BJ121" s="1404"/>
      <c r="BK121" s="1404"/>
      <c r="BL121" s="1404"/>
      <c r="BM121" s="1404"/>
      <c r="BN121" s="1404"/>
      <c r="BO121" s="1404"/>
      <c r="BP121" s="1404"/>
      <c r="BQ121" s="1404"/>
      <c r="BR121" s="1404"/>
      <c r="BS121" s="1404"/>
      <c r="BT121" s="1404"/>
      <c r="BU121" s="1404"/>
      <c r="BV121" s="1404"/>
      <c r="BW121" s="1404"/>
      <c r="BX121" s="1404"/>
      <c r="BY121" s="1404"/>
      <c r="BZ121" s="1404"/>
      <c r="CA121" s="1404"/>
      <c r="CB121" s="1404"/>
      <c r="CC121" s="1404"/>
      <c r="CD121" s="1404"/>
      <c r="CE121" s="1404"/>
      <c r="CF121" s="1404"/>
      <c r="CG121" s="1404"/>
      <c r="CH121" s="1404"/>
      <c r="CI121" s="1404"/>
      <c r="CJ121" s="1404"/>
      <c r="CK121" s="1404"/>
      <c r="CL121" s="1404"/>
      <c r="CM121" s="1404"/>
    </row>
    <row r="122" spans="1:91" s="1038" customFormat="1" ht="21" customHeight="1" thickBot="1">
      <c r="A122" s="2151" t="s">
        <v>2507</v>
      </c>
      <c r="B122" s="2146" t="s">
        <v>1264</v>
      </c>
      <c r="C122" s="1485" t="s">
        <v>2399</v>
      </c>
      <c r="D122" s="2019"/>
      <c r="E122" s="2146" t="s">
        <v>2879</v>
      </c>
      <c r="F122" s="1036"/>
      <c r="G122" s="1036"/>
      <c r="H122" s="1036"/>
      <c r="I122" s="1036"/>
      <c r="J122" s="1036"/>
      <c r="K122" s="1036"/>
      <c r="L122" s="1036"/>
      <c r="M122" s="1036"/>
      <c r="N122" s="1036"/>
      <c r="O122" s="1036"/>
      <c r="P122" s="1036"/>
      <c r="Q122" s="1036"/>
      <c r="R122" s="1036"/>
      <c r="S122" s="1036"/>
      <c r="T122" s="1036"/>
      <c r="U122" s="1036"/>
      <c r="V122" s="1036"/>
      <c r="W122" s="1036"/>
      <c r="X122" s="1036"/>
      <c r="Y122" s="1036"/>
      <c r="Z122" s="1036"/>
      <c r="AA122" s="1036"/>
      <c r="AB122" s="1036"/>
      <c r="AC122" s="1036"/>
      <c r="AD122" s="1036"/>
      <c r="AE122" s="1036"/>
      <c r="AF122" s="1036"/>
      <c r="AG122" s="1036"/>
      <c r="AH122" s="1036"/>
      <c r="AI122" s="1036"/>
      <c r="AJ122" s="1036"/>
      <c r="AK122" s="1036"/>
      <c r="AL122" s="1036"/>
      <c r="AM122" s="1036"/>
      <c r="AN122" s="1036"/>
      <c r="AO122" s="1036"/>
      <c r="AP122" s="1036"/>
      <c r="AQ122" s="1036"/>
      <c r="AR122" s="1036"/>
      <c r="AS122" s="1036"/>
      <c r="AT122" s="1036"/>
      <c r="AU122" s="1036"/>
      <c r="AV122" s="1036"/>
      <c r="AW122" s="1036"/>
      <c r="AX122" s="1036"/>
      <c r="AY122" s="1036"/>
      <c r="AZ122" s="1036"/>
      <c r="BA122" s="1036"/>
      <c r="BB122" s="1036"/>
      <c r="BC122" s="1036"/>
      <c r="BD122" s="1036"/>
      <c r="BE122" s="1036"/>
      <c r="BF122" s="1036"/>
      <c r="BG122" s="1036"/>
      <c r="BH122" s="1036"/>
      <c r="BI122" s="1036"/>
      <c r="BJ122" s="1036"/>
      <c r="BK122" s="1036"/>
      <c r="BL122" s="1036"/>
      <c r="BM122" s="1036"/>
      <c r="BN122" s="1036"/>
      <c r="BO122" s="1036"/>
      <c r="BP122" s="1036"/>
      <c r="BQ122" s="1036"/>
      <c r="BR122" s="1036"/>
      <c r="BS122" s="1036"/>
      <c r="BT122" s="1036"/>
      <c r="BU122" s="1036"/>
      <c r="BV122" s="1036"/>
      <c r="BW122" s="1036"/>
      <c r="BX122" s="1036"/>
      <c r="BY122" s="1036"/>
      <c r="BZ122" s="1036"/>
      <c r="CA122" s="1036"/>
      <c r="CB122" s="1036"/>
      <c r="CC122" s="1036"/>
      <c r="CD122" s="1036"/>
      <c r="CE122" s="1036"/>
      <c r="CF122" s="1036"/>
      <c r="CG122" s="1036"/>
      <c r="CH122" s="1036"/>
      <c r="CI122" s="1036"/>
      <c r="CJ122" s="1036"/>
      <c r="CK122" s="1036"/>
      <c r="CL122" s="1036"/>
      <c r="CM122" s="1036"/>
    </row>
    <row r="123" spans="1:91" s="1036" customFormat="1" ht="15" customHeight="1">
      <c r="A123" s="2151"/>
      <c r="B123" s="2146"/>
      <c r="C123" s="1493" t="s">
        <v>1539</v>
      </c>
      <c r="D123" s="2028">
        <v>0</v>
      </c>
      <c r="E123" s="2146"/>
    </row>
    <row r="124" spans="1:91" s="1036" customFormat="1" ht="15" customHeight="1">
      <c r="A124" s="2151"/>
      <c r="B124" s="2146"/>
      <c r="C124" s="1412" t="s">
        <v>2232</v>
      </c>
      <c r="D124" s="2028">
        <v>0</v>
      </c>
      <c r="E124" s="2146"/>
    </row>
    <row r="125" spans="1:91" s="1036" customFormat="1" ht="15" customHeight="1">
      <c r="A125" s="2151"/>
      <c r="B125" s="2146"/>
      <c r="C125" s="1473" t="s">
        <v>1482</v>
      </c>
      <c r="D125" s="2028">
        <v>0</v>
      </c>
      <c r="E125" s="2146"/>
    </row>
    <row r="126" spans="1:91" s="1036" customFormat="1" ht="15" customHeight="1">
      <c r="A126" s="2151"/>
      <c r="B126" s="2146"/>
      <c r="C126" s="1473" t="s">
        <v>2233</v>
      </c>
      <c r="D126" s="2028">
        <v>0</v>
      </c>
      <c r="E126" s="2146"/>
    </row>
    <row r="127" spans="1:91" s="1036" customFormat="1" ht="15" customHeight="1">
      <c r="A127" s="2151"/>
      <c r="B127" s="2146"/>
      <c r="C127" s="1473" t="s">
        <v>2234</v>
      </c>
      <c r="D127" s="2028">
        <v>0</v>
      </c>
      <c r="E127" s="2146"/>
    </row>
    <row r="128" spans="1:91" s="1039" customFormat="1" ht="15" customHeight="1" thickBot="1">
      <c r="A128" s="2151"/>
      <c r="B128" s="2146"/>
      <c r="C128" s="1623" t="s">
        <v>2628</v>
      </c>
      <c r="D128" s="2029">
        <v>0</v>
      </c>
      <c r="E128" s="2146"/>
      <c r="F128" s="1036"/>
      <c r="G128" s="1036"/>
      <c r="H128" s="1036"/>
      <c r="I128" s="1036"/>
      <c r="J128" s="1036"/>
      <c r="K128" s="1036"/>
      <c r="L128" s="1036"/>
      <c r="M128" s="1036"/>
      <c r="N128" s="1036"/>
      <c r="O128" s="1036"/>
      <c r="P128" s="1036"/>
      <c r="Q128" s="1036"/>
      <c r="R128" s="1036"/>
      <c r="S128" s="1036"/>
      <c r="T128" s="1036"/>
      <c r="U128" s="1036"/>
      <c r="V128" s="1036"/>
      <c r="W128" s="1036"/>
      <c r="X128" s="1036"/>
      <c r="Y128" s="1036"/>
      <c r="Z128" s="1036"/>
      <c r="AA128" s="1036"/>
      <c r="AB128" s="1036"/>
      <c r="AC128" s="1036"/>
      <c r="AD128" s="1036"/>
      <c r="AE128" s="1036"/>
      <c r="AF128" s="1036"/>
      <c r="AG128" s="1036"/>
      <c r="AH128" s="1036"/>
      <c r="AI128" s="1036"/>
      <c r="AJ128" s="1036"/>
      <c r="AK128" s="1036"/>
      <c r="AL128" s="1036"/>
      <c r="AM128" s="1036"/>
      <c r="AN128" s="1036"/>
      <c r="AO128" s="1036"/>
      <c r="AP128" s="1036"/>
      <c r="AQ128" s="1036"/>
      <c r="AR128" s="1036"/>
      <c r="AS128" s="1036"/>
      <c r="AT128" s="1036"/>
      <c r="AU128" s="1036"/>
      <c r="AV128" s="1036"/>
      <c r="AW128" s="1036"/>
      <c r="AX128" s="1036"/>
      <c r="AY128" s="1036"/>
      <c r="AZ128" s="1036"/>
      <c r="BA128" s="1036"/>
      <c r="BB128" s="1036"/>
      <c r="BC128" s="1036"/>
      <c r="BD128" s="1036"/>
      <c r="BE128" s="1036"/>
      <c r="BF128" s="1036"/>
      <c r="BG128" s="1036"/>
      <c r="BH128" s="1036"/>
      <c r="BI128" s="1036"/>
      <c r="BJ128" s="1036"/>
      <c r="BK128" s="1036"/>
      <c r="BL128" s="1036"/>
      <c r="BM128" s="1036"/>
      <c r="BN128" s="1036"/>
      <c r="BO128" s="1036"/>
      <c r="BP128" s="1036"/>
      <c r="BQ128" s="1036"/>
      <c r="BR128" s="1036"/>
      <c r="BS128" s="1036"/>
      <c r="BT128" s="1036"/>
      <c r="BU128" s="1036"/>
      <c r="BV128" s="1036"/>
      <c r="BW128" s="1036"/>
      <c r="BX128" s="1036"/>
      <c r="BY128" s="1036"/>
      <c r="BZ128" s="1036"/>
      <c r="CA128" s="1036"/>
      <c r="CB128" s="1036"/>
      <c r="CC128" s="1036"/>
      <c r="CD128" s="1036"/>
      <c r="CE128" s="1036"/>
      <c r="CF128" s="1036"/>
      <c r="CG128" s="1036"/>
      <c r="CH128" s="1036"/>
      <c r="CI128" s="1036"/>
      <c r="CJ128" s="1036"/>
      <c r="CK128" s="1036"/>
      <c r="CL128" s="1036"/>
      <c r="CM128" s="1036"/>
    </row>
    <row r="129" spans="1:91" s="1038" customFormat="1" ht="21" customHeight="1" thickBot="1">
      <c r="A129" s="2150" t="s">
        <v>775</v>
      </c>
      <c r="B129" s="2148" t="s">
        <v>1563</v>
      </c>
      <c r="C129" s="405" t="s">
        <v>2919</v>
      </c>
      <c r="D129" s="2022"/>
      <c r="E129" s="2148" t="s">
        <v>2812</v>
      </c>
      <c r="F129" s="1036"/>
      <c r="G129" s="1036"/>
      <c r="H129" s="1036"/>
      <c r="I129" s="1036"/>
      <c r="J129" s="1036"/>
      <c r="K129" s="1036"/>
      <c r="L129" s="1036"/>
      <c r="M129" s="1036"/>
      <c r="N129" s="1036"/>
      <c r="O129" s="1036"/>
      <c r="P129" s="1036"/>
      <c r="Q129" s="1036"/>
      <c r="R129" s="1036"/>
      <c r="S129" s="1036"/>
      <c r="T129" s="1036"/>
      <c r="U129" s="1036"/>
      <c r="V129" s="1036"/>
      <c r="W129" s="1036"/>
      <c r="X129" s="1036"/>
      <c r="Y129" s="1036"/>
      <c r="Z129" s="1036"/>
      <c r="AA129" s="1036"/>
      <c r="AB129" s="1036"/>
      <c r="AC129" s="1036"/>
      <c r="AD129" s="1036"/>
      <c r="AE129" s="1036"/>
      <c r="AF129" s="1036"/>
      <c r="AG129" s="1036"/>
      <c r="AH129" s="1036"/>
      <c r="AI129" s="1036"/>
      <c r="AJ129" s="1036"/>
      <c r="AK129" s="1036"/>
      <c r="AL129" s="1036"/>
      <c r="AM129" s="1036"/>
      <c r="AN129" s="1036"/>
      <c r="AO129" s="1036"/>
      <c r="AP129" s="1036"/>
      <c r="AQ129" s="1036"/>
      <c r="AR129" s="1036"/>
      <c r="AS129" s="1036"/>
      <c r="AT129" s="1036"/>
      <c r="AU129" s="1036"/>
      <c r="AV129" s="1036"/>
      <c r="AW129" s="1036"/>
      <c r="AX129" s="1036"/>
      <c r="AY129" s="1036"/>
      <c r="AZ129" s="1036"/>
      <c r="BA129" s="1036"/>
      <c r="BB129" s="1036"/>
      <c r="BC129" s="1036"/>
      <c r="BD129" s="1036"/>
      <c r="BE129" s="1036"/>
      <c r="BF129" s="1036"/>
      <c r="BG129" s="1036"/>
      <c r="BH129" s="1036"/>
      <c r="BI129" s="1036"/>
      <c r="BJ129" s="1036"/>
      <c r="BK129" s="1036"/>
      <c r="BL129" s="1036"/>
      <c r="BM129" s="1036"/>
      <c r="BN129" s="1036"/>
      <c r="BO129" s="1036"/>
      <c r="BP129" s="1036"/>
      <c r="BQ129" s="1036"/>
      <c r="BR129" s="1036"/>
      <c r="BS129" s="1036"/>
      <c r="BT129" s="1036"/>
      <c r="BU129" s="1036"/>
      <c r="BV129" s="1036"/>
      <c r="BW129" s="1036"/>
      <c r="BX129" s="1036"/>
      <c r="BY129" s="1036"/>
      <c r="BZ129" s="1036"/>
      <c r="CA129" s="1036"/>
      <c r="CB129" s="1036"/>
      <c r="CC129" s="1036"/>
      <c r="CD129" s="1036"/>
      <c r="CE129" s="1036"/>
      <c r="CF129" s="1036"/>
      <c r="CG129" s="1036"/>
      <c r="CH129" s="1036"/>
      <c r="CI129" s="1036"/>
      <c r="CJ129" s="1036"/>
      <c r="CK129" s="1036"/>
      <c r="CL129" s="1036"/>
      <c r="CM129" s="1036"/>
    </row>
    <row r="130" spans="1:91" s="1036" customFormat="1" ht="15" customHeight="1">
      <c r="A130" s="2151"/>
      <c r="B130" s="2146"/>
      <c r="C130" s="1493" t="s">
        <v>1561</v>
      </c>
      <c r="D130" s="2028">
        <v>0</v>
      </c>
      <c r="E130" s="2146"/>
    </row>
    <row r="131" spans="1:91" s="1036" customFormat="1" ht="15" customHeight="1">
      <c r="A131" s="2151"/>
      <c r="B131" s="2146"/>
      <c r="C131" s="1412" t="s">
        <v>1555</v>
      </c>
      <c r="D131" s="2028">
        <v>0</v>
      </c>
      <c r="E131" s="2146"/>
    </row>
    <row r="132" spans="1:91" s="1036" customFormat="1" ht="15" customHeight="1">
      <c r="A132" s="2151"/>
      <c r="B132" s="2146"/>
      <c r="C132" s="1412" t="s">
        <v>1556</v>
      </c>
      <c r="D132" s="2028">
        <v>0</v>
      </c>
      <c r="E132" s="2146"/>
    </row>
    <row r="133" spans="1:91" s="1036" customFormat="1" ht="15" customHeight="1">
      <c r="A133" s="2151"/>
      <c r="B133" s="2146"/>
      <c r="C133" s="1412" t="s">
        <v>1557</v>
      </c>
      <c r="D133" s="2028">
        <v>0</v>
      </c>
      <c r="E133" s="2146"/>
    </row>
    <row r="134" spans="1:91" s="1036" customFormat="1" ht="15" customHeight="1">
      <c r="A134" s="2151"/>
      <c r="B134" s="2146"/>
      <c r="C134" s="1412" t="s">
        <v>1558</v>
      </c>
      <c r="D134" s="2028">
        <v>0</v>
      </c>
      <c r="E134" s="2146"/>
    </row>
    <row r="135" spans="1:91" s="1032" customFormat="1" ht="15" customHeight="1" thickBot="1">
      <c r="A135" s="2152"/>
      <c r="B135" s="2149"/>
      <c r="C135" s="1410" t="s">
        <v>1562</v>
      </c>
      <c r="D135" s="2030">
        <v>0</v>
      </c>
      <c r="E135" s="2149"/>
      <c r="F135" s="1404"/>
      <c r="G135" s="1404"/>
      <c r="H135" s="1404"/>
      <c r="I135" s="1404"/>
      <c r="J135" s="1404"/>
      <c r="K135" s="1404"/>
      <c r="L135" s="1404"/>
      <c r="M135" s="1404"/>
      <c r="N135" s="1404"/>
      <c r="O135" s="1404"/>
      <c r="P135" s="1404"/>
      <c r="Q135" s="1404"/>
      <c r="R135" s="1404"/>
      <c r="S135" s="1404"/>
      <c r="T135" s="1404"/>
      <c r="U135" s="1404"/>
      <c r="V135" s="1404"/>
      <c r="W135" s="1404"/>
      <c r="X135" s="1404"/>
      <c r="Y135" s="1404"/>
      <c r="Z135" s="1404"/>
      <c r="AA135" s="1404"/>
      <c r="AB135" s="1404"/>
      <c r="AC135" s="1404"/>
      <c r="AD135" s="1404"/>
      <c r="AE135" s="1404"/>
      <c r="AF135" s="1404"/>
      <c r="AG135" s="1404"/>
      <c r="AH135" s="1404"/>
      <c r="AI135" s="1404"/>
      <c r="AJ135" s="1404"/>
      <c r="AK135" s="1404"/>
      <c r="AL135" s="1404"/>
      <c r="AM135" s="1404"/>
      <c r="AN135" s="1404"/>
      <c r="AO135" s="1404"/>
      <c r="AP135" s="1404"/>
      <c r="AQ135" s="1404"/>
      <c r="AR135" s="1404"/>
      <c r="AS135" s="1404"/>
      <c r="AT135" s="1404"/>
      <c r="AU135" s="1404"/>
      <c r="AV135" s="1404"/>
      <c r="AW135" s="1404"/>
      <c r="AX135" s="1404"/>
      <c r="AY135" s="1404"/>
      <c r="AZ135" s="1404"/>
      <c r="BA135" s="1404"/>
      <c r="BB135" s="1404"/>
      <c r="BC135" s="1404"/>
      <c r="BD135" s="1404"/>
      <c r="BE135" s="1404"/>
      <c r="BF135" s="1404"/>
      <c r="BG135" s="1404"/>
      <c r="BH135" s="1404"/>
      <c r="BI135" s="1404"/>
      <c r="BJ135" s="1404"/>
      <c r="BK135" s="1404"/>
      <c r="BL135" s="1404"/>
      <c r="BM135" s="1404"/>
      <c r="BN135" s="1404"/>
      <c r="BO135" s="1404"/>
      <c r="BP135" s="1404"/>
      <c r="BQ135" s="1404"/>
      <c r="BR135" s="1404"/>
      <c r="BS135" s="1404"/>
      <c r="BT135" s="1404"/>
      <c r="BU135" s="1404"/>
      <c r="BV135" s="1404"/>
      <c r="BW135" s="1404"/>
      <c r="BX135" s="1404"/>
      <c r="BY135" s="1404"/>
      <c r="BZ135" s="1404"/>
      <c r="CA135" s="1404"/>
      <c r="CB135" s="1404"/>
      <c r="CC135" s="1404"/>
      <c r="CD135" s="1404"/>
      <c r="CE135" s="1404"/>
      <c r="CF135" s="1404"/>
      <c r="CG135" s="1404"/>
      <c r="CH135" s="1404"/>
      <c r="CI135" s="1404"/>
      <c r="CJ135" s="1404"/>
      <c r="CK135" s="1404"/>
      <c r="CL135" s="1404"/>
      <c r="CM135" s="1404"/>
    </row>
    <row r="136" spans="1:91" s="1034" customFormat="1" ht="21" customHeight="1" thickBot="1">
      <c r="A136" s="2151" t="s">
        <v>776</v>
      </c>
      <c r="B136" s="2147" t="s">
        <v>4</v>
      </c>
      <c r="C136" s="1485" t="s">
        <v>1870</v>
      </c>
      <c r="D136" s="2019"/>
      <c r="E136" s="2146" t="s">
        <v>2927</v>
      </c>
      <c r="F136" s="1404"/>
      <c r="G136" s="1404"/>
      <c r="H136" s="1404"/>
      <c r="I136" s="1404"/>
      <c r="J136" s="1404"/>
      <c r="K136" s="1404"/>
      <c r="L136" s="1404"/>
      <c r="M136" s="1404"/>
      <c r="N136" s="1404"/>
      <c r="O136" s="1404"/>
      <c r="P136" s="1404"/>
      <c r="Q136" s="1404"/>
      <c r="R136" s="1404"/>
      <c r="S136" s="1404"/>
      <c r="T136" s="1404"/>
      <c r="U136" s="1404"/>
      <c r="V136" s="1404"/>
      <c r="W136" s="1404"/>
      <c r="X136" s="1404"/>
      <c r="Y136" s="1404"/>
      <c r="Z136" s="1404"/>
      <c r="AA136" s="1404"/>
      <c r="AB136" s="1404"/>
      <c r="AC136" s="1404"/>
      <c r="AD136" s="1404"/>
      <c r="AE136" s="1404"/>
      <c r="AF136" s="1404"/>
      <c r="AG136" s="1404"/>
      <c r="AH136" s="1404"/>
      <c r="AI136" s="1404"/>
      <c r="AJ136" s="1404"/>
      <c r="AK136" s="1404"/>
      <c r="AL136" s="1404"/>
      <c r="AM136" s="1404"/>
      <c r="AN136" s="1404"/>
      <c r="AO136" s="1404"/>
      <c r="AP136" s="1404"/>
      <c r="AQ136" s="1404"/>
      <c r="AR136" s="1404"/>
      <c r="AS136" s="1404"/>
      <c r="AT136" s="1404"/>
      <c r="AU136" s="1404"/>
      <c r="AV136" s="1404"/>
      <c r="AW136" s="1404"/>
      <c r="AX136" s="1404"/>
      <c r="AY136" s="1404"/>
      <c r="AZ136" s="1404"/>
      <c r="BA136" s="1404"/>
      <c r="BB136" s="1404"/>
      <c r="BC136" s="1404"/>
      <c r="BD136" s="1404"/>
      <c r="BE136" s="1404"/>
      <c r="BF136" s="1404"/>
      <c r="BG136" s="1404"/>
      <c r="BH136" s="1404"/>
      <c r="BI136" s="1404"/>
      <c r="BJ136" s="1404"/>
      <c r="BK136" s="1404"/>
      <c r="BL136" s="1404"/>
      <c r="BM136" s="1404"/>
      <c r="BN136" s="1404"/>
      <c r="BO136" s="1404"/>
      <c r="BP136" s="1404"/>
      <c r="BQ136" s="1404"/>
      <c r="BR136" s="1404"/>
      <c r="BS136" s="1404"/>
      <c r="BT136" s="1404"/>
      <c r="BU136" s="1404"/>
      <c r="BV136" s="1404"/>
      <c r="BW136" s="1404"/>
      <c r="BX136" s="1404"/>
      <c r="BY136" s="1404"/>
      <c r="BZ136" s="1404"/>
      <c r="CA136" s="1404"/>
      <c r="CB136" s="1404"/>
      <c r="CC136" s="1404"/>
      <c r="CD136" s="1404"/>
      <c r="CE136" s="1404"/>
      <c r="CF136" s="1404"/>
      <c r="CG136" s="1404"/>
      <c r="CH136" s="1404"/>
      <c r="CI136" s="1404"/>
      <c r="CJ136" s="1404"/>
      <c r="CK136" s="1404"/>
      <c r="CL136" s="1404"/>
      <c r="CM136" s="1404"/>
    </row>
    <row r="137" spans="1:91" s="1036" customFormat="1" ht="15" customHeight="1">
      <c r="A137" s="2151"/>
      <c r="B137" s="2147"/>
      <c r="C137" s="1950" t="s">
        <v>2942</v>
      </c>
      <c r="D137" s="2028">
        <v>0</v>
      </c>
      <c r="E137" s="2147"/>
    </row>
    <row r="138" spans="1:91" s="1036" customFormat="1" ht="27" customHeight="1">
      <c r="A138" s="2151"/>
      <c r="B138" s="2147"/>
      <c r="C138" s="1412" t="s">
        <v>2231</v>
      </c>
      <c r="D138" s="2028">
        <v>0</v>
      </c>
      <c r="E138" s="2147"/>
    </row>
    <row r="139" spans="1:91" s="1036" customFormat="1" ht="27" customHeight="1">
      <c r="A139" s="2151"/>
      <c r="B139" s="2147"/>
      <c r="C139" s="1411" t="s">
        <v>2936</v>
      </c>
      <c r="D139" s="2028">
        <v>0</v>
      </c>
      <c r="E139" s="2147"/>
    </row>
    <row r="140" spans="1:91" s="1036" customFormat="1" ht="15" customHeight="1" thickBot="1">
      <c r="A140" s="2151"/>
      <c r="B140" s="2147"/>
      <c r="C140" s="1476" t="s">
        <v>2504</v>
      </c>
      <c r="D140" s="2029">
        <v>0</v>
      </c>
      <c r="E140" s="2147"/>
    </row>
    <row r="141" spans="1:91" s="1036" customFormat="1" ht="21" customHeight="1" thickBot="1">
      <c r="A141" s="2150" t="s">
        <v>777</v>
      </c>
      <c r="B141" s="2148" t="s">
        <v>1553</v>
      </c>
      <c r="C141" s="405" t="s">
        <v>1869</v>
      </c>
      <c r="D141" s="2022"/>
      <c r="E141" s="2148" t="s">
        <v>2826</v>
      </c>
    </row>
    <row r="142" spans="1:91" s="1036" customFormat="1" ht="27" customHeight="1">
      <c r="A142" s="2151"/>
      <c r="B142" s="2147"/>
      <c r="C142" s="1950" t="s">
        <v>2937</v>
      </c>
      <c r="D142" s="2028">
        <v>0</v>
      </c>
      <c r="E142" s="2147"/>
    </row>
    <row r="143" spans="1:91" s="1036" customFormat="1" ht="28.8" customHeight="1">
      <c r="A143" s="2151"/>
      <c r="B143" s="2147"/>
      <c r="C143" s="1941" t="s">
        <v>2922</v>
      </c>
      <c r="D143" s="2028">
        <v>0</v>
      </c>
      <c r="E143" s="2147"/>
    </row>
    <row r="144" spans="1:91" s="1036" customFormat="1" ht="27" customHeight="1">
      <c r="A144" s="2151"/>
      <c r="B144" s="2147"/>
      <c r="C144" s="1941" t="s">
        <v>2920</v>
      </c>
      <c r="D144" s="2028">
        <v>0</v>
      </c>
      <c r="E144" s="2147"/>
    </row>
    <row r="145" spans="1:91" s="1036" customFormat="1" ht="27" customHeight="1">
      <c r="A145" s="2151"/>
      <c r="B145" s="2147"/>
      <c r="C145" s="1941" t="s">
        <v>2921</v>
      </c>
      <c r="D145" s="2028">
        <v>0</v>
      </c>
      <c r="E145" s="2147"/>
    </row>
    <row r="146" spans="1:91" s="1036" customFormat="1" ht="15" customHeight="1" thickBot="1">
      <c r="A146" s="2152"/>
      <c r="B146" s="2153"/>
      <c r="C146" s="1410" t="s">
        <v>2505</v>
      </c>
      <c r="D146" s="2030">
        <v>0</v>
      </c>
      <c r="E146" s="2153"/>
    </row>
    <row r="147" spans="1:91" s="1040" customFormat="1" ht="33" customHeight="1" thickBot="1">
      <c r="A147" s="1468" t="s">
        <v>778</v>
      </c>
      <c r="B147" s="1466" t="s">
        <v>2132</v>
      </c>
      <c r="C147" s="1069" t="s">
        <v>2943</v>
      </c>
      <c r="D147" s="2083">
        <v>0</v>
      </c>
      <c r="E147" s="1457" t="s">
        <v>2446</v>
      </c>
      <c r="F147" s="1404"/>
      <c r="G147" s="1404"/>
      <c r="H147" s="1404"/>
      <c r="I147" s="1404"/>
      <c r="J147" s="1404"/>
      <c r="K147" s="1404"/>
      <c r="L147" s="1404"/>
      <c r="M147" s="1404"/>
      <c r="N147" s="1404"/>
      <c r="O147" s="1404"/>
      <c r="P147" s="1404"/>
      <c r="Q147" s="1404"/>
      <c r="R147" s="1404"/>
      <c r="S147" s="1404"/>
      <c r="T147" s="1404"/>
      <c r="U147" s="1404"/>
      <c r="V147" s="1404"/>
      <c r="W147" s="1404"/>
      <c r="X147" s="1404"/>
      <c r="Y147" s="1404"/>
      <c r="Z147" s="1404"/>
      <c r="AA147" s="1404"/>
      <c r="AB147" s="1404"/>
      <c r="AC147" s="1404"/>
      <c r="AD147" s="1404"/>
      <c r="AE147" s="1404"/>
      <c r="AF147" s="1404"/>
      <c r="AG147" s="1404"/>
      <c r="AH147" s="1404"/>
      <c r="AI147" s="1404"/>
      <c r="AJ147" s="1404"/>
      <c r="AK147" s="1404"/>
      <c r="AL147" s="1404"/>
      <c r="AM147" s="1404"/>
      <c r="AN147" s="1404"/>
      <c r="AO147" s="1404"/>
      <c r="AP147" s="1404"/>
      <c r="AQ147" s="1404"/>
      <c r="AR147" s="1404"/>
      <c r="AS147" s="1404"/>
      <c r="AT147" s="1404"/>
      <c r="AU147" s="1404"/>
      <c r="AV147" s="1404"/>
      <c r="AW147" s="1404"/>
      <c r="AX147" s="1404"/>
      <c r="AY147" s="1404"/>
      <c r="AZ147" s="1404"/>
      <c r="BA147" s="1404"/>
      <c r="BB147" s="1404"/>
      <c r="BC147" s="1404"/>
      <c r="BD147" s="1404"/>
      <c r="BE147" s="1404"/>
      <c r="BF147" s="1404"/>
      <c r="BG147" s="1404"/>
      <c r="BH147" s="1404"/>
      <c r="BI147" s="1404"/>
      <c r="BJ147" s="1404"/>
      <c r="BK147" s="1404"/>
      <c r="BL147" s="1404"/>
      <c r="BM147" s="1404"/>
      <c r="BN147" s="1404"/>
      <c r="BO147" s="1404"/>
      <c r="BP147" s="1404"/>
      <c r="BQ147" s="1404"/>
      <c r="BR147" s="1404"/>
      <c r="BS147" s="1404"/>
      <c r="BT147" s="1404"/>
      <c r="BU147" s="1404"/>
      <c r="BV147" s="1404"/>
      <c r="BW147" s="1404"/>
      <c r="BX147" s="1404"/>
      <c r="BY147" s="1404"/>
      <c r="BZ147" s="1404"/>
      <c r="CA147" s="1404"/>
      <c r="CB147" s="1404"/>
      <c r="CC147" s="1404"/>
      <c r="CD147" s="1404"/>
      <c r="CE147" s="1404"/>
      <c r="CF147" s="1404"/>
      <c r="CG147" s="1404"/>
      <c r="CH147" s="1404"/>
      <c r="CI147" s="1404"/>
      <c r="CJ147" s="1404"/>
      <c r="CK147" s="1404"/>
      <c r="CL147" s="1404"/>
      <c r="CM147" s="1404"/>
    </row>
    <row r="148" spans="1:91" s="1211" customFormat="1" ht="33" customHeight="1" thickBot="1">
      <c r="A148" s="488" t="s">
        <v>779</v>
      </c>
      <c r="B148" s="81" t="s">
        <v>1871</v>
      </c>
      <c r="C148" s="405" t="s">
        <v>2940</v>
      </c>
      <c r="D148" s="2079">
        <v>0</v>
      </c>
      <c r="E148" s="81" t="s">
        <v>2450</v>
      </c>
      <c r="F148" s="1404"/>
      <c r="G148" s="1404"/>
      <c r="H148" s="1404"/>
      <c r="I148" s="1404"/>
      <c r="J148" s="1404"/>
      <c r="K148" s="1404"/>
      <c r="L148" s="1404"/>
      <c r="M148" s="1404"/>
      <c r="N148" s="1404"/>
      <c r="O148" s="1404"/>
      <c r="P148" s="1404"/>
      <c r="Q148" s="1404"/>
      <c r="R148" s="1404"/>
      <c r="S148" s="1404"/>
      <c r="T148" s="1404"/>
      <c r="U148" s="1404"/>
      <c r="V148" s="1404"/>
      <c r="W148" s="1404"/>
      <c r="X148" s="1404"/>
      <c r="Y148" s="1404"/>
      <c r="Z148" s="1404"/>
      <c r="AA148" s="1404"/>
      <c r="AB148" s="1404"/>
      <c r="AC148" s="1404"/>
      <c r="AD148" s="1404"/>
      <c r="AE148" s="1404"/>
      <c r="AF148" s="1404"/>
      <c r="AG148" s="1404"/>
      <c r="AH148" s="1404"/>
      <c r="AI148" s="1404"/>
      <c r="AJ148" s="1404"/>
      <c r="AK148" s="1404"/>
      <c r="AL148" s="1404"/>
      <c r="AM148" s="1404"/>
      <c r="AN148" s="1404"/>
      <c r="AO148" s="1404"/>
      <c r="AP148" s="1404"/>
      <c r="AQ148" s="1404"/>
      <c r="AR148" s="1404"/>
      <c r="AS148" s="1404"/>
      <c r="AT148" s="1404"/>
      <c r="AU148" s="1404"/>
      <c r="AV148" s="1404"/>
      <c r="AW148" s="1404"/>
      <c r="AX148" s="1404"/>
      <c r="AY148" s="1404"/>
      <c r="AZ148" s="1404"/>
      <c r="BA148" s="1404"/>
      <c r="BB148" s="1404"/>
      <c r="BC148" s="1404"/>
      <c r="BD148" s="1404"/>
      <c r="BE148" s="1404"/>
      <c r="BF148" s="1404"/>
      <c r="BG148" s="1404"/>
      <c r="BH148" s="1404"/>
      <c r="BI148" s="1404"/>
      <c r="BJ148" s="1404"/>
      <c r="BK148" s="1404"/>
      <c r="BL148" s="1404"/>
      <c r="BM148" s="1404"/>
      <c r="BN148" s="1404"/>
      <c r="BO148" s="1404"/>
      <c r="BP148" s="1404"/>
      <c r="BQ148" s="1404"/>
      <c r="BR148" s="1404"/>
      <c r="BS148" s="1404"/>
      <c r="BT148" s="1404"/>
      <c r="BU148" s="1404"/>
      <c r="BV148" s="1404"/>
      <c r="BW148" s="1404"/>
      <c r="BX148" s="1404"/>
      <c r="BY148" s="1404"/>
      <c r="BZ148" s="1404"/>
      <c r="CA148" s="1404"/>
      <c r="CB148" s="1404"/>
      <c r="CC148" s="1404"/>
      <c r="CD148" s="1404"/>
      <c r="CE148" s="1404"/>
      <c r="CF148" s="1404"/>
      <c r="CG148" s="1404"/>
      <c r="CH148" s="1404"/>
      <c r="CI148" s="1404"/>
      <c r="CJ148" s="1404"/>
      <c r="CK148" s="1404"/>
      <c r="CL148" s="1404"/>
      <c r="CM148" s="1404"/>
    </row>
    <row r="149" spans="1:91" s="1104" customFormat="1" ht="60" customHeight="1" thickBot="1">
      <c r="A149" s="488" t="s">
        <v>780</v>
      </c>
      <c r="B149" s="81" t="s">
        <v>2424</v>
      </c>
      <c r="C149" s="405" t="s">
        <v>2938</v>
      </c>
      <c r="D149" s="2044">
        <v>0</v>
      </c>
      <c r="E149" s="81" t="s">
        <v>2453</v>
      </c>
      <c r="F149" s="1036"/>
      <c r="G149" s="1408"/>
      <c r="H149" s="1408"/>
      <c r="I149" s="1408"/>
      <c r="J149" s="1408"/>
      <c r="K149" s="1408"/>
      <c r="L149" s="1408"/>
      <c r="M149" s="1408"/>
      <c r="N149" s="1408"/>
      <c r="O149" s="1408"/>
      <c r="P149" s="1408"/>
      <c r="Q149" s="1408"/>
      <c r="R149" s="1408"/>
      <c r="S149" s="1408"/>
      <c r="T149" s="1408"/>
      <c r="U149" s="1408"/>
      <c r="V149" s="1408"/>
      <c r="W149" s="1408"/>
      <c r="X149" s="1408"/>
      <c r="Y149" s="1408"/>
      <c r="Z149" s="1408"/>
      <c r="AA149" s="1408"/>
      <c r="AB149" s="1408"/>
      <c r="AC149" s="1408"/>
      <c r="AD149" s="1408"/>
      <c r="AE149" s="1408"/>
      <c r="AF149" s="1408"/>
      <c r="AG149" s="1408"/>
      <c r="AH149" s="1408"/>
      <c r="AI149" s="1408"/>
      <c r="AJ149" s="1408"/>
      <c r="AK149" s="1408"/>
      <c r="AL149" s="1408"/>
      <c r="AM149" s="1408"/>
      <c r="AN149" s="1408"/>
      <c r="AO149" s="1408"/>
      <c r="AP149" s="1408"/>
      <c r="AQ149" s="1408"/>
      <c r="AR149" s="1408"/>
      <c r="AS149" s="1408"/>
      <c r="AT149" s="1408"/>
      <c r="AU149" s="1408"/>
      <c r="AV149" s="1408"/>
      <c r="AW149" s="1408"/>
      <c r="AX149" s="1408"/>
      <c r="AY149" s="1408"/>
      <c r="AZ149" s="1408"/>
      <c r="BA149" s="1408"/>
      <c r="BB149" s="1408"/>
      <c r="BC149" s="1408"/>
      <c r="BD149" s="1408"/>
      <c r="BE149" s="1408"/>
      <c r="BF149" s="1408"/>
      <c r="BG149" s="1408"/>
      <c r="BH149" s="1408"/>
      <c r="BI149" s="1408"/>
      <c r="BJ149" s="1408"/>
      <c r="BK149" s="1408"/>
      <c r="BL149" s="1408"/>
      <c r="BM149" s="1408"/>
      <c r="BN149" s="1408"/>
      <c r="BO149" s="1408"/>
      <c r="BP149" s="1408"/>
      <c r="BQ149" s="1408"/>
      <c r="BR149" s="1408"/>
      <c r="BS149" s="1408"/>
      <c r="BT149" s="1408"/>
      <c r="BU149" s="1408"/>
      <c r="BV149" s="1408"/>
      <c r="BW149" s="1408"/>
      <c r="BX149" s="1408"/>
      <c r="BY149" s="1408"/>
      <c r="BZ149" s="1408"/>
      <c r="CA149" s="1408"/>
      <c r="CB149" s="1408"/>
      <c r="CC149" s="1408"/>
      <c r="CD149" s="1408"/>
      <c r="CE149" s="1408"/>
      <c r="CF149" s="1408"/>
      <c r="CG149" s="1408"/>
      <c r="CH149" s="1408"/>
      <c r="CI149" s="1408"/>
      <c r="CJ149" s="1408"/>
      <c r="CK149" s="1408"/>
      <c r="CL149" s="1408"/>
      <c r="CM149" s="1408"/>
    </row>
    <row r="150" spans="1:91" s="1088" customFormat="1" ht="45" customHeight="1" thickBot="1">
      <c r="A150" s="488" t="s">
        <v>781</v>
      </c>
      <c r="B150" s="81" t="s">
        <v>1533</v>
      </c>
      <c r="C150" s="405" t="s">
        <v>2939</v>
      </c>
      <c r="D150" s="2079">
        <v>0</v>
      </c>
      <c r="E150" s="81" t="s">
        <v>2880</v>
      </c>
      <c r="F150" s="1404"/>
      <c r="G150" s="1404"/>
      <c r="H150" s="1404"/>
      <c r="I150" s="1404"/>
      <c r="J150" s="1404"/>
      <c r="K150" s="1404"/>
      <c r="L150" s="1404"/>
      <c r="M150" s="1404"/>
      <c r="N150" s="1404"/>
      <c r="O150" s="1404"/>
      <c r="P150" s="1404"/>
      <c r="Q150" s="1404"/>
      <c r="R150" s="1404"/>
      <c r="S150" s="1404"/>
      <c r="T150" s="1404"/>
      <c r="U150" s="1404"/>
      <c r="V150" s="1404"/>
      <c r="W150" s="1404"/>
      <c r="X150" s="1404"/>
      <c r="Y150" s="1404"/>
      <c r="Z150" s="1404"/>
      <c r="AA150" s="1404"/>
      <c r="AB150" s="1404"/>
      <c r="AC150" s="1404"/>
      <c r="AD150" s="1404"/>
      <c r="AE150" s="1404"/>
      <c r="AF150" s="1404"/>
      <c r="AG150" s="1404"/>
      <c r="AH150" s="1404"/>
      <c r="AI150" s="1404"/>
      <c r="AJ150" s="1404"/>
      <c r="AK150" s="1404"/>
      <c r="AL150" s="1404"/>
      <c r="AM150" s="1404"/>
      <c r="AN150" s="1404"/>
      <c r="AO150" s="1404"/>
      <c r="AP150" s="1404"/>
      <c r="AQ150" s="1404"/>
      <c r="AR150" s="1404"/>
      <c r="AS150" s="1404"/>
      <c r="AT150" s="1404"/>
      <c r="AU150" s="1404"/>
      <c r="AV150" s="1404"/>
      <c r="AW150" s="1404"/>
      <c r="AX150" s="1404"/>
      <c r="AY150" s="1404"/>
      <c r="AZ150" s="1404"/>
      <c r="BA150" s="1404"/>
      <c r="BB150" s="1404"/>
      <c r="BC150" s="1404"/>
      <c r="BD150" s="1404"/>
      <c r="BE150" s="1404"/>
      <c r="BF150" s="1404"/>
      <c r="BG150" s="1404"/>
      <c r="BH150" s="1404"/>
      <c r="BI150" s="1404"/>
      <c r="BJ150" s="1404"/>
      <c r="BK150" s="1404"/>
      <c r="BL150" s="1404"/>
      <c r="BM150" s="1404"/>
      <c r="BN150" s="1404"/>
      <c r="BO150" s="1404"/>
      <c r="BP150" s="1404"/>
      <c r="BQ150" s="1404"/>
      <c r="BR150" s="1404"/>
      <c r="BS150" s="1404"/>
      <c r="BT150" s="1404"/>
      <c r="BU150" s="1404"/>
      <c r="BV150" s="1404"/>
      <c r="BW150" s="1404"/>
      <c r="BX150" s="1404"/>
      <c r="BY150" s="1404"/>
      <c r="BZ150" s="1404"/>
      <c r="CA150" s="1404"/>
      <c r="CB150" s="1404"/>
      <c r="CC150" s="1404"/>
      <c r="CD150" s="1404"/>
      <c r="CE150" s="1404"/>
      <c r="CF150" s="1404"/>
      <c r="CG150" s="1404"/>
      <c r="CH150" s="1404"/>
      <c r="CI150" s="1404"/>
      <c r="CJ150" s="1404"/>
      <c r="CK150" s="1404"/>
      <c r="CL150" s="1404"/>
      <c r="CM150" s="1404"/>
    </row>
    <row r="151" spans="1:91" s="1040" customFormat="1" ht="33" customHeight="1" thickBot="1">
      <c r="A151" s="488" t="s">
        <v>782</v>
      </c>
      <c r="B151" s="1467" t="s">
        <v>1</v>
      </c>
      <c r="C151" s="1455" t="s">
        <v>2103</v>
      </c>
      <c r="D151" s="2079">
        <v>0</v>
      </c>
      <c r="E151" s="1457" t="s">
        <v>2451</v>
      </c>
      <c r="F151" s="1404"/>
      <c r="G151" s="1404"/>
      <c r="H151" s="1404"/>
      <c r="I151" s="1404"/>
      <c r="J151" s="1404"/>
      <c r="K151" s="1404"/>
      <c r="L151" s="1404"/>
      <c r="M151" s="1404"/>
      <c r="N151" s="1404"/>
      <c r="O151" s="1404"/>
      <c r="P151" s="1404"/>
      <c r="Q151" s="1404"/>
      <c r="R151" s="1404"/>
      <c r="S151" s="1404"/>
      <c r="T151" s="1404"/>
      <c r="U151" s="1404"/>
      <c r="V151" s="1404"/>
      <c r="W151" s="1404"/>
      <c r="X151" s="1404"/>
      <c r="Y151" s="1404"/>
      <c r="Z151" s="1404"/>
      <c r="AA151" s="1404"/>
      <c r="AB151" s="1404"/>
      <c r="AC151" s="1404"/>
      <c r="AD151" s="1404"/>
      <c r="AE151" s="1404"/>
      <c r="AF151" s="1404"/>
      <c r="AG151" s="1404"/>
      <c r="AH151" s="1404"/>
      <c r="AI151" s="1404"/>
      <c r="AJ151" s="1404"/>
      <c r="AK151" s="1404"/>
      <c r="AL151" s="1404"/>
      <c r="AM151" s="1404"/>
      <c r="AN151" s="1404"/>
      <c r="AO151" s="1404"/>
      <c r="AP151" s="1404"/>
      <c r="AQ151" s="1404"/>
      <c r="AR151" s="1404"/>
      <c r="AS151" s="1404"/>
      <c r="AT151" s="1404"/>
      <c r="AU151" s="1404"/>
      <c r="AV151" s="1404"/>
      <c r="AW151" s="1404"/>
      <c r="AX151" s="1404"/>
      <c r="AY151" s="1404"/>
      <c r="AZ151" s="1404"/>
      <c r="BA151" s="1404"/>
      <c r="BB151" s="1404"/>
      <c r="BC151" s="1404"/>
      <c r="BD151" s="1404"/>
      <c r="BE151" s="1404"/>
      <c r="BF151" s="1404"/>
      <c r="BG151" s="1404"/>
      <c r="BH151" s="1404"/>
      <c r="BI151" s="1404"/>
      <c r="BJ151" s="1404"/>
      <c r="BK151" s="1404"/>
      <c r="BL151" s="1404"/>
      <c r="BM151" s="1404"/>
      <c r="BN151" s="1404"/>
      <c r="BO151" s="1404"/>
      <c r="BP151" s="1404"/>
      <c r="BQ151" s="1404"/>
      <c r="BR151" s="1404"/>
      <c r="BS151" s="1404"/>
      <c r="BT151" s="1404"/>
      <c r="BU151" s="1404"/>
      <c r="BV151" s="1404"/>
      <c r="BW151" s="1404"/>
      <c r="BX151" s="1404"/>
      <c r="BY151" s="1404"/>
      <c r="BZ151" s="1404"/>
      <c r="CA151" s="1404"/>
      <c r="CB151" s="1404"/>
      <c r="CC151" s="1404"/>
      <c r="CD151" s="1404"/>
      <c r="CE151" s="1404"/>
      <c r="CF151" s="1404"/>
      <c r="CG151" s="1404"/>
      <c r="CH151" s="1404"/>
      <c r="CI151" s="1404"/>
      <c r="CJ151" s="1404"/>
      <c r="CK151" s="1404"/>
      <c r="CL151" s="1404"/>
      <c r="CM151" s="1404"/>
    </row>
    <row r="152" spans="1:91" s="1040" customFormat="1" ht="30" customHeight="1" thickBot="1">
      <c r="A152" s="488" t="s">
        <v>2252</v>
      </c>
      <c r="B152" s="137" t="s">
        <v>2</v>
      </c>
      <c r="C152" s="405" t="s">
        <v>2109</v>
      </c>
      <c r="D152" s="2079">
        <v>0</v>
      </c>
      <c r="E152" s="81" t="s">
        <v>2451</v>
      </c>
      <c r="F152" s="1404"/>
      <c r="G152" s="1404"/>
      <c r="H152" s="1404"/>
      <c r="I152" s="1404"/>
      <c r="J152" s="1404"/>
      <c r="K152" s="1404"/>
      <c r="L152" s="1404"/>
      <c r="M152" s="1404"/>
      <c r="N152" s="1404"/>
      <c r="O152" s="1404"/>
      <c r="P152" s="1404"/>
      <c r="Q152" s="1404"/>
      <c r="R152" s="1404"/>
      <c r="S152" s="1404"/>
      <c r="T152" s="1404"/>
      <c r="U152" s="1404"/>
      <c r="V152" s="1404"/>
      <c r="W152" s="1404"/>
      <c r="X152" s="1404"/>
      <c r="Y152" s="1404"/>
      <c r="Z152" s="1404"/>
      <c r="AA152" s="1404"/>
      <c r="AB152" s="1404"/>
      <c r="AC152" s="1404"/>
      <c r="AD152" s="1404"/>
      <c r="AE152" s="1404"/>
      <c r="AF152" s="1404"/>
      <c r="AG152" s="1404"/>
      <c r="AH152" s="1404"/>
      <c r="AI152" s="1404"/>
      <c r="AJ152" s="1404"/>
      <c r="AK152" s="1404"/>
      <c r="AL152" s="1404"/>
      <c r="AM152" s="1404"/>
      <c r="AN152" s="1404"/>
      <c r="AO152" s="1404"/>
      <c r="AP152" s="1404"/>
      <c r="AQ152" s="1404"/>
      <c r="AR152" s="1404"/>
      <c r="AS152" s="1404"/>
      <c r="AT152" s="1404"/>
      <c r="AU152" s="1404"/>
      <c r="AV152" s="1404"/>
      <c r="AW152" s="1404"/>
      <c r="AX152" s="1404"/>
      <c r="AY152" s="1404"/>
      <c r="AZ152" s="1404"/>
      <c r="BA152" s="1404"/>
      <c r="BB152" s="1404"/>
      <c r="BC152" s="1404"/>
      <c r="BD152" s="1404"/>
      <c r="BE152" s="1404"/>
      <c r="BF152" s="1404"/>
      <c r="BG152" s="1404"/>
      <c r="BH152" s="1404"/>
      <c r="BI152" s="1404"/>
      <c r="BJ152" s="1404"/>
      <c r="BK152" s="1404"/>
      <c r="BL152" s="1404"/>
      <c r="BM152" s="1404"/>
      <c r="BN152" s="1404"/>
      <c r="BO152" s="1404"/>
      <c r="BP152" s="1404"/>
      <c r="BQ152" s="1404"/>
      <c r="BR152" s="1404"/>
      <c r="BS152" s="1404"/>
      <c r="BT152" s="1404"/>
      <c r="BU152" s="1404"/>
      <c r="BV152" s="1404"/>
      <c r="BW152" s="1404"/>
      <c r="BX152" s="1404"/>
      <c r="BY152" s="1404"/>
      <c r="BZ152" s="1404"/>
      <c r="CA152" s="1404"/>
      <c r="CB152" s="1404"/>
      <c r="CC152" s="1404"/>
      <c r="CD152" s="1404"/>
      <c r="CE152" s="1404"/>
      <c r="CF152" s="1404"/>
      <c r="CG152" s="1404"/>
      <c r="CH152" s="1404"/>
      <c r="CI152" s="1404"/>
      <c r="CJ152" s="1404"/>
      <c r="CK152" s="1404"/>
      <c r="CL152" s="1404"/>
      <c r="CM152" s="1404"/>
    </row>
    <row r="153" spans="1:91" s="1040" customFormat="1" ht="45" customHeight="1" thickBot="1">
      <c r="A153" s="488" t="s">
        <v>783</v>
      </c>
      <c r="B153" s="137" t="s">
        <v>150</v>
      </c>
      <c r="C153" s="405" t="s">
        <v>2104</v>
      </c>
      <c r="D153" s="2079">
        <v>0</v>
      </c>
      <c r="E153" s="81" t="s">
        <v>2451</v>
      </c>
      <c r="F153" s="1404"/>
      <c r="G153" s="1404"/>
      <c r="H153" s="1404"/>
      <c r="I153" s="1404"/>
      <c r="J153" s="1404"/>
      <c r="K153" s="1404"/>
      <c r="L153" s="1404"/>
      <c r="M153" s="1404"/>
      <c r="N153" s="1404"/>
      <c r="O153" s="1404"/>
      <c r="P153" s="1404"/>
      <c r="Q153" s="1404"/>
      <c r="R153" s="1404"/>
      <c r="S153" s="1404"/>
      <c r="T153" s="1404"/>
      <c r="U153" s="1404"/>
      <c r="V153" s="1404"/>
      <c r="W153" s="1404"/>
      <c r="X153" s="1404"/>
      <c r="Y153" s="1404"/>
      <c r="Z153" s="1404"/>
      <c r="AA153" s="1404"/>
      <c r="AB153" s="1404"/>
      <c r="AC153" s="1404"/>
      <c r="AD153" s="1404"/>
      <c r="AE153" s="1404"/>
      <c r="AF153" s="1404"/>
      <c r="AG153" s="1404"/>
      <c r="AH153" s="1404"/>
      <c r="AI153" s="1404"/>
      <c r="AJ153" s="1404"/>
      <c r="AK153" s="1404"/>
      <c r="AL153" s="1404"/>
      <c r="AM153" s="1404"/>
      <c r="AN153" s="1404"/>
      <c r="AO153" s="1404"/>
      <c r="AP153" s="1404"/>
      <c r="AQ153" s="1404"/>
      <c r="AR153" s="1404"/>
      <c r="AS153" s="1404"/>
      <c r="AT153" s="1404"/>
      <c r="AU153" s="1404"/>
      <c r="AV153" s="1404"/>
      <c r="AW153" s="1404"/>
      <c r="AX153" s="1404"/>
      <c r="AY153" s="1404"/>
      <c r="AZ153" s="1404"/>
      <c r="BA153" s="1404"/>
      <c r="BB153" s="1404"/>
      <c r="BC153" s="1404"/>
      <c r="BD153" s="1404"/>
      <c r="BE153" s="1404"/>
      <c r="BF153" s="1404"/>
      <c r="BG153" s="1404"/>
      <c r="BH153" s="1404"/>
      <c r="BI153" s="1404"/>
      <c r="BJ153" s="1404"/>
      <c r="BK153" s="1404"/>
      <c r="BL153" s="1404"/>
      <c r="BM153" s="1404"/>
      <c r="BN153" s="1404"/>
      <c r="BO153" s="1404"/>
      <c r="BP153" s="1404"/>
      <c r="BQ153" s="1404"/>
      <c r="BR153" s="1404"/>
      <c r="BS153" s="1404"/>
      <c r="BT153" s="1404"/>
      <c r="BU153" s="1404"/>
      <c r="BV153" s="1404"/>
      <c r="BW153" s="1404"/>
      <c r="BX153" s="1404"/>
      <c r="BY153" s="1404"/>
      <c r="BZ153" s="1404"/>
      <c r="CA153" s="1404"/>
      <c r="CB153" s="1404"/>
      <c r="CC153" s="1404"/>
      <c r="CD153" s="1404"/>
      <c r="CE153" s="1404"/>
      <c r="CF153" s="1404"/>
      <c r="CG153" s="1404"/>
      <c r="CH153" s="1404"/>
      <c r="CI153" s="1404"/>
      <c r="CJ153" s="1404"/>
      <c r="CK153" s="1404"/>
      <c r="CL153" s="1404"/>
      <c r="CM153" s="1404"/>
    </row>
    <row r="154" spans="1:91" s="1040" customFormat="1" ht="58.8" customHeight="1" thickBot="1">
      <c r="A154" s="488" t="s">
        <v>784</v>
      </c>
      <c r="B154" s="81" t="s">
        <v>1554</v>
      </c>
      <c r="C154" s="405" t="s">
        <v>2944</v>
      </c>
      <c r="D154" s="2079">
        <v>0</v>
      </c>
      <c r="E154" s="81" t="s">
        <v>2447</v>
      </c>
      <c r="F154" s="1404"/>
      <c r="G154" s="1404"/>
      <c r="H154" s="1404"/>
      <c r="I154" s="1404"/>
      <c r="J154" s="1404"/>
      <c r="K154" s="1404"/>
      <c r="L154" s="1404"/>
      <c r="M154" s="1404"/>
      <c r="N154" s="1404"/>
      <c r="O154" s="1404"/>
      <c r="P154" s="1404"/>
      <c r="Q154" s="1404"/>
      <c r="R154" s="1404"/>
      <c r="S154" s="1404"/>
      <c r="T154" s="1404"/>
      <c r="U154" s="1404"/>
      <c r="V154" s="1404"/>
      <c r="W154" s="1404"/>
      <c r="X154" s="1404"/>
      <c r="Y154" s="1404"/>
      <c r="Z154" s="1404"/>
      <c r="AA154" s="1404"/>
      <c r="AB154" s="1404"/>
      <c r="AC154" s="1404"/>
      <c r="AD154" s="1404"/>
      <c r="AE154" s="1404"/>
      <c r="AF154" s="1404"/>
      <c r="AG154" s="1404"/>
      <c r="AH154" s="1404"/>
      <c r="AI154" s="1404"/>
      <c r="AJ154" s="1404"/>
      <c r="AK154" s="1404"/>
      <c r="AL154" s="1404"/>
      <c r="AM154" s="1404"/>
      <c r="AN154" s="1404"/>
      <c r="AO154" s="1404"/>
      <c r="AP154" s="1404"/>
      <c r="AQ154" s="1404"/>
      <c r="AR154" s="1404"/>
      <c r="AS154" s="1404"/>
      <c r="AT154" s="1404"/>
      <c r="AU154" s="1404"/>
      <c r="AV154" s="1404"/>
      <c r="AW154" s="1404"/>
      <c r="AX154" s="1404"/>
      <c r="AY154" s="1404"/>
      <c r="AZ154" s="1404"/>
      <c r="BA154" s="1404"/>
      <c r="BB154" s="1404"/>
      <c r="BC154" s="1404"/>
      <c r="BD154" s="1404"/>
      <c r="BE154" s="1404"/>
      <c r="BF154" s="1404"/>
      <c r="BG154" s="1404"/>
      <c r="BH154" s="1404"/>
      <c r="BI154" s="1404"/>
      <c r="BJ154" s="1404"/>
      <c r="BK154" s="1404"/>
      <c r="BL154" s="1404"/>
      <c r="BM154" s="1404"/>
      <c r="BN154" s="1404"/>
      <c r="BO154" s="1404"/>
      <c r="BP154" s="1404"/>
      <c r="BQ154" s="1404"/>
      <c r="BR154" s="1404"/>
      <c r="BS154" s="1404"/>
      <c r="BT154" s="1404"/>
      <c r="BU154" s="1404"/>
      <c r="BV154" s="1404"/>
      <c r="BW154" s="1404"/>
      <c r="BX154" s="1404"/>
      <c r="BY154" s="1404"/>
      <c r="BZ154" s="1404"/>
      <c r="CA154" s="1404"/>
      <c r="CB154" s="1404"/>
      <c r="CC154" s="1404"/>
      <c r="CD154" s="1404"/>
      <c r="CE154" s="1404"/>
      <c r="CF154" s="1404"/>
      <c r="CG154" s="1404"/>
      <c r="CH154" s="1404"/>
      <c r="CI154" s="1404"/>
      <c r="CJ154" s="1404"/>
      <c r="CK154" s="1404"/>
      <c r="CL154" s="1404"/>
      <c r="CM154" s="1404"/>
    </row>
    <row r="155" spans="1:91" ht="15" customHeight="1">
      <c r="D155" s="1997"/>
    </row>
    <row r="156" spans="1:91" ht="15" customHeight="1">
      <c r="B156" s="24"/>
      <c r="D156" s="1997"/>
      <c r="E156" s="24"/>
    </row>
    <row r="157" spans="1:91" ht="15" customHeight="1">
      <c r="D157" s="1997"/>
    </row>
    <row r="158" spans="1:91" ht="15" customHeight="1">
      <c r="D158" s="1997"/>
    </row>
    <row r="159" spans="1:91" ht="15" customHeight="1">
      <c r="D159" s="1997"/>
    </row>
    <row r="160" spans="1:91" ht="15" customHeight="1">
      <c r="D160" s="1997"/>
    </row>
    <row r="161" spans="3:4" ht="15" customHeight="1">
      <c r="D161" s="1997"/>
    </row>
    <row r="162" spans="3:4" ht="15" customHeight="1">
      <c r="D162" s="1997"/>
    </row>
    <row r="165" spans="3:4" ht="15" customHeight="1">
      <c r="C165" s="24" t="s">
        <v>1050</v>
      </c>
    </row>
  </sheetData>
  <sheetProtection password="C74A" sheet="1" objects="1" scenarios="1" formatCells="0" formatColumns="0" formatRow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72">
    <mergeCell ref="D1:E1"/>
    <mergeCell ref="A1:B1"/>
    <mergeCell ref="E122:E128"/>
    <mergeCell ref="E129:E135"/>
    <mergeCell ref="E136:E140"/>
    <mergeCell ref="E74:E80"/>
    <mergeCell ref="E81:E86"/>
    <mergeCell ref="E89:E92"/>
    <mergeCell ref="E95:E99"/>
    <mergeCell ref="E100:E104"/>
    <mergeCell ref="E42:E44"/>
    <mergeCell ref="E45:E50"/>
    <mergeCell ref="E51:E57"/>
    <mergeCell ref="E59:E66"/>
    <mergeCell ref="E67:E73"/>
    <mergeCell ref="E4:E10"/>
    <mergeCell ref="E141:E146"/>
    <mergeCell ref="E105:E109"/>
    <mergeCell ref="E110:E113"/>
    <mergeCell ref="E114:E117"/>
    <mergeCell ref="E118:E121"/>
    <mergeCell ref="E11:E17"/>
    <mergeCell ref="E18:E25"/>
    <mergeCell ref="E26:E33"/>
    <mergeCell ref="E36:E41"/>
    <mergeCell ref="B11:B17"/>
    <mergeCell ref="A4:A10"/>
    <mergeCell ref="A11:A17"/>
    <mergeCell ref="B67:B73"/>
    <mergeCell ref="A59:A66"/>
    <mergeCell ref="B59:B66"/>
    <mergeCell ref="A67:A73"/>
    <mergeCell ref="B51:B57"/>
    <mergeCell ref="B36:B41"/>
    <mergeCell ref="A51:A57"/>
    <mergeCell ref="A26:A33"/>
    <mergeCell ref="A36:A41"/>
    <mergeCell ref="A42:A44"/>
    <mergeCell ref="B45:B50"/>
    <mergeCell ref="A45:A50"/>
    <mergeCell ref="B141:B146"/>
    <mergeCell ref="A118:A121"/>
    <mergeCell ref="B122:B128"/>
    <mergeCell ref="A136:A140"/>
    <mergeCell ref="B26:B33"/>
    <mergeCell ref="B42:B44"/>
    <mergeCell ref="A74:A80"/>
    <mergeCell ref="B136:B140"/>
    <mergeCell ref="B74:B80"/>
    <mergeCell ref="A81:A86"/>
    <mergeCell ref="B81:B86"/>
    <mergeCell ref="B89:B92"/>
    <mergeCell ref="A89:A92"/>
    <mergeCell ref="A122:A128"/>
    <mergeCell ref="B105:B109"/>
    <mergeCell ref="A141:A146"/>
    <mergeCell ref="A2:C2"/>
    <mergeCell ref="A18:A25"/>
    <mergeCell ref="B18:B25"/>
    <mergeCell ref="B129:B135"/>
    <mergeCell ref="A129:A135"/>
    <mergeCell ref="B95:B99"/>
    <mergeCell ref="A95:A99"/>
    <mergeCell ref="A100:A104"/>
    <mergeCell ref="B100:B104"/>
    <mergeCell ref="A105:A109"/>
    <mergeCell ref="A110:A113"/>
    <mergeCell ref="B114:B117"/>
    <mergeCell ref="B118:B121"/>
    <mergeCell ref="A114:A117"/>
    <mergeCell ref="B110:B113"/>
    <mergeCell ref="B4:B10"/>
  </mergeCells>
  <phoneticPr fontId="2" type="noConversion"/>
  <conditionalFormatting sqref="C123:C128 C52:C57 C46:C50 C12:C17 C75:C80 C68:C73 C19:C25 C5:C10">
    <cfRule type="cellIs" dxfId="4" priority="17" stopIfTrue="1" operator="equal">
      <formula>1</formula>
    </cfRule>
  </conditionalFormatting>
  <conditionalFormatting sqref="D155:D159">
    <cfRule type="cellIs" dxfId="3" priority="1" operator="greaterThan">
      <formula>0</formula>
    </cfRule>
  </conditionalFormatting>
  <dataValidations count="1">
    <dataValidation type="whole" allowBlank="1" showInputMessage="1" showErrorMessage="1" sqref="D93 D153:D154 D130:D134 D86:D87">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25" max="4" man="1"/>
    <brk id="80" max="4" man="1"/>
    <brk id="94" max="4" man="1"/>
  </rowBreaks>
</worksheet>
</file>

<file path=xl/worksheets/sheet3.xml><?xml version="1.0" encoding="utf-8"?>
<worksheet xmlns="http://schemas.openxmlformats.org/spreadsheetml/2006/main" xmlns:r="http://schemas.openxmlformats.org/officeDocument/2006/relationships">
  <sheetPr codeName="Sheet2" enableFormatConditionsCalculation="0">
    <tabColor rgb="FF93CDDD"/>
  </sheetPr>
  <dimension ref="A1:DP2188"/>
  <sheetViews>
    <sheetView zoomScaleNormal="100" workbookViewId="0">
      <selection sqref="A1:B1"/>
    </sheetView>
  </sheetViews>
  <sheetFormatPr defaultColWidth="9.33203125" defaultRowHeight="13.8"/>
  <cols>
    <col min="1" max="1" width="5.77734375" style="1055" customWidth="1"/>
    <col min="2" max="2" width="18.77734375" style="1082" customWidth="1"/>
    <col min="3" max="3" width="107.77734375" style="351" customWidth="1"/>
    <col min="4" max="4" width="7.77734375" style="119" customWidth="1"/>
    <col min="5" max="5" width="65.77734375" style="70" customWidth="1"/>
    <col min="6" max="6" width="9.33203125" style="70"/>
    <col min="7" max="16384" width="9.33203125" style="119"/>
  </cols>
  <sheetData>
    <row r="1" spans="1:6" s="1527" customFormat="1" ht="27" customHeight="1" thickBot="1">
      <c r="A1" s="2216" t="s">
        <v>2129</v>
      </c>
      <c r="B1" s="2217"/>
      <c r="C1" s="2085" t="s">
        <v>2613</v>
      </c>
      <c r="D1" s="2214" t="s">
        <v>2614</v>
      </c>
      <c r="E1" s="2215"/>
      <c r="F1" s="1526"/>
    </row>
    <row r="2" spans="1:6" s="1496" customFormat="1" ht="148.19999999999999" customHeight="1" thickBot="1">
      <c r="A2" s="2170" t="s">
        <v>2945</v>
      </c>
      <c r="B2" s="2171"/>
      <c r="C2" s="2172"/>
      <c r="D2" s="2016"/>
      <c r="E2" s="1523"/>
      <c r="F2" s="1495"/>
    </row>
    <row r="3" spans="1:6" s="1935" customFormat="1" ht="36" customHeight="1" thickBot="1">
      <c r="A3" s="1933" t="s">
        <v>168</v>
      </c>
      <c r="B3" s="1934" t="s">
        <v>1117</v>
      </c>
      <c r="C3" s="1934" t="s">
        <v>1354</v>
      </c>
      <c r="D3" s="2017" t="s">
        <v>64</v>
      </c>
      <c r="E3" s="1934" t="s">
        <v>2390</v>
      </c>
    </row>
    <row r="4" spans="1:6" ht="21" customHeight="1" thickBot="1">
      <c r="A4" s="2174" t="s">
        <v>589</v>
      </c>
      <c r="B4" s="2176" t="s">
        <v>610</v>
      </c>
      <c r="C4" s="439" t="s">
        <v>1445</v>
      </c>
      <c r="D4" s="2031"/>
      <c r="E4" s="2204" t="s">
        <v>2457</v>
      </c>
      <c r="F4" s="119"/>
    </row>
    <row r="5" spans="1:6" ht="42" customHeight="1">
      <c r="A5" s="2173"/>
      <c r="B5" s="2177"/>
      <c r="C5" s="1503" t="s">
        <v>2372</v>
      </c>
      <c r="D5" s="2032">
        <v>0</v>
      </c>
      <c r="E5" s="2205"/>
      <c r="F5" s="119"/>
    </row>
    <row r="6" spans="1:6" ht="42" customHeight="1">
      <c r="A6" s="2173"/>
      <c r="B6" s="2177"/>
      <c r="C6" s="1952" t="s">
        <v>2960</v>
      </c>
      <c r="D6" s="2032">
        <v>0</v>
      </c>
      <c r="E6" s="2205"/>
      <c r="F6" s="119"/>
    </row>
    <row r="7" spans="1:6" ht="46.2" customHeight="1">
      <c r="A7" s="2173"/>
      <c r="B7" s="2177"/>
      <c r="C7" s="1952" t="s">
        <v>2961</v>
      </c>
      <c r="D7" s="2032">
        <v>0</v>
      </c>
      <c r="E7" s="2205"/>
      <c r="F7" s="119"/>
    </row>
    <row r="8" spans="1:6" ht="42" thickBot="1">
      <c r="A8" s="2175"/>
      <c r="B8" s="2178"/>
      <c r="C8" s="1184" t="s">
        <v>2962</v>
      </c>
      <c r="D8" s="2033">
        <v>0</v>
      </c>
      <c r="E8" s="2206"/>
      <c r="F8" s="119"/>
    </row>
    <row r="9" spans="1:6" ht="45" customHeight="1" thickBot="1">
      <c r="A9" s="2151" t="s">
        <v>126</v>
      </c>
      <c r="B9" s="2179" t="s">
        <v>1423</v>
      </c>
      <c r="C9" s="448" t="s">
        <v>2110</v>
      </c>
      <c r="D9" s="2034"/>
      <c r="E9" s="2146" t="s">
        <v>2827</v>
      </c>
      <c r="F9" s="119"/>
    </row>
    <row r="10" spans="1:6" ht="15" customHeight="1">
      <c r="A10" s="2173"/>
      <c r="B10" s="2177"/>
      <c r="C10" s="1503" t="s">
        <v>1424</v>
      </c>
      <c r="D10" s="2032">
        <v>0</v>
      </c>
      <c r="E10" s="2205"/>
      <c r="F10" s="119"/>
    </row>
    <row r="11" spans="1:6" ht="15" customHeight="1">
      <c r="A11" s="2173"/>
      <c r="B11" s="2177"/>
      <c r="C11" s="1454" t="s">
        <v>2506</v>
      </c>
      <c r="D11" s="2032">
        <v>0</v>
      </c>
      <c r="E11" s="2205"/>
      <c r="F11" s="119"/>
    </row>
    <row r="12" spans="1:6" ht="15" customHeight="1">
      <c r="A12" s="2173"/>
      <c r="B12" s="2177"/>
      <c r="C12" s="1454" t="s">
        <v>1422</v>
      </c>
      <c r="D12" s="2032">
        <v>0</v>
      </c>
      <c r="E12" s="2205"/>
      <c r="F12" s="119"/>
    </row>
    <row r="13" spans="1:6" ht="15" customHeight="1" thickBot="1">
      <c r="A13" s="2173"/>
      <c r="B13" s="2177"/>
      <c r="C13" s="1470" t="s">
        <v>1421</v>
      </c>
      <c r="D13" s="2035">
        <v>0</v>
      </c>
      <c r="E13" s="2205"/>
      <c r="F13" s="119"/>
    </row>
    <row r="14" spans="1:6" ht="30" customHeight="1" thickBot="1">
      <c r="A14" s="2189" t="s">
        <v>127</v>
      </c>
      <c r="B14" s="2192" t="s">
        <v>1611</v>
      </c>
      <c r="C14" s="436" t="s">
        <v>2871</v>
      </c>
      <c r="D14" s="2031"/>
      <c r="E14" s="2207" t="s">
        <v>2924</v>
      </c>
      <c r="F14" s="119"/>
    </row>
    <row r="15" spans="1:6" ht="15" customHeight="1">
      <c r="A15" s="2190"/>
      <c r="B15" s="2177"/>
      <c r="C15" s="1494" t="s">
        <v>2508</v>
      </c>
      <c r="D15" s="2032">
        <v>0</v>
      </c>
      <c r="E15" s="2205"/>
      <c r="F15" s="119"/>
    </row>
    <row r="16" spans="1:6" ht="15" customHeight="1">
      <c r="A16" s="2190"/>
      <c r="B16" s="2177"/>
      <c r="C16" s="1073" t="s">
        <v>2509</v>
      </c>
      <c r="D16" s="2032">
        <v>0</v>
      </c>
      <c r="E16" s="2205"/>
      <c r="F16" s="119"/>
    </row>
    <row r="17" spans="1:6" ht="15" customHeight="1">
      <c r="A17" s="2190"/>
      <c r="B17" s="2177"/>
      <c r="C17" s="1073" t="s">
        <v>2510</v>
      </c>
      <c r="D17" s="2032">
        <v>0</v>
      </c>
      <c r="E17" s="2205"/>
      <c r="F17" s="119"/>
    </row>
    <row r="18" spans="1:6" ht="15" customHeight="1">
      <c r="A18" s="2190"/>
      <c r="B18" s="2177"/>
      <c r="C18" s="1073" t="s">
        <v>2511</v>
      </c>
      <c r="D18" s="2032">
        <v>0</v>
      </c>
      <c r="E18" s="2205"/>
      <c r="F18" s="119"/>
    </row>
    <row r="19" spans="1:6" ht="15" customHeight="1">
      <c r="A19" s="2190"/>
      <c r="B19" s="2177"/>
      <c r="C19" s="1073" t="s">
        <v>2512</v>
      </c>
      <c r="D19" s="2032">
        <v>0</v>
      </c>
      <c r="E19" s="2205"/>
      <c r="F19" s="119"/>
    </row>
    <row r="20" spans="1:6" ht="15" customHeight="1" thickBot="1">
      <c r="A20" s="2191"/>
      <c r="B20" s="2178"/>
      <c r="C20" s="1169" t="s">
        <v>2513</v>
      </c>
      <c r="D20" s="2033">
        <v>0</v>
      </c>
      <c r="E20" s="2206"/>
      <c r="F20" s="119"/>
    </row>
    <row r="21" spans="1:6" ht="30" customHeight="1" thickBot="1">
      <c r="A21" s="2180" t="s">
        <v>538</v>
      </c>
      <c r="B21" s="2188" t="s">
        <v>576</v>
      </c>
      <c r="C21" s="448" t="s">
        <v>2212</v>
      </c>
      <c r="D21" s="2034"/>
      <c r="E21" s="2208" t="s">
        <v>2925</v>
      </c>
      <c r="F21" s="1518"/>
    </row>
    <row r="22" spans="1:6" ht="15" customHeight="1">
      <c r="A22" s="2180"/>
      <c r="B22" s="2177"/>
      <c r="C22" s="1503" t="s">
        <v>2514</v>
      </c>
      <c r="D22" s="2036">
        <v>0</v>
      </c>
      <c r="E22" s="2205"/>
      <c r="F22" s="119"/>
    </row>
    <row r="23" spans="1:6" ht="15" customHeight="1">
      <c r="A23" s="2180"/>
      <c r="B23" s="2177"/>
      <c r="C23" s="1454" t="s">
        <v>2515</v>
      </c>
      <c r="D23" s="2036">
        <v>0</v>
      </c>
      <c r="E23" s="2205"/>
      <c r="F23" s="119"/>
    </row>
    <row r="24" spans="1:6" ht="15" customHeight="1">
      <c r="A24" s="2180"/>
      <c r="B24" s="2177"/>
      <c r="C24" s="1454" t="s">
        <v>2516</v>
      </c>
      <c r="D24" s="2036">
        <v>0</v>
      </c>
      <c r="E24" s="2205"/>
      <c r="F24" s="119"/>
    </row>
    <row r="25" spans="1:6" ht="15" customHeight="1">
      <c r="A25" s="2180"/>
      <c r="B25" s="2177"/>
      <c r="C25" s="1454" t="s">
        <v>2517</v>
      </c>
      <c r="D25" s="2036">
        <v>0</v>
      </c>
      <c r="E25" s="2205"/>
      <c r="F25" s="119"/>
    </row>
    <row r="26" spans="1:6" ht="15" customHeight="1">
      <c r="A26" s="2180"/>
      <c r="B26" s="2177"/>
      <c r="C26" s="1454" t="s">
        <v>2518</v>
      </c>
      <c r="D26" s="2036">
        <v>0</v>
      </c>
      <c r="E26" s="2205"/>
      <c r="F26" s="119"/>
    </row>
    <row r="27" spans="1:6" ht="15" customHeight="1">
      <c r="A27" s="2180"/>
      <c r="B27" s="2177"/>
      <c r="C27" s="1454" t="s">
        <v>2519</v>
      </c>
      <c r="D27" s="2036">
        <v>0</v>
      </c>
      <c r="E27" s="2205"/>
      <c r="F27" s="119"/>
    </row>
    <row r="28" spans="1:6" ht="15" customHeight="1">
      <c r="A28" s="2180"/>
      <c r="B28" s="2177"/>
      <c r="C28" s="1454" t="s">
        <v>2520</v>
      </c>
      <c r="D28" s="2036">
        <v>0</v>
      </c>
      <c r="E28" s="2205"/>
      <c r="F28" s="119"/>
    </row>
    <row r="29" spans="1:6" ht="15" customHeight="1" thickBot="1">
      <c r="A29" s="2180"/>
      <c r="B29" s="2177"/>
      <c r="C29" s="1470" t="s">
        <v>2521</v>
      </c>
      <c r="D29" s="2037">
        <v>0</v>
      </c>
      <c r="E29" s="2205"/>
      <c r="F29" s="1518"/>
    </row>
    <row r="30" spans="1:6" ht="21" customHeight="1" thickBot="1">
      <c r="A30" s="2181" t="s">
        <v>590</v>
      </c>
      <c r="B30" s="2185" t="s">
        <v>1425</v>
      </c>
      <c r="C30" s="439" t="s">
        <v>1777</v>
      </c>
      <c r="D30" s="2031"/>
      <c r="E30" s="2209" t="s">
        <v>2828</v>
      </c>
      <c r="F30" s="119"/>
    </row>
    <row r="31" spans="1:6" ht="27" customHeight="1">
      <c r="A31" s="2180"/>
      <c r="B31" s="2188"/>
      <c r="C31" s="1503" t="s">
        <v>2374</v>
      </c>
      <c r="D31" s="2038">
        <v>0</v>
      </c>
      <c r="E31" s="2208"/>
      <c r="F31" s="119"/>
    </row>
    <row r="32" spans="1:6" ht="42" customHeight="1">
      <c r="A32" s="2180"/>
      <c r="B32" s="2188"/>
      <c r="C32" s="1454" t="s">
        <v>2375</v>
      </c>
      <c r="D32" s="2036">
        <v>0</v>
      </c>
      <c r="E32" s="2208"/>
      <c r="F32" s="119"/>
    </row>
    <row r="33" spans="1:6" ht="27" customHeight="1">
      <c r="A33" s="2180"/>
      <c r="B33" s="2188"/>
      <c r="C33" s="1454" t="s">
        <v>2376</v>
      </c>
      <c r="D33" s="2036">
        <v>0</v>
      </c>
      <c r="E33" s="2208"/>
      <c r="F33" s="119"/>
    </row>
    <row r="34" spans="1:6" ht="42" thickBot="1">
      <c r="A34" s="2187"/>
      <c r="B34" s="2200"/>
      <c r="C34" s="1184" t="s">
        <v>2377</v>
      </c>
      <c r="D34" s="2039">
        <v>0</v>
      </c>
      <c r="E34" s="2210"/>
      <c r="F34" s="119"/>
    </row>
    <row r="35" spans="1:6" ht="21" customHeight="1" thickBot="1">
      <c r="A35" s="2183" t="s">
        <v>539</v>
      </c>
      <c r="B35" s="2188" t="s">
        <v>1426</v>
      </c>
      <c r="C35" s="448" t="s">
        <v>1706</v>
      </c>
      <c r="D35" s="2034"/>
      <c r="E35" s="2208" t="s">
        <v>2458</v>
      </c>
      <c r="F35" s="1518"/>
    </row>
    <row r="36" spans="1:6" ht="15" customHeight="1">
      <c r="A36" s="2183"/>
      <c r="B36" s="2177"/>
      <c r="C36" s="1503" t="s">
        <v>2522</v>
      </c>
      <c r="D36" s="2036">
        <v>0</v>
      </c>
      <c r="E36" s="2205"/>
      <c r="F36" s="119"/>
    </row>
    <row r="37" spans="1:6" ht="15" customHeight="1">
      <c r="A37" s="2183"/>
      <c r="B37" s="2177"/>
      <c r="C37" s="1454" t="s">
        <v>1704</v>
      </c>
      <c r="D37" s="2036">
        <v>0</v>
      </c>
      <c r="E37" s="2205"/>
      <c r="F37" s="119"/>
    </row>
    <row r="38" spans="1:6" ht="15" customHeight="1" thickBot="1">
      <c r="A38" s="2183"/>
      <c r="B38" s="2177"/>
      <c r="C38" s="1470" t="s">
        <v>1705</v>
      </c>
      <c r="D38" s="2037">
        <v>0</v>
      </c>
      <c r="E38" s="2205"/>
      <c r="F38" s="119"/>
    </row>
    <row r="39" spans="1:6" ht="21" customHeight="1" thickBot="1">
      <c r="A39" s="2181" t="s">
        <v>597</v>
      </c>
      <c r="B39" s="2185" t="s">
        <v>362</v>
      </c>
      <c r="C39" s="439" t="s">
        <v>1447</v>
      </c>
      <c r="D39" s="2031"/>
      <c r="E39" s="2209" t="s">
        <v>2459</v>
      </c>
      <c r="F39" s="1518"/>
    </row>
    <row r="40" spans="1:6" ht="15" customHeight="1">
      <c r="A40" s="2180"/>
      <c r="B40" s="2177"/>
      <c r="C40" s="1504" t="s">
        <v>1448</v>
      </c>
      <c r="D40" s="2036">
        <v>0</v>
      </c>
      <c r="E40" s="2205"/>
      <c r="F40" s="119"/>
    </row>
    <row r="41" spans="1:6" ht="15" customHeight="1" thickBot="1">
      <c r="A41" s="2187"/>
      <c r="B41" s="2178"/>
      <c r="C41" s="1184" t="s">
        <v>1446</v>
      </c>
      <c r="D41" s="2039">
        <v>0</v>
      </c>
      <c r="E41" s="2206"/>
      <c r="F41" s="1518"/>
    </row>
    <row r="42" spans="1:6" ht="21" customHeight="1" thickBot="1">
      <c r="A42" s="2199" t="s">
        <v>8</v>
      </c>
      <c r="B42" s="2188" t="s">
        <v>1999</v>
      </c>
      <c r="C42" s="448" t="s">
        <v>1778</v>
      </c>
      <c r="D42" s="2034"/>
      <c r="E42" s="2208" t="s">
        <v>2829</v>
      </c>
      <c r="F42" s="119"/>
    </row>
    <row r="43" spans="1:6" ht="15" customHeight="1">
      <c r="A43" s="2199"/>
      <c r="B43" s="2177"/>
      <c r="C43" s="1503" t="s">
        <v>128</v>
      </c>
      <c r="D43" s="2036">
        <v>0</v>
      </c>
      <c r="E43" s="2205"/>
      <c r="F43" s="119"/>
    </row>
    <row r="44" spans="1:6" ht="15" customHeight="1" thickBot="1">
      <c r="A44" s="2199"/>
      <c r="B44" s="2177"/>
      <c r="C44" s="1470" t="s">
        <v>129</v>
      </c>
      <c r="D44" s="2037">
        <v>0</v>
      </c>
      <c r="E44" s="2205"/>
      <c r="F44" s="1518"/>
    </row>
    <row r="45" spans="1:6" ht="21" customHeight="1" thickBot="1">
      <c r="A45" s="2182" t="s">
        <v>9</v>
      </c>
      <c r="B45" s="2185" t="s">
        <v>42</v>
      </c>
      <c r="C45" s="439" t="s">
        <v>2213</v>
      </c>
      <c r="D45" s="2031"/>
      <c r="E45" s="2209" t="s">
        <v>2460</v>
      </c>
      <c r="F45" s="119"/>
    </row>
    <row r="46" spans="1:6" ht="15" customHeight="1">
      <c r="A46" s="2183"/>
      <c r="B46" s="2177"/>
      <c r="C46" s="1503" t="s">
        <v>5</v>
      </c>
      <c r="D46" s="2036">
        <v>0</v>
      </c>
      <c r="E46" s="2205"/>
      <c r="F46" s="119"/>
    </row>
    <row r="47" spans="1:6" ht="15" customHeight="1">
      <c r="A47" s="2183"/>
      <c r="B47" s="2177"/>
      <c r="C47" s="1454" t="s">
        <v>1297</v>
      </c>
      <c r="D47" s="2036">
        <v>0</v>
      </c>
      <c r="E47" s="2205"/>
      <c r="F47" s="119"/>
    </row>
    <row r="48" spans="1:6" ht="15" customHeight="1">
      <c r="A48" s="2183"/>
      <c r="B48" s="2177"/>
      <c r="C48" s="1454" t="s">
        <v>1298</v>
      </c>
      <c r="D48" s="2036">
        <v>0</v>
      </c>
      <c r="E48" s="2205"/>
      <c r="F48" s="119"/>
    </row>
    <row r="49" spans="1:6" ht="15" customHeight="1">
      <c r="A49" s="2183"/>
      <c r="B49" s="2177"/>
      <c r="C49" s="1454" t="s">
        <v>1299</v>
      </c>
      <c r="D49" s="2036">
        <v>0</v>
      </c>
      <c r="E49" s="2205"/>
      <c r="F49" s="119"/>
    </row>
    <row r="50" spans="1:6" ht="15" customHeight="1" thickBot="1">
      <c r="A50" s="2184"/>
      <c r="B50" s="2178"/>
      <c r="C50" s="1184" t="s">
        <v>1300</v>
      </c>
      <c r="D50" s="2039">
        <v>0</v>
      </c>
      <c r="E50" s="2206"/>
      <c r="F50" s="119"/>
    </row>
    <row r="51" spans="1:6" ht="21" customHeight="1" thickBot="1">
      <c r="A51" s="2183" t="s">
        <v>70</v>
      </c>
      <c r="B51" s="2188" t="s">
        <v>2381</v>
      </c>
      <c r="C51" s="448" t="s">
        <v>1449</v>
      </c>
      <c r="D51" s="2034"/>
      <c r="E51" s="2208" t="s">
        <v>2461</v>
      </c>
      <c r="F51" s="1518"/>
    </row>
    <row r="52" spans="1:6" ht="15" customHeight="1">
      <c r="A52" s="2183"/>
      <c r="B52" s="2177"/>
      <c r="C52" s="1503" t="s">
        <v>1450</v>
      </c>
      <c r="D52" s="2036">
        <v>0</v>
      </c>
      <c r="E52" s="2205"/>
      <c r="F52" s="119"/>
    </row>
    <row r="53" spans="1:6" ht="15" customHeight="1">
      <c r="A53" s="2183"/>
      <c r="B53" s="2177"/>
      <c r="C53" s="1454" t="s">
        <v>2523</v>
      </c>
      <c r="D53" s="2036">
        <v>0</v>
      </c>
      <c r="E53" s="2205"/>
      <c r="F53" s="119"/>
    </row>
    <row r="54" spans="1:6" ht="15" customHeight="1">
      <c r="A54" s="2183"/>
      <c r="B54" s="2177"/>
      <c r="C54" s="1454" t="s">
        <v>2524</v>
      </c>
      <c r="D54" s="2036">
        <v>0</v>
      </c>
      <c r="E54" s="2205"/>
      <c r="F54" s="119"/>
    </row>
    <row r="55" spans="1:6" ht="15" customHeight="1">
      <c r="A55" s="2183"/>
      <c r="B55" s="2177"/>
      <c r="C55" s="1454" t="s">
        <v>2525</v>
      </c>
      <c r="D55" s="2036">
        <v>0</v>
      </c>
      <c r="E55" s="2205"/>
      <c r="F55" s="119"/>
    </row>
    <row r="56" spans="1:6" ht="15" customHeight="1" thickBot="1">
      <c r="A56" s="2183"/>
      <c r="B56" s="2177"/>
      <c r="C56" s="1470" t="s">
        <v>2526</v>
      </c>
      <c r="D56" s="2037">
        <v>0</v>
      </c>
      <c r="E56" s="2205"/>
      <c r="F56" s="119"/>
    </row>
    <row r="57" spans="1:6" ht="30" customHeight="1" thickBot="1">
      <c r="A57" s="2182" t="s">
        <v>577</v>
      </c>
      <c r="B57" s="2185" t="s">
        <v>1451</v>
      </c>
      <c r="C57" s="439" t="s">
        <v>1779</v>
      </c>
      <c r="D57" s="2031"/>
      <c r="E57" s="2209" t="s">
        <v>2830</v>
      </c>
      <c r="F57" s="1518"/>
    </row>
    <row r="58" spans="1:6" ht="27" customHeight="1">
      <c r="A58" s="2183"/>
      <c r="B58" s="2177"/>
      <c r="C58" s="1503" t="s">
        <v>1452</v>
      </c>
      <c r="D58" s="2036">
        <v>0</v>
      </c>
      <c r="E58" s="2205"/>
      <c r="F58" s="119"/>
    </row>
    <row r="59" spans="1:6" ht="15" customHeight="1">
      <c r="A59" s="2183"/>
      <c r="B59" s="2177"/>
      <c r="C59" s="1454" t="s">
        <v>1360</v>
      </c>
      <c r="D59" s="2036">
        <v>0</v>
      </c>
      <c r="E59" s="2205"/>
      <c r="F59" s="119"/>
    </row>
    <row r="60" spans="1:6" ht="15" customHeight="1">
      <c r="A60" s="2183"/>
      <c r="B60" s="2177"/>
      <c r="C60" s="1454" t="s">
        <v>1361</v>
      </c>
      <c r="D60" s="2036">
        <v>0</v>
      </c>
      <c r="E60" s="2205"/>
      <c r="F60" s="119"/>
    </row>
    <row r="61" spans="1:6" ht="15" customHeight="1">
      <c r="A61" s="2183"/>
      <c r="B61" s="2177"/>
      <c r="C61" s="1454" t="s">
        <v>2527</v>
      </c>
      <c r="D61" s="2036">
        <v>0</v>
      </c>
      <c r="E61" s="2205"/>
      <c r="F61" s="119"/>
    </row>
    <row r="62" spans="1:6" ht="15" customHeight="1" thickBot="1">
      <c r="A62" s="2184"/>
      <c r="B62" s="2178"/>
      <c r="C62" s="1184" t="s">
        <v>1780</v>
      </c>
      <c r="D62" s="2033">
        <v>0</v>
      </c>
      <c r="E62" s="2206"/>
      <c r="F62" s="119"/>
    </row>
    <row r="63" spans="1:6" ht="45" customHeight="1" thickBot="1">
      <c r="A63" s="2183" t="s">
        <v>73</v>
      </c>
      <c r="B63" s="2188" t="s">
        <v>1453</v>
      </c>
      <c r="C63" s="448" t="s">
        <v>1781</v>
      </c>
      <c r="D63" s="2034"/>
      <c r="E63" s="2208" t="s">
        <v>2462</v>
      </c>
      <c r="F63" s="1518"/>
    </row>
    <row r="64" spans="1:6" ht="15" customHeight="1">
      <c r="A64" s="2183"/>
      <c r="B64" s="2177"/>
      <c r="C64" s="1503" t="s">
        <v>2528</v>
      </c>
      <c r="D64" s="2036">
        <v>0</v>
      </c>
      <c r="E64" s="2205"/>
      <c r="F64" s="119"/>
    </row>
    <row r="65" spans="1:6" ht="15" customHeight="1">
      <c r="A65" s="2183"/>
      <c r="B65" s="2177"/>
      <c r="C65" s="1454" t="s">
        <v>2529</v>
      </c>
      <c r="D65" s="2036">
        <v>0</v>
      </c>
      <c r="E65" s="2205"/>
      <c r="F65" s="119"/>
    </row>
    <row r="66" spans="1:6" ht="15" customHeight="1" thickBot="1">
      <c r="A66" s="2183"/>
      <c r="B66" s="2177"/>
      <c r="C66" s="1470" t="s">
        <v>2530</v>
      </c>
      <c r="D66" s="2037">
        <v>0</v>
      </c>
      <c r="E66" s="2205"/>
      <c r="F66" s="119"/>
    </row>
    <row r="67" spans="1:6" ht="21" customHeight="1" thickBot="1">
      <c r="A67" s="2182" t="s">
        <v>578</v>
      </c>
      <c r="B67" s="2185" t="s">
        <v>109</v>
      </c>
      <c r="C67" s="439" t="s">
        <v>1454</v>
      </c>
      <c r="D67" s="2031"/>
      <c r="E67" s="2209" t="s">
        <v>2463</v>
      </c>
      <c r="F67" s="1518"/>
    </row>
    <row r="68" spans="1:6" ht="15" customHeight="1">
      <c r="A68" s="2183"/>
      <c r="B68" s="2177"/>
      <c r="C68" s="1503" t="s">
        <v>2531</v>
      </c>
      <c r="D68" s="2036">
        <v>0</v>
      </c>
      <c r="E68" s="2205"/>
      <c r="F68" s="119"/>
    </row>
    <row r="69" spans="1:6" ht="15" customHeight="1">
      <c r="A69" s="2183"/>
      <c r="B69" s="2177"/>
      <c r="C69" s="1454" t="s">
        <v>1288</v>
      </c>
      <c r="D69" s="2036">
        <v>0</v>
      </c>
      <c r="E69" s="2205"/>
      <c r="F69" s="119"/>
    </row>
    <row r="70" spans="1:6" ht="15" customHeight="1" thickBot="1">
      <c r="A70" s="2184"/>
      <c r="B70" s="2178"/>
      <c r="C70" s="1184" t="s">
        <v>1289</v>
      </c>
      <c r="D70" s="2039">
        <v>0</v>
      </c>
      <c r="E70" s="2206"/>
      <c r="F70" s="119"/>
    </row>
    <row r="71" spans="1:6" ht="30" customHeight="1" thickBot="1">
      <c r="A71" s="2201" t="s">
        <v>579</v>
      </c>
      <c r="B71" s="2193" t="s">
        <v>1089</v>
      </c>
      <c r="C71" s="448" t="s">
        <v>2946</v>
      </c>
      <c r="D71" s="2034"/>
      <c r="E71" s="2211" t="s">
        <v>2464</v>
      </c>
      <c r="F71" s="1518"/>
    </row>
    <row r="72" spans="1:6" ht="15" customHeight="1">
      <c r="A72" s="2201"/>
      <c r="B72" s="2177"/>
      <c r="C72" s="1503" t="s">
        <v>2532</v>
      </c>
      <c r="D72" s="2032">
        <v>0</v>
      </c>
      <c r="E72" s="2205"/>
      <c r="F72" s="119"/>
    </row>
    <row r="73" spans="1:6" ht="15" customHeight="1">
      <c r="A73" s="2201"/>
      <c r="B73" s="2177"/>
      <c r="C73" s="1948" t="s">
        <v>2934</v>
      </c>
      <c r="D73" s="2032">
        <v>0</v>
      </c>
      <c r="E73" s="2205"/>
      <c r="F73" s="119"/>
    </row>
    <row r="74" spans="1:6" ht="15" customHeight="1">
      <c r="A74" s="2201"/>
      <c r="B74" s="2177"/>
      <c r="C74" s="1454" t="s">
        <v>1455</v>
      </c>
      <c r="D74" s="2032">
        <v>0</v>
      </c>
      <c r="E74" s="2205"/>
      <c r="F74" s="119"/>
    </row>
    <row r="75" spans="1:6" ht="15" customHeight="1">
      <c r="A75" s="2201"/>
      <c r="B75" s="2177"/>
      <c r="C75" s="1948" t="s">
        <v>2933</v>
      </c>
      <c r="D75" s="2032">
        <v>0</v>
      </c>
      <c r="E75" s="2205"/>
      <c r="F75" s="119"/>
    </row>
    <row r="76" spans="1:6" ht="15" customHeight="1" thickBot="1">
      <c r="A76" s="2201"/>
      <c r="B76" s="2177"/>
      <c r="C76" s="1470" t="s">
        <v>1263</v>
      </c>
      <c r="D76" s="2035">
        <v>0</v>
      </c>
      <c r="E76" s="2205"/>
      <c r="F76" s="119"/>
    </row>
    <row r="77" spans="1:6" ht="30" customHeight="1" thickBot="1">
      <c r="A77" s="2182" t="s">
        <v>387</v>
      </c>
      <c r="B77" s="2185" t="s">
        <v>1456</v>
      </c>
      <c r="C77" s="439" t="s">
        <v>2533</v>
      </c>
      <c r="D77" s="2031"/>
      <c r="E77" s="2209" t="s">
        <v>2465</v>
      </c>
      <c r="F77" s="119"/>
    </row>
    <row r="78" spans="1:6" ht="15" customHeight="1">
      <c r="A78" s="2183"/>
      <c r="B78" s="2177"/>
      <c r="C78" s="1503" t="s">
        <v>2534</v>
      </c>
      <c r="D78" s="2040">
        <v>0</v>
      </c>
      <c r="E78" s="2205"/>
      <c r="F78" s="1518"/>
    </row>
    <row r="79" spans="1:6" ht="15" customHeight="1">
      <c r="A79" s="2183"/>
      <c r="B79" s="2177"/>
      <c r="C79" s="1454" t="s">
        <v>2535</v>
      </c>
      <c r="D79" s="2040">
        <v>0</v>
      </c>
      <c r="E79" s="2205"/>
      <c r="F79" s="119"/>
    </row>
    <row r="80" spans="1:6" ht="15" customHeight="1">
      <c r="A80" s="2183"/>
      <c r="B80" s="2177"/>
      <c r="C80" s="1454" t="s">
        <v>2536</v>
      </c>
      <c r="D80" s="2040">
        <v>0</v>
      </c>
      <c r="E80" s="2205"/>
      <c r="F80" s="119"/>
    </row>
    <row r="81" spans="1:6" ht="15" customHeight="1" thickBot="1">
      <c r="A81" s="2184"/>
      <c r="B81" s="2178"/>
      <c r="C81" s="1184" t="s">
        <v>2537</v>
      </c>
      <c r="D81" s="2041">
        <v>0</v>
      </c>
      <c r="E81" s="2206"/>
      <c r="F81" s="119"/>
    </row>
    <row r="82" spans="1:6" ht="21" customHeight="1" thickBot="1">
      <c r="A82" s="2183" t="s">
        <v>580</v>
      </c>
      <c r="B82" s="2188" t="s">
        <v>1457</v>
      </c>
      <c r="C82" s="1510" t="s">
        <v>1606</v>
      </c>
      <c r="D82" s="2034"/>
      <c r="E82" s="2208" t="s">
        <v>2831</v>
      </c>
      <c r="F82" s="119"/>
    </row>
    <row r="83" spans="1:6" ht="15" customHeight="1">
      <c r="A83" s="2183"/>
      <c r="B83" s="2177"/>
      <c r="C83" s="1503" t="s">
        <v>2214</v>
      </c>
      <c r="D83" s="2036">
        <v>0</v>
      </c>
      <c r="E83" s="2205"/>
      <c r="F83" s="1518"/>
    </row>
    <row r="84" spans="1:6" ht="15" customHeight="1">
      <c r="A84" s="2183"/>
      <c r="B84" s="2177"/>
      <c r="C84" s="1454" t="s">
        <v>2523</v>
      </c>
      <c r="D84" s="2036">
        <v>0</v>
      </c>
      <c r="E84" s="2205"/>
      <c r="F84" s="119"/>
    </row>
    <row r="85" spans="1:6" ht="15" customHeight="1">
      <c r="A85" s="2183"/>
      <c r="B85" s="2177"/>
      <c r="C85" s="1454" t="s">
        <v>2524</v>
      </c>
      <c r="D85" s="2036">
        <v>0</v>
      </c>
      <c r="E85" s="2205"/>
      <c r="F85" s="119"/>
    </row>
    <row r="86" spans="1:6" ht="15" customHeight="1">
      <c r="A86" s="2183"/>
      <c r="B86" s="2177"/>
      <c r="C86" s="1454" t="s">
        <v>2525</v>
      </c>
      <c r="D86" s="2036">
        <v>0</v>
      </c>
      <c r="E86" s="2205"/>
      <c r="F86" s="119"/>
    </row>
    <row r="87" spans="1:6" ht="15" customHeight="1" thickBot="1">
      <c r="A87" s="2183"/>
      <c r="B87" s="2177"/>
      <c r="C87" s="1470" t="s">
        <v>2526</v>
      </c>
      <c r="D87" s="2037">
        <v>0</v>
      </c>
      <c r="E87" s="2205"/>
      <c r="F87" s="119"/>
    </row>
    <row r="88" spans="1:6" ht="21" customHeight="1" thickBot="1">
      <c r="A88" s="2182" t="s">
        <v>540</v>
      </c>
      <c r="B88" s="2185" t="s">
        <v>1458</v>
      </c>
      <c r="C88" s="439" t="s">
        <v>1459</v>
      </c>
      <c r="D88" s="2031"/>
      <c r="E88" s="2209" t="s">
        <v>2926</v>
      </c>
      <c r="F88" s="119"/>
    </row>
    <row r="89" spans="1:6" ht="15" customHeight="1">
      <c r="A89" s="2183"/>
      <c r="B89" s="2177"/>
      <c r="C89" s="1503" t="s">
        <v>1460</v>
      </c>
      <c r="D89" s="2036">
        <v>0</v>
      </c>
      <c r="E89" s="2205"/>
      <c r="F89" s="1518"/>
    </row>
    <row r="90" spans="1:6" ht="15" customHeight="1">
      <c r="A90" s="2183"/>
      <c r="B90" s="2177"/>
      <c r="C90" s="1454" t="s">
        <v>2538</v>
      </c>
      <c r="D90" s="2036">
        <v>0</v>
      </c>
      <c r="E90" s="2205"/>
      <c r="F90" s="119"/>
    </row>
    <row r="91" spans="1:6" ht="15" customHeight="1">
      <c r="A91" s="2183"/>
      <c r="B91" s="2177"/>
      <c r="C91" s="1454" t="s">
        <v>2539</v>
      </c>
      <c r="D91" s="2036">
        <v>0</v>
      </c>
      <c r="E91" s="2205"/>
      <c r="F91" s="119"/>
    </row>
    <row r="92" spans="1:6" ht="15" customHeight="1">
      <c r="A92" s="2183"/>
      <c r="B92" s="2177"/>
      <c r="C92" s="1454" t="s">
        <v>2540</v>
      </c>
      <c r="D92" s="2036">
        <v>0</v>
      </c>
      <c r="E92" s="2205"/>
      <c r="F92" s="119"/>
    </row>
    <row r="93" spans="1:6" ht="15" customHeight="1" thickBot="1">
      <c r="A93" s="2184"/>
      <c r="B93" s="2178"/>
      <c r="C93" s="1184" t="s">
        <v>2541</v>
      </c>
      <c r="D93" s="2039">
        <v>0</v>
      </c>
      <c r="E93" s="2206"/>
      <c r="F93" s="119"/>
    </row>
    <row r="94" spans="1:6" ht="21" customHeight="1" thickBot="1">
      <c r="A94" s="2183" t="s">
        <v>71</v>
      </c>
      <c r="B94" s="2188" t="s">
        <v>1461</v>
      </c>
      <c r="C94" s="448" t="s">
        <v>1462</v>
      </c>
      <c r="D94" s="2034"/>
      <c r="E94" s="2208" t="s">
        <v>2466</v>
      </c>
      <c r="F94" s="119"/>
    </row>
    <row r="95" spans="1:6" ht="15" customHeight="1">
      <c r="A95" s="2183"/>
      <c r="B95" s="2177"/>
      <c r="C95" s="1503" t="s">
        <v>2542</v>
      </c>
      <c r="D95" s="2038">
        <v>0</v>
      </c>
      <c r="E95" s="2205"/>
      <c r="F95" s="1518"/>
    </row>
    <row r="96" spans="1:6" ht="15" customHeight="1">
      <c r="A96" s="2183"/>
      <c r="B96" s="2177"/>
      <c r="C96" s="1454" t="s">
        <v>2543</v>
      </c>
      <c r="D96" s="2038">
        <v>0</v>
      </c>
      <c r="E96" s="2205"/>
      <c r="F96" s="1518"/>
    </row>
    <row r="97" spans="1:6" ht="15" customHeight="1">
      <c r="A97" s="2183"/>
      <c r="B97" s="2177"/>
      <c r="C97" s="1454" t="s">
        <v>2544</v>
      </c>
      <c r="D97" s="2038">
        <v>0</v>
      </c>
      <c r="E97" s="2205"/>
      <c r="F97" s="119"/>
    </row>
    <row r="98" spans="1:6" ht="15" customHeight="1" thickBot="1">
      <c r="A98" s="2183"/>
      <c r="B98" s="2177"/>
      <c r="C98" s="1470" t="s">
        <v>2545</v>
      </c>
      <c r="D98" s="2042">
        <v>0</v>
      </c>
      <c r="E98" s="2205"/>
      <c r="F98" s="119"/>
    </row>
    <row r="99" spans="1:6" ht="30" customHeight="1" thickBot="1">
      <c r="A99" s="2182" t="s">
        <v>598</v>
      </c>
      <c r="B99" s="2185" t="s">
        <v>1463</v>
      </c>
      <c r="C99" s="439" t="s">
        <v>1782</v>
      </c>
      <c r="D99" s="2031"/>
      <c r="E99" s="2209" t="s">
        <v>2467</v>
      </c>
      <c r="F99" s="119"/>
    </row>
    <row r="100" spans="1:6" ht="15" customHeight="1">
      <c r="A100" s="2183"/>
      <c r="B100" s="2177"/>
      <c r="C100" s="1503" t="s">
        <v>116</v>
      </c>
      <c r="D100" s="2036">
        <v>0</v>
      </c>
      <c r="E100" s="2205"/>
      <c r="F100" s="1518"/>
    </row>
    <row r="101" spans="1:6" ht="15" customHeight="1" thickBot="1">
      <c r="A101" s="2184"/>
      <c r="B101" s="2178"/>
      <c r="C101" s="1184" t="s">
        <v>43</v>
      </c>
      <c r="D101" s="2039">
        <v>0</v>
      </c>
      <c r="E101" s="2206"/>
      <c r="F101" s="119"/>
    </row>
    <row r="102" spans="1:6" ht="18.600000000000001" customHeight="1" thickBot="1">
      <c r="A102" s="2183" t="s">
        <v>541</v>
      </c>
      <c r="B102" s="2188" t="s">
        <v>2947</v>
      </c>
      <c r="C102" s="448" t="s">
        <v>2948</v>
      </c>
      <c r="D102" s="2034"/>
      <c r="E102" s="2208" t="s">
        <v>2468</v>
      </c>
      <c r="F102" s="119"/>
    </row>
    <row r="103" spans="1:6" ht="15" customHeight="1">
      <c r="A103" s="2183"/>
      <c r="B103" s="2177"/>
      <c r="C103" s="1953" t="s">
        <v>2949</v>
      </c>
      <c r="D103" s="2036">
        <v>0</v>
      </c>
      <c r="E103" s="2205"/>
      <c r="F103" s="1518"/>
    </row>
    <row r="104" spans="1:6" ht="15" customHeight="1">
      <c r="A104" s="2183"/>
      <c r="B104" s="2177"/>
      <c r="C104" s="1952" t="s">
        <v>2953</v>
      </c>
      <c r="D104" s="2036">
        <v>0</v>
      </c>
      <c r="E104" s="2205"/>
      <c r="F104" s="119"/>
    </row>
    <row r="105" spans="1:6" ht="15" customHeight="1">
      <c r="A105" s="2183"/>
      <c r="B105" s="2177"/>
      <c r="C105" s="1952" t="s">
        <v>2954</v>
      </c>
      <c r="D105" s="2036">
        <v>0</v>
      </c>
      <c r="E105" s="2205"/>
      <c r="F105" s="119"/>
    </row>
    <row r="106" spans="1:6" ht="15" customHeight="1">
      <c r="A106" s="2183"/>
      <c r="B106" s="2177"/>
      <c r="C106" s="1952" t="s">
        <v>2955</v>
      </c>
      <c r="D106" s="2036">
        <v>0</v>
      </c>
      <c r="E106" s="2205"/>
      <c r="F106" s="119"/>
    </row>
    <row r="107" spans="1:6" ht="15" customHeight="1" thickBot="1">
      <c r="A107" s="2183"/>
      <c r="B107" s="2177"/>
      <c r="C107" s="1470" t="s">
        <v>2956</v>
      </c>
      <c r="D107" s="2037">
        <v>0</v>
      </c>
      <c r="E107" s="2205"/>
      <c r="F107" s="119"/>
    </row>
    <row r="108" spans="1:6" ht="18" customHeight="1" thickBot="1">
      <c r="A108" s="2181" t="s">
        <v>599</v>
      </c>
      <c r="B108" s="2185" t="s">
        <v>2952</v>
      </c>
      <c r="C108" s="439" t="s">
        <v>2950</v>
      </c>
      <c r="D108" s="2031"/>
      <c r="E108" s="2209" t="s">
        <v>2951</v>
      </c>
      <c r="F108" s="119"/>
    </row>
    <row r="109" spans="1:6" ht="15" customHeight="1">
      <c r="A109" s="2180"/>
      <c r="B109" s="2177"/>
      <c r="C109" s="1953" t="s">
        <v>2957</v>
      </c>
      <c r="D109" s="2036">
        <v>0</v>
      </c>
      <c r="E109" s="2205"/>
      <c r="F109" s="1518"/>
    </row>
    <row r="110" spans="1:6" ht="15" customHeight="1">
      <c r="A110" s="2180"/>
      <c r="B110" s="2177"/>
      <c r="C110" s="1454" t="s">
        <v>2546</v>
      </c>
      <c r="D110" s="2036">
        <v>0</v>
      </c>
      <c r="E110" s="2205"/>
      <c r="F110" s="119"/>
    </row>
    <row r="111" spans="1:6" ht="15" customHeight="1">
      <c r="A111" s="2180"/>
      <c r="B111" s="2177"/>
      <c r="C111" s="1454" t="s">
        <v>2547</v>
      </c>
      <c r="D111" s="2036">
        <v>0</v>
      </c>
      <c r="E111" s="2205"/>
      <c r="F111" s="119"/>
    </row>
    <row r="112" spans="1:6" ht="15" customHeight="1" thickBot="1">
      <c r="A112" s="2187"/>
      <c r="B112" s="2178"/>
      <c r="C112" s="1184" t="s">
        <v>2548</v>
      </c>
      <c r="D112" s="2039">
        <v>0</v>
      </c>
      <c r="E112" s="2206"/>
      <c r="F112" s="119"/>
    </row>
    <row r="113" spans="1:6" ht="45" customHeight="1" thickBot="1">
      <c r="A113" s="1480" t="s">
        <v>542</v>
      </c>
      <c r="B113" s="1511" t="s">
        <v>788</v>
      </c>
      <c r="C113" s="4" t="s">
        <v>2108</v>
      </c>
      <c r="D113" s="2043">
        <v>0</v>
      </c>
      <c r="E113" s="1921" t="s">
        <v>2832</v>
      </c>
      <c r="F113" s="119"/>
    </row>
    <row r="114" spans="1:6" ht="30" customHeight="1" thickBot="1">
      <c r="A114" s="703" t="s">
        <v>581</v>
      </c>
      <c r="B114" s="1502" t="s">
        <v>789</v>
      </c>
      <c r="C114" s="536" t="s">
        <v>2107</v>
      </c>
      <c r="D114" s="2044">
        <v>0</v>
      </c>
      <c r="E114" s="123" t="s">
        <v>2833</v>
      </c>
      <c r="F114" s="1518"/>
    </row>
    <row r="115" spans="1:6" ht="30" customHeight="1" thickBot="1">
      <c r="A115" s="2183" t="s">
        <v>543</v>
      </c>
      <c r="B115" s="2188" t="s">
        <v>1607</v>
      </c>
      <c r="C115" s="448" t="s">
        <v>1464</v>
      </c>
      <c r="D115" s="2034"/>
      <c r="E115" s="2208" t="s">
        <v>2834</v>
      </c>
      <c r="F115" s="1518"/>
    </row>
    <row r="116" spans="1:6" ht="27" customHeight="1">
      <c r="A116" s="2183"/>
      <c r="B116" s="2177"/>
      <c r="C116" s="1503" t="s">
        <v>2382</v>
      </c>
      <c r="D116" s="2038">
        <v>0</v>
      </c>
      <c r="E116" s="2205"/>
      <c r="F116" s="1518"/>
    </row>
    <row r="117" spans="1:6" ht="15" customHeight="1">
      <c r="A117" s="2183"/>
      <c r="B117" s="2177"/>
      <c r="C117" s="1454" t="s">
        <v>2549</v>
      </c>
      <c r="D117" s="2038">
        <v>0</v>
      </c>
      <c r="E117" s="2205"/>
      <c r="F117" s="119"/>
    </row>
    <row r="118" spans="1:6" ht="15" customHeight="1">
      <c r="A118" s="2183"/>
      <c r="B118" s="2177"/>
      <c r="C118" s="1454" t="s">
        <v>2550</v>
      </c>
      <c r="D118" s="2038">
        <v>0</v>
      </c>
      <c r="E118" s="2205"/>
      <c r="F118" s="119"/>
    </row>
    <row r="119" spans="1:6" ht="15" customHeight="1">
      <c r="A119" s="2183"/>
      <c r="B119" s="2177"/>
      <c r="C119" s="1454" t="s">
        <v>2551</v>
      </c>
      <c r="D119" s="2038">
        <v>0</v>
      </c>
      <c r="E119" s="2205"/>
      <c r="F119" s="119"/>
    </row>
    <row r="120" spans="1:6" ht="15" customHeight="1">
      <c r="A120" s="2183"/>
      <c r="B120" s="2177"/>
      <c r="C120" s="1454" t="s">
        <v>2552</v>
      </c>
      <c r="D120" s="2038">
        <v>0</v>
      </c>
      <c r="E120" s="2205"/>
      <c r="F120" s="119"/>
    </row>
    <row r="121" spans="1:6" ht="15" customHeight="1" thickBot="1">
      <c r="A121" s="2183"/>
      <c r="B121" s="2177"/>
      <c r="C121" s="1470" t="s">
        <v>2383</v>
      </c>
      <c r="D121" s="2042">
        <v>0</v>
      </c>
      <c r="E121" s="2205"/>
      <c r="F121" s="119"/>
    </row>
    <row r="122" spans="1:6" ht="30" customHeight="1" thickBot="1">
      <c r="A122" s="2181" t="s">
        <v>582</v>
      </c>
      <c r="B122" s="2186" t="s">
        <v>1525</v>
      </c>
      <c r="C122" s="439" t="s">
        <v>1465</v>
      </c>
      <c r="D122" s="2031"/>
      <c r="E122" s="2212" t="s">
        <v>2454</v>
      </c>
      <c r="F122" s="119"/>
    </row>
    <row r="123" spans="1:6" ht="15" customHeight="1">
      <c r="A123" s="2180"/>
      <c r="B123" s="2177"/>
      <c r="C123" s="1503" t="s">
        <v>1783</v>
      </c>
      <c r="D123" s="2032">
        <v>0</v>
      </c>
      <c r="E123" s="2205"/>
      <c r="F123" s="119"/>
    </row>
    <row r="124" spans="1:6" ht="15" customHeight="1">
      <c r="A124" s="2180"/>
      <c r="B124" s="2177"/>
      <c r="C124" s="1454" t="s">
        <v>2553</v>
      </c>
      <c r="D124" s="2032">
        <v>0</v>
      </c>
      <c r="E124" s="2205"/>
      <c r="F124" s="1518"/>
    </row>
    <row r="125" spans="1:6" ht="15" customHeight="1">
      <c r="A125" s="2180"/>
      <c r="B125" s="2177"/>
      <c r="C125" s="1454" t="s">
        <v>2554</v>
      </c>
      <c r="D125" s="2032">
        <v>0</v>
      </c>
      <c r="E125" s="2205"/>
      <c r="F125" s="119"/>
    </row>
    <row r="126" spans="1:6" ht="15" customHeight="1">
      <c r="A126" s="2180"/>
      <c r="B126" s="2177"/>
      <c r="C126" s="1454" t="s">
        <v>2555</v>
      </c>
      <c r="D126" s="2032">
        <v>0</v>
      </c>
      <c r="E126" s="2205"/>
      <c r="F126" s="119"/>
    </row>
    <row r="127" spans="1:6" ht="15" customHeight="1" thickBot="1">
      <c r="A127" s="2187"/>
      <c r="B127" s="2178"/>
      <c r="C127" s="1184" t="s">
        <v>1466</v>
      </c>
      <c r="D127" s="2033">
        <v>0</v>
      </c>
      <c r="E127" s="2206"/>
      <c r="F127" s="119"/>
    </row>
    <row r="128" spans="1:6" ht="30" customHeight="1" thickBot="1">
      <c r="A128" s="2180" t="s">
        <v>583</v>
      </c>
      <c r="B128" s="2194" t="s">
        <v>1467</v>
      </c>
      <c r="C128" s="448" t="s">
        <v>1608</v>
      </c>
      <c r="D128" s="2034"/>
      <c r="E128" s="2213" t="s">
        <v>2476</v>
      </c>
      <c r="F128" s="119"/>
    </row>
    <row r="129" spans="1:6" ht="15" customHeight="1">
      <c r="A129" s="2180"/>
      <c r="B129" s="2177"/>
      <c r="C129" s="1503" t="s">
        <v>1468</v>
      </c>
      <c r="D129" s="2032">
        <v>0</v>
      </c>
      <c r="E129" s="2205"/>
      <c r="F129" s="119"/>
    </row>
    <row r="130" spans="1:6" ht="15" customHeight="1">
      <c r="A130" s="2180"/>
      <c r="B130" s="2177"/>
      <c r="C130" s="1454" t="s">
        <v>2556</v>
      </c>
      <c r="D130" s="2032">
        <v>0</v>
      </c>
      <c r="E130" s="2205"/>
      <c r="F130" s="119"/>
    </row>
    <row r="131" spans="1:6" ht="15" customHeight="1">
      <c r="A131" s="2180"/>
      <c r="B131" s="2177"/>
      <c r="C131" s="1454" t="s">
        <v>2557</v>
      </c>
      <c r="D131" s="2032">
        <v>0</v>
      </c>
      <c r="E131" s="2205"/>
      <c r="F131" s="119"/>
    </row>
    <row r="132" spans="1:6" ht="15" customHeight="1">
      <c r="A132" s="2180"/>
      <c r="B132" s="2177"/>
      <c r="C132" s="1454" t="s">
        <v>2558</v>
      </c>
      <c r="D132" s="2032">
        <v>0</v>
      </c>
      <c r="E132" s="2205"/>
      <c r="F132" s="1518"/>
    </row>
    <row r="133" spans="1:6" ht="15" customHeight="1" thickBot="1">
      <c r="A133" s="2180"/>
      <c r="B133" s="2177"/>
      <c r="C133" s="1470" t="s">
        <v>2559</v>
      </c>
      <c r="D133" s="2035">
        <v>0</v>
      </c>
      <c r="E133" s="2205"/>
      <c r="F133" s="119"/>
    </row>
    <row r="134" spans="1:6" ht="21" customHeight="1" thickBot="1">
      <c r="A134" s="2181" t="s">
        <v>584</v>
      </c>
      <c r="B134" s="2186" t="s">
        <v>1469</v>
      </c>
      <c r="C134" s="439" t="s">
        <v>1470</v>
      </c>
      <c r="D134" s="2031"/>
      <c r="E134" s="2212" t="s">
        <v>2429</v>
      </c>
      <c r="F134" s="119"/>
    </row>
    <row r="135" spans="1:6" ht="15" customHeight="1">
      <c r="A135" s="2180"/>
      <c r="B135" s="2177"/>
      <c r="C135" s="1505" t="s">
        <v>2384</v>
      </c>
      <c r="D135" s="2032">
        <v>0</v>
      </c>
      <c r="E135" s="2205"/>
      <c r="F135" s="119"/>
    </row>
    <row r="136" spans="1:6" ht="15" customHeight="1">
      <c r="A136" s="2180"/>
      <c r="B136" s="2177"/>
      <c r="C136" s="1454" t="s">
        <v>2560</v>
      </c>
      <c r="D136" s="2032">
        <v>0</v>
      </c>
      <c r="E136" s="2205"/>
      <c r="F136" s="119"/>
    </row>
    <row r="137" spans="1:6" ht="15" customHeight="1">
      <c r="A137" s="2180"/>
      <c r="B137" s="2177"/>
      <c r="C137" s="1454" t="s">
        <v>2554</v>
      </c>
      <c r="D137" s="2032">
        <v>0</v>
      </c>
      <c r="E137" s="2205"/>
      <c r="F137" s="119"/>
    </row>
    <row r="138" spans="1:6" ht="15" customHeight="1">
      <c r="A138" s="2180"/>
      <c r="B138" s="2177"/>
      <c r="C138" s="1454" t="s">
        <v>2555</v>
      </c>
      <c r="D138" s="2032">
        <v>0</v>
      </c>
      <c r="E138" s="2205"/>
      <c r="F138" s="1518"/>
    </row>
    <row r="139" spans="1:6" ht="15" customHeight="1" thickBot="1">
      <c r="A139" s="2187"/>
      <c r="B139" s="2178"/>
      <c r="C139" s="1184" t="s">
        <v>1471</v>
      </c>
      <c r="D139" s="2033">
        <v>0</v>
      </c>
      <c r="E139" s="2206"/>
      <c r="F139" s="119"/>
    </row>
    <row r="140" spans="1:6" ht="21" customHeight="1" thickBot="1">
      <c r="A140" s="2180" t="s">
        <v>585</v>
      </c>
      <c r="B140" s="2194" t="s">
        <v>1114</v>
      </c>
      <c r="C140" s="448" t="s">
        <v>1472</v>
      </c>
      <c r="D140" s="2034"/>
      <c r="E140" s="2213" t="s">
        <v>2455</v>
      </c>
      <c r="F140" s="119"/>
    </row>
    <row r="141" spans="1:6" ht="15" customHeight="1">
      <c r="A141" s="2173"/>
      <c r="B141" s="2177"/>
      <c r="C141" s="1503" t="s">
        <v>2561</v>
      </c>
      <c r="D141" s="2032">
        <v>0</v>
      </c>
      <c r="E141" s="2205"/>
      <c r="F141" s="119"/>
    </row>
    <row r="142" spans="1:6" ht="15" customHeight="1">
      <c r="A142" s="2173"/>
      <c r="B142" s="2177"/>
      <c r="C142" s="1454" t="s">
        <v>2562</v>
      </c>
      <c r="D142" s="2032">
        <v>0</v>
      </c>
      <c r="E142" s="2205"/>
      <c r="F142" s="119"/>
    </row>
    <row r="143" spans="1:6" ht="15" customHeight="1">
      <c r="A143" s="2173"/>
      <c r="B143" s="2177"/>
      <c r="C143" s="1454" t="s">
        <v>2563</v>
      </c>
      <c r="D143" s="2032">
        <v>0</v>
      </c>
      <c r="E143" s="2205"/>
      <c r="F143" s="1518"/>
    </row>
    <row r="144" spans="1:6" ht="15" customHeight="1">
      <c r="A144" s="2173"/>
      <c r="B144" s="2177"/>
      <c r="C144" s="1454" t="s">
        <v>2564</v>
      </c>
      <c r="D144" s="2032">
        <v>0</v>
      </c>
      <c r="E144" s="2205"/>
      <c r="F144" s="119"/>
    </row>
    <row r="145" spans="1:6" ht="15" customHeight="1" thickBot="1">
      <c r="A145" s="2175"/>
      <c r="B145" s="2178"/>
      <c r="C145" s="1506" t="s">
        <v>2565</v>
      </c>
      <c r="D145" s="2035">
        <v>0</v>
      </c>
      <c r="E145" s="2206"/>
      <c r="F145" s="119"/>
    </row>
    <row r="146" spans="1:6" ht="17.399999999999999" customHeight="1" thickBot="1">
      <c r="A146" s="2202" t="s">
        <v>2872</v>
      </c>
      <c r="B146" s="2203"/>
      <c r="C146" s="2203"/>
      <c r="D146" s="2044">
        <v>0</v>
      </c>
      <c r="E146" s="1460"/>
      <c r="F146" s="119"/>
    </row>
    <row r="147" spans="1:6" ht="24" customHeight="1" thickBot="1">
      <c r="A147" s="2182" t="s">
        <v>544</v>
      </c>
      <c r="B147" s="2186" t="s">
        <v>379</v>
      </c>
      <c r="C147" s="439" t="s">
        <v>1473</v>
      </c>
      <c r="D147" s="2034"/>
      <c r="E147" s="2212" t="s">
        <v>2477</v>
      </c>
      <c r="F147" s="119"/>
    </row>
    <row r="148" spans="1:6" ht="15" customHeight="1">
      <c r="A148" s="2173"/>
      <c r="B148" s="2177"/>
      <c r="C148" s="1503" t="s">
        <v>2566</v>
      </c>
      <c r="D148" s="2032">
        <v>0</v>
      </c>
      <c r="E148" s="2205"/>
      <c r="F148" s="119"/>
    </row>
    <row r="149" spans="1:6" ht="15" customHeight="1">
      <c r="A149" s="2173"/>
      <c r="B149" s="2177"/>
      <c r="C149" s="1454" t="s">
        <v>2567</v>
      </c>
      <c r="D149" s="2032">
        <v>0</v>
      </c>
      <c r="E149" s="2205"/>
      <c r="F149" s="1518"/>
    </row>
    <row r="150" spans="1:6" ht="15" customHeight="1">
      <c r="A150" s="2173"/>
      <c r="B150" s="2177"/>
      <c r="C150" s="1454" t="s">
        <v>2568</v>
      </c>
      <c r="D150" s="2032">
        <v>0</v>
      </c>
      <c r="E150" s="2205"/>
      <c r="F150" s="1518"/>
    </row>
    <row r="151" spans="1:6" ht="15" customHeight="1">
      <c r="A151" s="2173"/>
      <c r="B151" s="2177"/>
      <c r="C151" s="1454" t="s">
        <v>2569</v>
      </c>
      <c r="D151" s="2032">
        <v>0</v>
      </c>
      <c r="E151" s="2205"/>
      <c r="F151" s="119"/>
    </row>
    <row r="152" spans="1:6" ht="15" customHeight="1" thickBot="1">
      <c r="A152" s="2173"/>
      <c r="B152" s="2177"/>
      <c r="C152" s="1470" t="s">
        <v>1784</v>
      </c>
      <c r="D152" s="2035">
        <v>0</v>
      </c>
      <c r="E152" s="2205"/>
      <c r="F152" s="119"/>
    </row>
    <row r="153" spans="1:6" ht="21" customHeight="1" thickBot="1">
      <c r="A153" s="2182" t="s">
        <v>545</v>
      </c>
      <c r="B153" s="2185" t="s">
        <v>1474</v>
      </c>
      <c r="C153" s="439" t="s">
        <v>1475</v>
      </c>
      <c r="D153" s="2031"/>
      <c r="E153" s="2209" t="s">
        <v>2430</v>
      </c>
      <c r="F153" s="119"/>
    </row>
    <row r="154" spans="1:6" ht="15" customHeight="1">
      <c r="A154" s="2183"/>
      <c r="B154" s="2177"/>
      <c r="C154" s="1503" t="s">
        <v>2570</v>
      </c>
      <c r="D154" s="2036">
        <v>0</v>
      </c>
      <c r="E154" s="2205"/>
      <c r="F154" s="119"/>
    </row>
    <row r="155" spans="1:6" ht="15" customHeight="1">
      <c r="A155" s="2183"/>
      <c r="B155" s="2177"/>
      <c r="C155" s="1454" t="s">
        <v>2571</v>
      </c>
      <c r="D155" s="2036">
        <v>0</v>
      </c>
      <c r="E155" s="2205"/>
      <c r="F155" s="119"/>
    </row>
    <row r="156" spans="1:6" ht="15" customHeight="1" thickBot="1">
      <c r="A156" s="2184"/>
      <c r="B156" s="2178"/>
      <c r="C156" s="1184" t="s">
        <v>1785</v>
      </c>
      <c r="D156" s="2039">
        <v>0</v>
      </c>
      <c r="E156" s="2206"/>
      <c r="F156" s="1518"/>
    </row>
    <row r="157" spans="1:6" ht="30" customHeight="1" thickBot="1">
      <c r="A157" s="2145" t="s">
        <v>546</v>
      </c>
      <c r="B157" s="2179" t="s">
        <v>2385</v>
      </c>
      <c r="C157" s="1479" t="s">
        <v>1604</v>
      </c>
      <c r="D157" s="2034"/>
      <c r="E157" s="2146" t="s">
        <v>2835</v>
      </c>
      <c r="F157" s="119"/>
    </row>
    <row r="158" spans="1:6" ht="15" customHeight="1">
      <c r="A158" s="2145"/>
      <c r="B158" s="2177"/>
      <c r="C158" s="1493" t="s">
        <v>2235</v>
      </c>
      <c r="D158" s="2038">
        <v>0</v>
      </c>
      <c r="E158" s="2205"/>
      <c r="F158" s="119"/>
    </row>
    <row r="159" spans="1:6" ht="15" customHeight="1">
      <c r="A159" s="2145"/>
      <c r="B159" s="2177"/>
      <c r="C159" s="1412" t="s">
        <v>2572</v>
      </c>
      <c r="D159" s="2038">
        <v>0</v>
      </c>
      <c r="E159" s="2205"/>
      <c r="F159" s="119"/>
    </row>
    <row r="160" spans="1:6" ht="15" customHeight="1">
      <c r="A160" s="2145"/>
      <c r="B160" s="2177"/>
      <c r="C160" s="1412" t="s">
        <v>2573</v>
      </c>
      <c r="D160" s="2038">
        <v>0</v>
      </c>
      <c r="E160" s="2205"/>
      <c r="F160" s="119"/>
    </row>
    <row r="161" spans="1:6" ht="15" customHeight="1">
      <c r="A161" s="2145"/>
      <c r="B161" s="2177"/>
      <c r="C161" s="1412" t="s">
        <v>2574</v>
      </c>
      <c r="D161" s="2038">
        <v>0</v>
      </c>
      <c r="E161" s="2205"/>
      <c r="F161" s="119"/>
    </row>
    <row r="162" spans="1:6" ht="15" customHeight="1" thickBot="1">
      <c r="A162" s="2145"/>
      <c r="B162" s="2177"/>
      <c r="C162" s="1473" t="s">
        <v>2575</v>
      </c>
      <c r="D162" s="2042">
        <v>0</v>
      </c>
      <c r="E162" s="2205"/>
      <c r="F162" s="119"/>
    </row>
    <row r="163" spans="1:6" ht="33" customHeight="1" thickBot="1">
      <c r="A163" s="703" t="s">
        <v>547</v>
      </c>
      <c r="B163" s="1502" t="s">
        <v>1427</v>
      </c>
      <c r="C163" s="536" t="s">
        <v>2386</v>
      </c>
      <c r="D163" s="2045">
        <v>0</v>
      </c>
      <c r="E163" s="123" t="s">
        <v>2456</v>
      </c>
      <c r="F163" s="119"/>
    </row>
    <row r="164" spans="1:6" ht="30" customHeight="1" thickBot="1">
      <c r="A164" s="2183" t="s">
        <v>548</v>
      </c>
      <c r="B164" s="2188" t="s">
        <v>2431</v>
      </c>
      <c r="C164" s="448" t="s">
        <v>1428</v>
      </c>
      <c r="D164" s="2034"/>
      <c r="E164" s="2208" t="s">
        <v>2478</v>
      </c>
      <c r="F164" s="119"/>
    </row>
    <row r="165" spans="1:6" ht="15" customHeight="1">
      <c r="A165" s="2183"/>
      <c r="B165" s="2177"/>
      <c r="C165" s="1503" t="s">
        <v>2378</v>
      </c>
      <c r="D165" s="2032">
        <v>0</v>
      </c>
      <c r="E165" s="2205"/>
      <c r="F165" s="119"/>
    </row>
    <row r="166" spans="1:6" ht="15" customHeight="1">
      <c r="A166" s="2183"/>
      <c r="B166" s="2177"/>
      <c r="C166" s="1454" t="s">
        <v>1786</v>
      </c>
      <c r="D166" s="2032">
        <v>0</v>
      </c>
      <c r="E166" s="2205"/>
      <c r="F166" s="1518"/>
    </row>
    <row r="167" spans="1:6" ht="15" customHeight="1">
      <c r="A167" s="2183"/>
      <c r="B167" s="2177"/>
      <c r="C167" s="1454" t="s">
        <v>1301</v>
      </c>
      <c r="D167" s="2032">
        <v>0</v>
      </c>
      <c r="E167" s="2205"/>
      <c r="F167" s="1518"/>
    </row>
    <row r="168" spans="1:6" ht="15" customHeight="1">
      <c r="A168" s="2183"/>
      <c r="B168" s="2177"/>
      <c r="C168" s="1454" t="s">
        <v>1302</v>
      </c>
      <c r="D168" s="2032">
        <v>0</v>
      </c>
      <c r="E168" s="2205"/>
      <c r="F168" s="119"/>
    </row>
    <row r="169" spans="1:6" ht="15" customHeight="1">
      <c r="A169" s="2183"/>
      <c r="B169" s="2177"/>
      <c r="C169" s="1454" t="s">
        <v>1303</v>
      </c>
      <c r="D169" s="2032">
        <v>0</v>
      </c>
      <c r="E169" s="2205"/>
      <c r="F169" s="119"/>
    </row>
    <row r="170" spans="1:6" ht="15" customHeight="1" thickBot="1">
      <c r="A170" s="2183"/>
      <c r="B170" s="2177"/>
      <c r="C170" s="1470" t="s">
        <v>1429</v>
      </c>
      <c r="D170" s="2035">
        <v>0</v>
      </c>
      <c r="E170" s="2205"/>
      <c r="F170" s="119"/>
    </row>
    <row r="171" spans="1:6" ht="30" customHeight="1" thickBot="1">
      <c r="A171" s="2182" t="s">
        <v>586</v>
      </c>
      <c r="B171" s="2185" t="s">
        <v>1476</v>
      </c>
      <c r="C171" s="439" t="s">
        <v>1477</v>
      </c>
      <c r="D171" s="2046"/>
      <c r="E171" s="2209" t="s">
        <v>2432</v>
      </c>
      <c r="F171" s="119"/>
    </row>
    <row r="172" spans="1:6" ht="15" customHeight="1">
      <c r="A172" s="2183"/>
      <c r="B172" s="2177"/>
      <c r="C172" s="1503" t="s">
        <v>1478</v>
      </c>
      <c r="D172" s="2032">
        <v>0</v>
      </c>
      <c r="E172" s="2205"/>
      <c r="F172" s="119"/>
    </row>
    <row r="173" spans="1:6" ht="15" customHeight="1">
      <c r="A173" s="2183"/>
      <c r="B173" s="2177"/>
      <c r="C173" s="1454" t="s">
        <v>1479</v>
      </c>
      <c r="D173" s="2032">
        <v>0</v>
      </c>
      <c r="E173" s="2205"/>
      <c r="F173" s="119"/>
    </row>
    <row r="174" spans="1:6" ht="15" customHeight="1">
      <c r="A174" s="2183"/>
      <c r="B174" s="2177"/>
      <c r="C174" s="1454" t="s">
        <v>1480</v>
      </c>
      <c r="D174" s="2032">
        <v>0</v>
      </c>
      <c r="E174" s="2205"/>
      <c r="F174" s="1518"/>
    </row>
    <row r="175" spans="1:6" ht="15" customHeight="1">
      <c r="A175" s="2183"/>
      <c r="B175" s="2177"/>
      <c r="C175" s="1454" t="s">
        <v>1481</v>
      </c>
      <c r="D175" s="2032">
        <v>0</v>
      </c>
      <c r="E175" s="2205"/>
      <c r="F175" s="119"/>
    </row>
    <row r="176" spans="1:6" ht="15" customHeight="1">
      <c r="A176" s="2183"/>
      <c r="B176" s="2177"/>
      <c r="C176" s="1454" t="s">
        <v>1482</v>
      </c>
      <c r="D176" s="2032">
        <v>0</v>
      </c>
      <c r="E176" s="2205"/>
      <c r="F176" s="119"/>
    </row>
    <row r="177" spans="1:120" ht="15" customHeight="1" thickBot="1">
      <c r="A177" s="2184"/>
      <c r="B177" s="2178"/>
      <c r="C177" s="1184" t="s">
        <v>1483</v>
      </c>
      <c r="D177" s="2033">
        <v>0</v>
      </c>
      <c r="E177" s="2206"/>
      <c r="F177" s="119"/>
    </row>
    <row r="178" spans="1:120" ht="30" customHeight="1" thickBot="1">
      <c r="A178" s="2180" t="s">
        <v>587</v>
      </c>
      <c r="B178" s="2188" t="s">
        <v>1112</v>
      </c>
      <c r="C178" s="448" t="s">
        <v>1484</v>
      </c>
      <c r="D178" s="2034"/>
      <c r="E178" s="2208" t="s">
        <v>2433</v>
      </c>
      <c r="F178" s="119"/>
    </row>
    <row r="179" spans="1:120" ht="15" customHeight="1">
      <c r="A179" s="2173"/>
      <c r="B179" s="2177"/>
      <c r="C179" s="1503" t="s">
        <v>2576</v>
      </c>
      <c r="D179" s="2032">
        <v>0</v>
      </c>
      <c r="E179" s="2205"/>
      <c r="F179" s="119"/>
    </row>
    <row r="180" spans="1:120" ht="15" customHeight="1">
      <c r="A180" s="2173"/>
      <c r="B180" s="2177"/>
      <c r="C180" s="1454" t="s">
        <v>2577</v>
      </c>
      <c r="D180" s="2032">
        <v>0</v>
      </c>
      <c r="E180" s="2205"/>
      <c r="F180" s="1518"/>
    </row>
    <row r="181" spans="1:120" ht="15" customHeight="1">
      <c r="A181" s="2173"/>
      <c r="B181" s="2177"/>
      <c r="C181" s="1454" t="s">
        <v>2578</v>
      </c>
      <c r="D181" s="2032">
        <v>0</v>
      </c>
      <c r="E181" s="2205"/>
      <c r="F181" s="119"/>
    </row>
    <row r="182" spans="1:120" ht="15" customHeight="1">
      <c r="A182" s="2173"/>
      <c r="B182" s="2177"/>
      <c r="C182" s="1454" t="s">
        <v>2579</v>
      </c>
      <c r="D182" s="2032">
        <v>0</v>
      </c>
      <c r="E182" s="2205"/>
      <c r="F182" s="119"/>
    </row>
    <row r="183" spans="1:120" ht="15" customHeight="1" thickBot="1">
      <c r="A183" s="2173"/>
      <c r="B183" s="2177"/>
      <c r="C183" s="1470" t="s">
        <v>2580</v>
      </c>
      <c r="D183" s="2035">
        <v>0</v>
      </c>
      <c r="E183" s="2205"/>
      <c r="F183" s="119"/>
    </row>
    <row r="184" spans="1:120" ht="21" customHeight="1" thickBot="1">
      <c r="A184" s="2182" t="s">
        <v>549</v>
      </c>
      <c r="B184" s="2185" t="s">
        <v>1430</v>
      </c>
      <c r="C184" s="439" t="s">
        <v>1431</v>
      </c>
      <c r="D184" s="2031"/>
      <c r="E184" s="2209" t="s">
        <v>2865</v>
      </c>
      <c r="F184" s="119"/>
    </row>
    <row r="185" spans="1:120" ht="15" customHeight="1">
      <c r="A185" s="2183"/>
      <c r="B185" s="2177"/>
      <c r="C185" s="1926" t="s">
        <v>2864</v>
      </c>
      <c r="D185" s="2069">
        <v>0</v>
      </c>
      <c r="E185" s="2205"/>
      <c r="F185" s="119"/>
    </row>
    <row r="186" spans="1:120" s="14" customFormat="1" ht="15" customHeight="1">
      <c r="A186" s="2183"/>
      <c r="B186" s="2177"/>
      <c r="C186" s="1454" t="s">
        <v>2581</v>
      </c>
      <c r="D186" s="2069">
        <v>0</v>
      </c>
      <c r="E186" s="2205"/>
      <c r="F186" s="1521"/>
      <c r="G186" s="1522"/>
      <c r="H186" s="1522"/>
      <c r="I186" s="1522"/>
      <c r="J186" s="1522"/>
      <c r="K186" s="1522"/>
      <c r="L186" s="1522"/>
      <c r="M186" s="1522"/>
      <c r="N186" s="1522"/>
      <c r="O186" s="1522"/>
      <c r="P186" s="1522"/>
      <c r="Q186" s="1522"/>
      <c r="R186" s="1522"/>
      <c r="S186" s="1522"/>
      <c r="T186" s="1522"/>
      <c r="U186" s="1522"/>
      <c r="V186" s="1522"/>
      <c r="W186" s="1522"/>
      <c r="X186" s="1522"/>
      <c r="Y186" s="1522"/>
      <c r="Z186" s="1522"/>
      <c r="AA186" s="1522"/>
      <c r="AB186" s="1522"/>
      <c r="AC186" s="1522"/>
      <c r="AD186" s="1522"/>
      <c r="AE186" s="1522"/>
      <c r="AF186" s="1522"/>
      <c r="AG186" s="1522"/>
      <c r="AH186" s="1522"/>
      <c r="AI186" s="1522"/>
      <c r="AJ186" s="1522"/>
      <c r="AK186" s="1522"/>
      <c r="AL186" s="1522"/>
      <c r="AM186" s="1522"/>
      <c r="AN186" s="1522"/>
      <c r="AO186" s="1522"/>
      <c r="AP186" s="1522"/>
      <c r="AQ186" s="1522"/>
      <c r="AR186" s="1522"/>
      <c r="AS186" s="1522"/>
      <c r="AT186" s="1522"/>
      <c r="AU186" s="1522"/>
      <c r="AV186" s="1522"/>
      <c r="AW186" s="1522"/>
      <c r="AX186" s="1522"/>
      <c r="AY186" s="1522"/>
      <c r="AZ186" s="1522"/>
      <c r="BA186" s="1522"/>
      <c r="BB186" s="1522"/>
      <c r="BC186" s="1522"/>
      <c r="BD186" s="1522"/>
      <c r="BE186" s="1522"/>
      <c r="BF186" s="1522"/>
      <c r="BG186" s="1522"/>
      <c r="BH186" s="1522"/>
      <c r="BI186" s="1522"/>
      <c r="BJ186" s="1522"/>
      <c r="BK186" s="1522"/>
      <c r="BL186" s="1522"/>
      <c r="BM186" s="1522"/>
      <c r="BN186" s="1522"/>
      <c r="BO186" s="1522"/>
      <c r="BP186" s="1522"/>
      <c r="BQ186" s="1522"/>
      <c r="BR186" s="1522"/>
      <c r="BS186" s="1522"/>
      <c r="BT186" s="1522"/>
      <c r="BU186" s="1522"/>
      <c r="BV186" s="1522"/>
      <c r="BW186" s="1522"/>
      <c r="BX186" s="1522"/>
      <c r="BY186" s="1522"/>
      <c r="BZ186" s="1522"/>
      <c r="CA186" s="1522"/>
      <c r="CB186" s="1522"/>
      <c r="CC186" s="1522"/>
      <c r="CD186" s="1522"/>
      <c r="CE186" s="1522"/>
      <c r="CF186" s="1522"/>
      <c r="CG186" s="1522"/>
      <c r="CH186" s="1522"/>
      <c r="CI186" s="1522"/>
      <c r="CJ186" s="1522"/>
      <c r="CK186" s="1522"/>
      <c r="CL186" s="1522"/>
      <c r="CM186" s="1522"/>
      <c r="CN186" s="1522"/>
      <c r="CO186" s="1522"/>
      <c r="CP186" s="1522"/>
      <c r="CQ186" s="1522"/>
      <c r="CR186" s="1522"/>
      <c r="CS186" s="1522"/>
      <c r="CT186" s="1522"/>
      <c r="CU186" s="1522"/>
      <c r="CV186" s="1522"/>
      <c r="CW186" s="1522"/>
      <c r="CX186" s="1522"/>
      <c r="CY186" s="1522"/>
      <c r="CZ186" s="1522"/>
      <c r="DA186" s="1522"/>
      <c r="DB186" s="1522"/>
      <c r="DC186" s="1522"/>
      <c r="DD186" s="1522"/>
      <c r="DE186" s="1522"/>
      <c r="DF186" s="1522"/>
      <c r="DG186" s="1522"/>
      <c r="DH186" s="1522"/>
      <c r="DI186" s="1522"/>
      <c r="DJ186" s="1522"/>
      <c r="DK186" s="1522"/>
      <c r="DL186" s="1522"/>
      <c r="DM186" s="1522"/>
      <c r="DN186" s="1522"/>
      <c r="DO186" s="1522"/>
      <c r="DP186" s="1522"/>
    </row>
    <row r="187" spans="1:120" s="14" customFormat="1" ht="15" customHeight="1">
      <c r="A187" s="2183"/>
      <c r="B187" s="2177"/>
      <c r="C187" s="1454" t="s">
        <v>2582</v>
      </c>
      <c r="D187" s="2069">
        <v>0</v>
      </c>
      <c r="E187" s="2205"/>
      <c r="F187" s="1519"/>
      <c r="G187" s="1458"/>
      <c r="H187" s="1458"/>
      <c r="I187" s="1458"/>
      <c r="J187" s="1458"/>
      <c r="K187" s="1458"/>
      <c r="L187" s="1458"/>
      <c r="M187" s="1458"/>
      <c r="N187" s="1458"/>
      <c r="O187" s="1458"/>
      <c r="P187" s="1458"/>
      <c r="Q187" s="1458"/>
      <c r="R187" s="1458"/>
      <c r="S187" s="1458"/>
      <c r="T187" s="1458"/>
      <c r="U187" s="1458"/>
      <c r="V187" s="1458"/>
      <c r="W187" s="1458"/>
      <c r="X187" s="1458"/>
      <c r="Y187" s="1458"/>
      <c r="Z187" s="1458"/>
      <c r="AA187" s="1458"/>
      <c r="AB187" s="1458"/>
      <c r="AC187" s="1458"/>
      <c r="AD187" s="1458"/>
      <c r="AE187" s="1458"/>
      <c r="AF187" s="1458"/>
      <c r="AG187" s="1458"/>
      <c r="AH187" s="1458"/>
      <c r="AI187" s="1458"/>
      <c r="AJ187" s="1458"/>
      <c r="AK187" s="1458"/>
      <c r="AL187" s="1458"/>
      <c r="AM187" s="1458"/>
      <c r="AN187" s="1458"/>
      <c r="AO187" s="1458"/>
      <c r="AP187" s="1458"/>
      <c r="AQ187" s="1458"/>
      <c r="AR187" s="1458"/>
      <c r="AS187" s="1458"/>
      <c r="AT187" s="1458"/>
      <c r="AU187" s="1458"/>
      <c r="AV187" s="1458"/>
      <c r="AW187" s="1458"/>
      <c r="AX187" s="1458"/>
      <c r="AY187" s="1458"/>
      <c r="AZ187" s="1458"/>
      <c r="BA187" s="1458"/>
      <c r="BB187" s="1458"/>
      <c r="BC187" s="1458"/>
      <c r="BD187" s="1458"/>
      <c r="BE187" s="1458"/>
      <c r="BF187" s="1458"/>
      <c r="BG187" s="1458"/>
      <c r="BH187" s="1458"/>
      <c r="BI187" s="1458"/>
      <c r="BJ187" s="1458"/>
      <c r="BK187" s="1458"/>
      <c r="BL187" s="1458"/>
      <c r="BM187" s="1458"/>
      <c r="BN187" s="1458"/>
      <c r="BO187" s="1458"/>
      <c r="BP187" s="1458"/>
      <c r="BQ187" s="1458"/>
      <c r="BR187" s="1458"/>
      <c r="BS187" s="1458"/>
      <c r="BT187" s="1458"/>
      <c r="BU187" s="1458"/>
      <c r="BV187" s="1458"/>
      <c r="BW187" s="1458"/>
      <c r="BX187" s="1458"/>
      <c r="BY187" s="1458"/>
      <c r="BZ187" s="1458"/>
      <c r="CA187" s="1458"/>
      <c r="CB187" s="1458"/>
      <c r="CC187" s="1458"/>
      <c r="CD187" s="1458"/>
      <c r="CE187" s="1458"/>
      <c r="CF187" s="1458"/>
      <c r="CG187" s="1458"/>
      <c r="CH187" s="1458"/>
      <c r="CI187" s="1458"/>
      <c r="CJ187" s="1458"/>
      <c r="CK187" s="1458"/>
      <c r="CL187" s="1458"/>
      <c r="CM187" s="1458"/>
      <c r="CN187" s="1458"/>
      <c r="CO187" s="1458"/>
      <c r="CP187" s="1458"/>
      <c r="CQ187" s="1458"/>
      <c r="CR187" s="1458"/>
      <c r="CS187" s="1458"/>
      <c r="CT187" s="1458"/>
      <c r="CU187" s="1458"/>
      <c r="CV187" s="1458"/>
      <c r="CW187" s="1458"/>
      <c r="CX187" s="1458"/>
      <c r="CY187" s="1458"/>
      <c r="CZ187" s="1458"/>
      <c r="DA187" s="1458"/>
      <c r="DB187" s="1458"/>
      <c r="DC187" s="1458"/>
      <c r="DD187" s="1458"/>
      <c r="DE187" s="1458"/>
      <c r="DF187" s="1458"/>
      <c r="DG187" s="1458"/>
      <c r="DH187" s="1458"/>
      <c r="DI187" s="1458"/>
      <c r="DJ187" s="1459"/>
      <c r="DK187" s="1458"/>
      <c r="DL187" s="1458"/>
      <c r="DM187" s="1458"/>
      <c r="DN187" s="1458"/>
      <c r="DO187" s="1458"/>
      <c r="DP187" s="1458"/>
    </row>
    <row r="188" spans="1:120" s="14" customFormat="1" ht="15" customHeight="1" thickBot="1">
      <c r="A188" s="2184"/>
      <c r="B188" s="2178"/>
      <c r="C188" s="1184" t="s">
        <v>2583</v>
      </c>
      <c r="D188" s="2070">
        <v>0</v>
      </c>
      <c r="E188" s="2206"/>
      <c r="F188" s="1458"/>
      <c r="G188" s="1458"/>
      <c r="H188" s="1458"/>
      <c r="I188" s="1458"/>
      <c r="J188" s="1458"/>
      <c r="K188" s="1458"/>
      <c r="L188" s="1458"/>
      <c r="M188" s="1458"/>
      <c r="N188" s="1458"/>
      <c r="O188" s="1458"/>
      <c r="P188" s="1458"/>
      <c r="Q188" s="1458"/>
      <c r="R188" s="1458"/>
      <c r="S188" s="1458"/>
      <c r="T188" s="1458"/>
      <c r="U188" s="1458"/>
      <c r="V188" s="1458"/>
      <c r="W188" s="1458"/>
      <c r="X188" s="1458"/>
      <c r="Y188" s="1458"/>
      <c r="Z188" s="1458"/>
      <c r="AA188" s="1458"/>
      <c r="AB188" s="1458"/>
      <c r="AC188" s="1458"/>
      <c r="AD188" s="1458"/>
      <c r="AE188" s="1458"/>
      <c r="AF188" s="1458"/>
      <c r="AG188" s="1458"/>
      <c r="AH188" s="1458"/>
      <c r="AI188" s="1458"/>
      <c r="AJ188" s="1458"/>
      <c r="AK188" s="1458"/>
      <c r="AL188" s="1458"/>
      <c r="AM188" s="1458"/>
      <c r="AN188" s="1458"/>
      <c r="AO188" s="1458"/>
      <c r="AP188" s="1458"/>
      <c r="AQ188" s="1458"/>
      <c r="AR188" s="1458"/>
      <c r="AS188" s="1458"/>
      <c r="AT188" s="1458"/>
      <c r="AU188" s="1458"/>
      <c r="AV188" s="1458"/>
      <c r="AW188" s="1458"/>
      <c r="AX188" s="1458"/>
      <c r="AY188" s="1458"/>
      <c r="AZ188" s="1458"/>
      <c r="BA188" s="1458"/>
      <c r="BB188" s="1458"/>
      <c r="BC188" s="1458"/>
      <c r="BD188" s="1458"/>
      <c r="BE188" s="1458"/>
      <c r="BF188" s="1458"/>
      <c r="BG188" s="1458"/>
      <c r="BH188" s="1458"/>
      <c r="BI188" s="1458"/>
      <c r="BJ188" s="1458"/>
      <c r="BK188" s="1458"/>
      <c r="BL188" s="1458"/>
      <c r="BM188" s="1458"/>
      <c r="BN188" s="1458"/>
      <c r="BO188" s="1458"/>
      <c r="BP188" s="1458"/>
      <c r="BQ188" s="1458"/>
      <c r="BR188" s="1458"/>
      <c r="BS188" s="1458"/>
      <c r="BT188" s="1458"/>
      <c r="BU188" s="1458"/>
      <c r="BV188" s="1458"/>
      <c r="BW188" s="1458"/>
      <c r="BX188" s="1458"/>
      <c r="BY188" s="1458"/>
      <c r="BZ188" s="1458"/>
      <c r="CA188" s="1458"/>
      <c r="CB188" s="1458"/>
      <c r="CC188" s="1458"/>
      <c r="CD188" s="1458"/>
      <c r="CE188" s="1458"/>
      <c r="CF188" s="1458"/>
      <c r="CG188" s="1458"/>
      <c r="CH188" s="1458"/>
      <c r="CI188" s="1458"/>
      <c r="CJ188" s="1458"/>
      <c r="CK188" s="1458"/>
      <c r="CL188" s="1458"/>
      <c r="CM188" s="1458"/>
      <c r="CN188" s="1458"/>
      <c r="CO188" s="1458"/>
      <c r="CP188" s="1458"/>
      <c r="CQ188" s="1458"/>
      <c r="CR188" s="1458"/>
      <c r="CS188" s="1458"/>
      <c r="CT188" s="1458"/>
      <c r="CU188" s="1458"/>
      <c r="CV188" s="1458"/>
      <c r="CW188" s="1458"/>
      <c r="CX188" s="1458"/>
      <c r="CY188" s="1458"/>
      <c r="CZ188" s="1458"/>
      <c r="DA188" s="1458"/>
      <c r="DB188" s="1458"/>
      <c r="DC188" s="1458"/>
      <c r="DD188" s="1458"/>
      <c r="DE188" s="1458"/>
      <c r="DF188" s="1458"/>
      <c r="DG188" s="1458"/>
      <c r="DH188" s="1458"/>
      <c r="DI188" s="1458"/>
      <c r="DJ188" s="1459"/>
      <c r="DK188" s="1458"/>
      <c r="DL188" s="1458"/>
      <c r="DM188" s="1458"/>
      <c r="DN188" s="1458"/>
      <c r="DO188" s="1458"/>
      <c r="DP188" s="1458"/>
    </row>
    <row r="189" spans="1:120" s="14" customFormat="1" ht="30" customHeight="1" thickBot="1">
      <c r="A189" s="2180" t="s">
        <v>550</v>
      </c>
      <c r="B189" s="2188" t="s">
        <v>1432</v>
      </c>
      <c r="C189" s="448" t="s">
        <v>1485</v>
      </c>
      <c r="D189" s="2034"/>
      <c r="E189" s="2208" t="s">
        <v>2434</v>
      </c>
      <c r="F189" s="1519"/>
      <c r="G189" s="1458"/>
      <c r="H189" s="1458"/>
      <c r="I189" s="1458"/>
      <c r="J189" s="1458"/>
      <c r="K189" s="1458"/>
      <c r="L189" s="1458"/>
      <c r="M189" s="1458"/>
      <c r="N189" s="1458"/>
      <c r="O189" s="1458"/>
      <c r="P189" s="1458"/>
      <c r="Q189" s="1458"/>
      <c r="R189" s="1458"/>
      <c r="S189" s="1458"/>
      <c r="T189" s="1458"/>
      <c r="U189" s="1458"/>
      <c r="V189" s="1458"/>
      <c r="W189" s="1458"/>
      <c r="X189" s="1458"/>
      <c r="Y189" s="1458"/>
      <c r="Z189" s="1458"/>
      <c r="AA189" s="1458"/>
      <c r="AB189" s="1458"/>
      <c r="AC189" s="1458"/>
      <c r="AD189" s="1458"/>
      <c r="AE189" s="1458"/>
      <c r="AF189" s="1458"/>
      <c r="AG189" s="1458"/>
      <c r="AH189" s="1458"/>
      <c r="AI189" s="1458"/>
      <c r="AJ189" s="1458"/>
      <c r="AK189" s="1458"/>
      <c r="AL189" s="1458"/>
      <c r="AM189" s="1458"/>
      <c r="AN189" s="1458"/>
      <c r="AO189" s="1458"/>
      <c r="AP189" s="1458"/>
      <c r="AQ189" s="1458"/>
      <c r="AR189" s="1458"/>
      <c r="AS189" s="1458"/>
      <c r="AT189" s="1458"/>
      <c r="AU189" s="1458"/>
      <c r="AV189" s="1458"/>
      <c r="AW189" s="1458"/>
      <c r="AX189" s="1458"/>
      <c r="AY189" s="1458"/>
      <c r="AZ189" s="1458"/>
      <c r="BA189" s="1458"/>
      <c r="BB189" s="1458"/>
      <c r="BC189" s="1458"/>
      <c r="BD189" s="1458"/>
      <c r="BE189" s="1458"/>
      <c r="BF189" s="1458"/>
      <c r="BG189" s="1458"/>
      <c r="BH189" s="1458"/>
      <c r="BI189" s="1458"/>
      <c r="BJ189" s="1458"/>
      <c r="BK189" s="1458"/>
      <c r="BL189" s="1458"/>
      <c r="BM189" s="1458"/>
      <c r="BN189" s="1458"/>
      <c r="BO189" s="1458"/>
      <c r="BP189" s="1458"/>
      <c r="BQ189" s="1458"/>
      <c r="BR189" s="1458"/>
      <c r="BS189" s="1458"/>
      <c r="BT189" s="1458"/>
      <c r="BU189" s="1458"/>
      <c r="BV189" s="1458"/>
      <c r="BW189" s="1458"/>
      <c r="BX189" s="1458"/>
      <c r="BY189" s="1458"/>
      <c r="BZ189" s="1458"/>
      <c r="CA189" s="1458"/>
      <c r="CB189" s="1458"/>
      <c r="CC189" s="1458"/>
      <c r="CD189" s="1458"/>
      <c r="CE189" s="1458"/>
      <c r="CF189" s="1458"/>
      <c r="CG189" s="1458"/>
      <c r="CH189" s="1458"/>
      <c r="CI189" s="1458"/>
      <c r="CJ189" s="1458"/>
      <c r="CK189" s="1458"/>
      <c r="CL189" s="1458"/>
      <c r="CM189" s="1458"/>
      <c r="CN189" s="1458"/>
      <c r="CO189" s="1458"/>
      <c r="CP189" s="1458"/>
      <c r="CQ189" s="1458"/>
      <c r="CR189" s="1458"/>
      <c r="CS189" s="1458"/>
      <c r="CT189" s="1458"/>
      <c r="CU189" s="1458"/>
      <c r="CV189" s="1458"/>
      <c r="CW189" s="1458"/>
      <c r="CX189" s="1458"/>
      <c r="CY189" s="1458"/>
      <c r="CZ189" s="1458"/>
      <c r="DA189" s="1458"/>
      <c r="DB189" s="1458"/>
      <c r="DC189" s="1458"/>
      <c r="DD189" s="1458"/>
      <c r="DE189" s="1458"/>
      <c r="DF189" s="1458"/>
      <c r="DG189" s="1458"/>
      <c r="DH189" s="1458"/>
      <c r="DI189" s="1458"/>
      <c r="DJ189" s="1459"/>
      <c r="DK189" s="1458"/>
      <c r="DL189" s="1458"/>
      <c r="DM189" s="1458"/>
      <c r="DN189" s="1458"/>
      <c r="DO189" s="1458"/>
      <c r="DP189" s="1458"/>
    </row>
    <row r="190" spans="1:120" s="14" customFormat="1" ht="15" customHeight="1">
      <c r="A190" s="2180"/>
      <c r="B190" s="2177"/>
      <c r="C190" s="1503" t="s">
        <v>1787</v>
      </c>
      <c r="D190" s="2036">
        <v>0</v>
      </c>
      <c r="E190" s="2205"/>
      <c r="F190" s="1519"/>
      <c r="G190" s="1458"/>
      <c r="H190" s="1458"/>
      <c r="I190" s="1458"/>
      <c r="J190" s="1458"/>
      <c r="K190" s="1458"/>
      <c r="L190" s="1458"/>
      <c r="M190" s="1458"/>
      <c r="N190" s="1458"/>
      <c r="O190" s="1458"/>
      <c r="P190" s="1458"/>
      <c r="Q190" s="1458"/>
      <c r="R190" s="1458"/>
      <c r="S190" s="1458"/>
      <c r="T190" s="1458"/>
      <c r="U190" s="1458"/>
      <c r="V190" s="1458"/>
      <c r="W190" s="1458"/>
      <c r="X190" s="1458"/>
      <c r="Y190" s="1458"/>
      <c r="Z190" s="1458"/>
      <c r="AA190" s="1458"/>
      <c r="AB190" s="1458"/>
      <c r="AC190" s="1458"/>
      <c r="AD190" s="1458"/>
      <c r="AE190" s="1458"/>
      <c r="AF190" s="1458"/>
      <c r="AG190" s="1458"/>
      <c r="AH190" s="1458"/>
      <c r="AI190" s="1458"/>
      <c r="AJ190" s="1458"/>
      <c r="AK190" s="1458"/>
      <c r="AL190" s="1458"/>
      <c r="AM190" s="1458"/>
      <c r="AN190" s="1458"/>
      <c r="AO190" s="1458"/>
      <c r="AP190" s="1458"/>
      <c r="AQ190" s="1458"/>
      <c r="AR190" s="1458"/>
      <c r="AS190" s="1458"/>
      <c r="AT190" s="1458"/>
      <c r="AU190" s="1458"/>
      <c r="AV190" s="1458"/>
      <c r="AW190" s="1458"/>
      <c r="AX190" s="1458"/>
      <c r="AY190" s="1458"/>
      <c r="AZ190" s="1458"/>
      <c r="BA190" s="1458"/>
      <c r="BB190" s="1458"/>
      <c r="BC190" s="1458"/>
      <c r="BD190" s="1458"/>
      <c r="BE190" s="1458"/>
      <c r="BF190" s="1458"/>
      <c r="BG190" s="1458"/>
      <c r="BH190" s="1458"/>
      <c r="BI190" s="1458"/>
      <c r="BJ190" s="1458"/>
      <c r="BK190" s="1458"/>
      <c r="BL190" s="1458"/>
      <c r="BM190" s="1458"/>
      <c r="BN190" s="1458"/>
      <c r="BO190" s="1458"/>
      <c r="BP190" s="1458"/>
      <c r="BQ190" s="1458"/>
      <c r="BR190" s="1458"/>
      <c r="BS190" s="1458"/>
      <c r="BT190" s="1458"/>
      <c r="BU190" s="1458"/>
      <c r="BV190" s="1458"/>
      <c r="BW190" s="1458"/>
      <c r="BX190" s="1458"/>
      <c r="BY190" s="1458"/>
      <c r="BZ190" s="1458"/>
      <c r="CA190" s="1458"/>
      <c r="CB190" s="1458"/>
      <c r="CC190" s="1458"/>
      <c r="CD190" s="1458"/>
      <c r="CE190" s="1458"/>
      <c r="CF190" s="1458"/>
      <c r="CG190" s="1458"/>
      <c r="CH190" s="1458"/>
      <c r="CI190" s="1458"/>
      <c r="CJ190" s="1458"/>
      <c r="CK190" s="1458"/>
      <c r="CL190" s="1458"/>
      <c r="CM190" s="1458"/>
      <c r="CN190" s="1458"/>
      <c r="CO190" s="1458"/>
      <c r="CP190" s="1458"/>
      <c r="CQ190" s="1458"/>
      <c r="CR190" s="1458"/>
      <c r="CS190" s="1458"/>
      <c r="CT190" s="1458"/>
      <c r="CU190" s="1458"/>
      <c r="CV190" s="1458"/>
      <c r="CW190" s="1458"/>
      <c r="CX190" s="1458"/>
      <c r="CY190" s="1458"/>
      <c r="CZ190" s="1458"/>
      <c r="DA190" s="1458"/>
      <c r="DB190" s="1458"/>
      <c r="DC190" s="1458"/>
      <c r="DD190" s="1458"/>
      <c r="DE190" s="1458"/>
      <c r="DF190" s="1458"/>
      <c r="DG190" s="1458"/>
      <c r="DH190" s="1458"/>
      <c r="DI190" s="1458"/>
      <c r="DJ190" s="1459"/>
      <c r="DK190" s="1458"/>
      <c r="DL190" s="1458"/>
      <c r="DM190" s="1458"/>
      <c r="DN190" s="1458"/>
      <c r="DO190" s="1458"/>
      <c r="DP190" s="1458"/>
    </row>
    <row r="191" spans="1:120" ht="15" customHeight="1">
      <c r="A191" s="2180"/>
      <c r="B191" s="2177"/>
      <c r="C191" s="1454" t="s">
        <v>2529</v>
      </c>
      <c r="D191" s="2036">
        <v>0</v>
      </c>
      <c r="E191" s="2205"/>
      <c r="F191" s="1518"/>
    </row>
    <row r="192" spans="1:120" ht="15" customHeight="1" thickBot="1">
      <c r="A192" s="2180"/>
      <c r="B192" s="2177"/>
      <c r="C192" s="1470" t="s">
        <v>1486</v>
      </c>
      <c r="D192" s="2037">
        <v>0</v>
      </c>
      <c r="E192" s="2205"/>
      <c r="F192" s="119"/>
    </row>
    <row r="193" spans="1:6" ht="33" customHeight="1" thickBot="1">
      <c r="A193" s="703" t="s">
        <v>551</v>
      </c>
      <c r="B193" s="1502" t="s">
        <v>1433</v>
      </c>
      <c r="C193" s="536" t="s">
        <v>2873</v>
      </c>
      <c r="D193" s="2071"/>
      <c r="E193" s="123"/>
      <c r="F193" s="119"/>
    </row>
    <row r="194" spans="1:6" ht="30" customHeight="1" thickBot="1">
      <c r="A194" s="2183" t="s">
        <v>48</v>
      </c>
      <c r="B194" s="2188" t="s">
        <v>1092</v>
      </c>
      <c r="C194" s="448" t="s">
        <v>1487</v>
      </c>
      <c r="D194" s="2034"/>
      <c r="E194" s="2208" t="s">
        <v>2435</v>
      </c>
      <c r="F194" s="119"/>
    </row>
    <row r="195" spans="1:6" ht="15" customHeight="1">
      <c r="A195" s="2183"/>
      <c r="B195" s="2177"/>
      <c r="C195" s="1503" t="s">
        <v>2584</v>
      </c>
      <c r="D195" s="2032">
        <v>0</v>
      </c>
      <c r="E195" s="2205"/>
      <c r="F195" s="1518"/>
    </row>
    <row r="196" spans="1:6" ht="15" customHeight="1">
      <c r="A196" s="2183"/>
      <c r="B196" s="2177"/>
      <c r="C196" s="1454" t="s">
        <v>2529</v>
      </c>
      <c r="D196" s="2032">
        <v>0</v>
      </c>
      <c r="E196" s="2205"/>
      <c r="F196" s="1518"/>
    </row>
    <row r="197" spans="1:6" ht="15" customHeight="1" thickBot="1">
      <c r="A197" s="2183"/>
      <c r="B197" s="2177"/>
      <c r="C197" s="1470" t="s">
        <v>2585</v>
      </c>
      <c r="D197" s="2035">
        <v>0</v>
      </c>
      <c r="E197" s="2205"/>
      <c r="F197" s="119"/>
    </row>
    <row r="198" spans="1:6" ht="33" customHeight="1" thickBot="1">
      <c r="A198" s="703" t="s">
        <v>49</v>
      </c>
      <c r="B198" s="1502" t="s">
        <v>1111</v>
      </c>
      <c r="C198" s="1056" t="s">
        <v>1788</v>
      </c>
      <c r="D198" s="2047">
        <v>0</v>
      </c>
      <c r="E198" s="123" t="s">
        <v>2436</v>
      </c>
      <c r="F198" s="119"/>
    </row>
    <row r="199" spans="1:6" ht="33" customHeight="1" thickBot="1">
      <c r="A199" s="1480" t="s">
        <v>50</v>
      </c>
      <c r="B199" s="1511" t="s">
        <v>1488</v>
      </c>
      <c r="C199" s="4" t="s">
        <v>1789</v>
      </c>
      <c r="D199" s="2048">
        <v>0</v>
      </c>
      <c r="E199" s="1469" t="s">
        <v>2437</v>
      </c>
      <c r="F199" s="119"/>
    </row>
    <row r="200" spans="1:6" ht="30" customHeight="1" thickBot="1">
      <c r="A200" s="2181" t="s">
        <v>51</v>
      </c>
      <c r="B200" s="2186" t="s">
        <v>1491</v>
      </c>
      <c r="C200" s="439" t="s">
        <v>1492</v>
      </c>
      <c r="D200" s="2031"/>
      <c r="E200" s="2212" t="s">
        <v>2836</v>
      </c>
      <c r="F200" s="1518"/>
    </row>
    <row r="201" spans="1:6" ht="15.6" customHeight="1">
      <c r="A201" s="2173"/>
      <c r="B201" s="2177"/>
      <c r="C201" s="1503" t="s">
        <v>2586</v>
      </c>
      <c r="D201" s="2036">
        <v>0</v>
      </c>
      <c r="E201" s="2205"/>
      <c r="F201" s="1518"/>
    </row>
    <row r="202" spans="1:6" ht="15.6" customHeight="1">
      <c r="A202" s="2173"/>
      <c r="B202" s="2177"/>
      <c r="C202" s="1454" t="s">
        <v>2587</v>
      </c>
      <c r="D202" s="2036">
        <v>0</v>
      </c>
      <c r="E202" s="2205"/>
      <c r="F202" s="1518"/>
    </row>
    <row r="203" spans="1:6" ht="15.6" customHeight="1">
      <c r="A203" s="2173"/>
      <c r="B203" s="2177"/>
      <c r="C203" s="1454" t="s">
        <v>2588</v>
      </c>
      <c r="D203" s="2036">
        <v>0</v>
      </c>
      <c r="E203" s="2205"/>
      <c r="F203" s="1518"/>
    </row>
    <row r="204" spans="1:6" ht="27" customHeight="1">
      <c r="A204" s="2173"/>
      <c r="B204" s="2177"/>
      <c r="C204" s="1454" t="s">
        <v>2240</v>
      </c>
      <c r="D204" s="2036">
        <v>0</v>
      </c>
      <c r="E204" s="2205"/>
      <c r="F204" s="119"/>
    </row>
    <row r="205" spans="1:6" ht="27" customHeight="1" thickBot="1">
      <c r="A205" s="2175"/>
      <c r="B205" s="2178"/>
      <c r="C205" s="1184" t="s">
        <v>2241</v>
      </c>
      <c r="D205" s="2039">
        <v>0</v>
      </c>
      <c r="E205" s="2206"/>
      <c r="F205" s="119"/>
    </row>
    <row r="206" spans="1:6" ht="21" customHeight="1" thickBot="1">
      <c r="A206" s="2180" t="s">
        <v>52</v>
      </c>
      <c r="B206" s="2194" t="s">
        <v>1493</v>
      </c>
      <c r="C206" s="448" t="s">
        <v>1494</v>
      </c>
      <c r="D206" s="2034"/>
      <c r="E206" s="2213" t="s">
        <v>2837</v>
      </c>
      <c r="F206" s="119"/>
    </row>
    <row r="207" spans="1:6" ht="27" customHeight="1">
      <c r="A207" s="2173"/>
      <c r="B207" s="2177"/>
      <c r="C207" s="1503" t="s">
        <v>1314</v>
      </c>
      <c r="D207" s="2036">
        <v>0</v>
      </c>
      <c r="E207" s="2205"/>
      <c r="F207" s="119"/>
    </row>
    <row r="208" spans="1:6" ht="15" customHeight="1">
      <c r="A208" s="2173"/>
      <c r="B208" s="2177"/>
      <c r="C208" s="1454" t="s">
        <v>1495</v>
      </c>
      <c r="D208" s="2036">
        <v>0</v>
      </c>
      <c r="E208" s="2205"/>
      <c r="F208" s="119"/>
    </row>
    <row r="209" spans="1:6" ht="27" customHeight="1" thickBot="1">
      <c r="A209" s="2173"/>
      <c r="B209" s="2177"/>
      <c r="C209" s="1470" t="s">
        <v>1315</v>
      </c>
      <c r="D209" s="2037">
        <v>0</v>
      </c>
      <c r="E209" s="2205"/>
      <c r="F209" s="1518"/>
    </row>
    <row r="210" spans="1:6" ht="30" customHeight="1" thickBot="1">
      <c r="A210" s="703" t="s">
        <v>142</v>
      </c>
      <c r="B210" s="1502" t="s">
        <v>1489</v>
      </c>
      <c r="C210" s="1056" t="s">
        <v>2242</v>
      </c>
      <c r="D210" s="2047">
        <v>0</v>
      </c>
      <c r="E210" s="123" t="s">
        <v>2838</v>
      </c>
      <c r="F210" s="1518"/>
    </row>
    <row r="211" spans="1:6" ht="33" customHeight="1" thickBot="1">
      <c r="A211" s="1480" t="s">
        <v>53</v>
      </c>
      <c r="B211" s="1512" t="s">
        <v>1490</v>
      </c>
      <c r="C211" s="1471" t="s">
        <v>1790</v>
      </c>
      <c r="D211" s="2049">
        <v>0</v>
      </c>
      <c r="E211" s="1921" t="s">
        <v>2839</v>
      </c>
      <c r="F211" s="1518"/>
    </row>
    <row r="212" spans="1:6" ht="30" customHeight="1" thickBot="1">
      <c r="A212" s="2181" t="s">
        <v>74</v>
      </c>
      <c r="B212" s="2186" t="s">
        <v>1434</v>
      </c>
      <c r="C212" s="439" t="s">
        <v>2589</v>
      </c>
      <c r="D212" s="2031"/>
      <c r="E212" s="2212" t="s">
        <v>2438</v>
      </c>
      <c r="F212" s="1518"/>
    </row>
    <row r="213" spans="1:6" ht="27" customHeight="1">
      <c r="A213" s="2173"/>
      <c r="B213" s="2177"/>
      <c r="C213" s="1503" t="s">
        <v>2237</v>
      </c>
      <c r="D213" s="2036">
        <v>0</v>
      </c>
      <c r="E213" s="2205"/>
      <c r="F213" s="119"/>
    </row>
    <row r="214" spans="1:6" ht="15" customHeight="1">
      <c r="A214" s="2173"/>
      <c r="B214" s="2177"/>
      <c r="C214" s="1454" t="s">
        <v>1496</v>
      </c>
      <c r="D214" s="2036">
        <v>0</v>
      </c>
      <c r="E214" s="2205"/>
      <c r="F214" s="1518"/>
    </row>
    <row r="215" spans="1:6" ht="15" customHeight="1">
      <c r="A215" s="2173"/>
      <c r="B215" s="2177"/>
      <c r="C215" s="1454" t="s">
        <v>2359</v>
      </c>
      <c r="D215" s="2036">
        <v>0</v>
      </c>
      <c r="E215" s="2205"/>
      <c r="F215" s="1518"/>
    </row>
    <row r="216" spans="1:6" ht="15" customHeight="1">
      <c r="A216" s="2173"/>
      <c r="B216" s="2177"/>
      <c r="C216" s="1454" t="s">
        <v>1497</v>
      </c>
      <c r="D216" s="2036">
        <v>0</v>
      </c>
      <c r="E216" s="2205"/>
      <c r="F216" s="119"/>
    </row>
    <row r="217" spans="1:6" ht="15" customHeight="1" thickBot="1">
      <c r="A217" s="2175"/>
      <c r="B217" s="2178"/>
      <c r="C217" s="1184" t="s">
        <v>1498</v>
      </c>
      <c r="D217" s="2039">
        <v>0</v>
      </c>
      <c r="E217" s="2206"/>
      <c r="F217" s="119"/>
    </row>
    <row r="218" spans="1:6" ht="21" customHeight="1" thickBot="1">
      <c r="A218" s="2183" t="s">
        <v>552</v>
      </c>
      <c r="B218" s="2193" t="s">
        <v>1435</v>
      </c>
      <c r="C218" s="448" t="s">
        <v>1436</v>
      </c>
      <c r="D218" s="2031"/>
      <c r="E218" s="2211" t="s">
        <v>2840</v>
      </c>
      <c r="F218" s="119"/>
    </row>
    <row r="219" spans="1:6" ht="15" customHeight="1">
      <c r="A219" s="2183"/>
      <c r="B219" s="2177"/>
      <c r="C219" s="740" t="s">
        <v>1499</v>
      </c>
      <c r="D219" s="2050">
        <v>0</v>
      </c>
      <c r="E219" s="2205"/>
      <c r="F219" s="119"/>
    </row>
    <row r="220" spans="1:6" ht="27" customHeight="1">
      <c r="A220" s="2183"/>
      <c r="B220" s="2177"/>
      <c r="C220" s="1497" t="s">
        <v>2346</v>
      </c>
      <c r="D220" s="2051">
        <v>0</v>
      </c>
      <c r="E220" s="2205"/>
      <c r="F220" s="119"/>
    </row>
    <row r="221" spans="1:6" ht="15" customHeight="1" thickBot="1">
      <c r="A221" s="2183"/>
      <c r="B221" s="2177"/>
      <c r="C221" s="1507" t="s">
        <v>1437</v>
      </c>
      <c r="D221" s="2052"/>
      <c r="E221" s="2205"/>
      <c r="F221" s="1518"/>
    </row>
    <row r="222" spans="1:6" ht="21" customHeight="1" thickBot="1">
      <c r="A222" s="2195" t="s">
        <v>575</v>
      </c>
      <c r="B222" s="2198" t="s">
        <v>1438</v>
      </c>
      <c r="C222" s="439" t="s">
        <v>1439</v>
      </c>
      <c r="D222" s="2031"/>
      <c r="E222" s="2218" t="s">
        <v>2841</v>
      </c>
    </row>
    <row r="223" spans="1:6" ht="15" customHeight="1">
      <c r="A223" s="2196"/>
      <c r="B223" s="2177"/>
      <c r="C223" s="740" t="s">
        <v>1500</v>
      </c>
      <c r="D223" s="2053">
        <v>0</v>
      </c>
      <c r="E223" s="2205"/>
    </row>
    <row r="224" spans="1:6" ht="15" customHeight="1">
      <c r="A224" s="2196"/>
      <c r="B224" s="2177"/>
      <c r="C224" s="1498" t="s">
        <v>1501</v>
      </c>
      <c r="D224" s="2053">
        <v>0</v>
      </c>
      <c r="E224" s="2205"/>
    </row>
    <row r="225" spans="1:6" ht="15" customHeight="1">
      <c r="A225" s="2196"/>
      <c r="B225" s="2177"/>
      <c r="C225" s="1497" t="s">
        <v>1440</v>
      </c>
      <c r="D225" s="2054"/>
      <c r="E225" s="2205"/>
    </row>
    <row r="226" spans="1:6" ht="15" customHeight="1" thickBot="1">
      <c r="A226" s="2197"/>
      <c r="B226" s="2178"/>
      <c r="C226" s="1513" t="s">
        <v>1969</v>
      </c>
      <c r="D226" s="2072"/>
      <c r="E226" s="2206"/>
    </row>
    <row r="227" spans="1:6" ht="21" customHeight="1" thickBot="1">
      <c r="A227" s="2180" t="s">
        <v>54</v>
      </c>
      <c r="B227" s="2188" t="s">
        <v>1502</v>
      </c>
      <c r="C227" s="448" t="s">
        <v>1116</v>
      </c>
      <c r="D227" s="2034"/>
      <c r="E227" s="2208" t="s">
        <v>2439</v>
      </c>
    </row>
    <row r="228" spans="1:6" ht="15" customHeight="1">
      <c r="A228" s="2173"/>
      <c r="B228" s="2177"/>
      <c r="C228" s="1508" t="s">
        <v>1503</v>
      </c>
      <c r="D228" s="2038">
        <v>0</v>
      </c>
      <c r="E228" s="2205"/>
    </row>
    <row r="229" spans="1:6" ht="41.4">
      <c r="A229" s="2173"/>
      <c r="B229" s="2177"/>
      <c r="C229" s="1509" t="s">
        <v>1504</v>
      </c>
      <c r="D229" s="2038">
        <v>0</v>
      </c>
      <c r="E229" s="2205"/>
    </row>
    <row r="230" spans="1:6" ht="15" customHeight="1" thickBot="1">
      <c r="A230" s="2173"/>
      <c r="B230" s="2177"/>
      <c r="C230" s="1470" t="s">
        <v>1505</v>
      </c>
      <c r="D230" s="2042">
        <v>0</v>
      </c>
      <c r="E230" s="2205"/>
      <c r="F230" s="1518"/>
    </row>
    <row r="231" spans="1:6" ht="21" customHeight="1" thickBot="1">
      <c r="A231" s="2181" t="s">
        <v>55</v>
      </c>
      <c r="B231" s="2186" t="s">
        <v>1506</v>
      </c>
      <c r="C231" s="439" t="s">
        <v>1507</v>
      </c>
      <c r="D231" s="2031"/>
      <c r="E231" s="2212" t="s">
        <v>2479</v>
      </c>
      <c r="F231" s="119"/>
    </row>
    <row r="232" spans="1:6" ht="27" customHeight="1">
      <c r="A232" s="2180"/>
      <c r="B232" s="2177"/>
      <c r="C232" s="1503" t="s">
        <v>1791</v>
      </c>
      <c r="D232" s="2036">
        <v>0</v>
      </c>
      <c r="E232" s="2205"/>
      <c r="F232" s="119"/>
    </row>
    <row r="233" spans="1:6" ht="27" customHeight="1">
      <c r="A233" s="2180"/>
      <c r="B233" s="2177"/>
      <c r="C233" s="1454" t="s">
        <v>2440</v>
      </c>
      <c r="D233" s="2036">
        <v>0</v>
      </c>
      <c r="E233" s="2205"/>
      <c r="F233" s="119"/>
    </row>
    <row r="234" spans="1:6" ht="15" customHeight="1" thickBot="1">
      <c r="A234" s="2187"/>
      <c r="B234" s="2178"/>
      <c r="C234" s="1184" t="s">
        <v>1792</v>
      </c>
      <c r="D234" s="2039">
        <v>0</v>
      </c>
      <c r="E234" s="2206"/>
      <c r="F234" s="119"/>
    </row>
    <row r="235" spans="1:6" ht="24" customHeight="1" thickBot="1">
      <c r="A235" s="2183" t="s">
        <v>56</v>
      </c>
      <c r="B235" s="2188" t="s">
        <v>10</v>
      </c>
      <c r="C235" s="448" t="s">
        <v>1508</v>
      </c>
      <c r="D235" s="2034"/>
      <c r="E235" s="2208" t="s">
        <v>2842</v>
      </c>
      <c r="F235" s="1518"/>
    </row>
    <row r="236" spans="1:6" ht="15" customHeight="1">
      <c r="A236" s="2183"/>
      <c r="B236" s="2177"/>
      <c r="C236" s="2115" t="s">
        <v>2997</v>
      </c>
      <c r="D236" s="2036">
        <v>0</v>
      </c>
      <c r="E236" s="2205"/>
      <c r="F236" s="119"/>
    </row>
    <row r="237" spans="1:6" ht="15" customHeight="1">
      <c r="A237" s="2183"/>
      <c r="B237" s="2177"/>
      <c r="C237" s="1454" t="s">
        <v>567</v>
      </c>
      <c r="D237" s="2036">
        <v>0</v>
      </c>
      <c r="E237" s="2205"/>
      <c r="F237" s="119"/>
    </row>
    <row r="238" spans="1:6" ht="15" customHeight="1">
      <c r="A238" s="2183"/>
      <c r="B238" s="2177"/>
      <c r="C238" s="1454" t="s">
        <v>121</v>
      </c>
      <c r="D238" s="2036">
        <v>0</v>
      </c>
      <c r="E238" s="2205"/>
      <c r="F238" s="119"/>
    </row>
    <row r="239" spans="1:6" ht="15" customHeight="1" thickBot="1">
      <c r="A239" s="2183"/>
      <c r="B239" s="2177"/>
      <c r="C239" s="1470" t="s">
        <v>120</v>
      </c>
      <c r="D239" s="2037">
        <v>0</v>
      </c>
      <c r="E239" s="2205"/>
      <c r="F239" s="1518"/>
    </row>
    <row r="240" spans="1:6" ht="30" customHeight="1" thickBot="1">
      <c r="A240" s="2182" t="s">
        <v>553</v>
      </c>
      <c r="B240" s="2185" t="s">
        <v>1603</v>
      </c>
      <c r="C240" s="439" t="s">
        <v>1955</v>
      </c>
      <c r="D240" s="2031"/>
      <c r="E240" s="2209" t="s">
        <v>2843</v>
      </c>
      <c r="F240" s="119"/>
    </row>
    <row r="241" spans="1:6" ht="15" customHeight="1">
      <c r="A241" s="2183"/>
      <c r="B241" s="2177"/>
      <c r="C241" s="1503" t="s">
        <v>122</v>
      </c>
      <c r="D241" s="2036">
        <v>0</v>
      </c>
      <c r="E241" s="2205"/>
      <c r="F241" s="119"/>
    </row>
    <row r="242" spans="1:6" ht="15" customHeight="1">
      <c r="A242" s="2183"/>
      <c r="B242" s="2177"/>
      <c r="C242" s="1454" t="s">
        <v>359</v>
      </c>
      <c r="D242" s="2036">
        <v>0</v>
      </c>
      <c r="E242" s="2205"/>
      <c r="F242" s="119"/>
    </row>
    <row r="243" spans="1:6" ht="15" customHeight="1">
      <c r="A243" s="2183"/>
      <c r="B243" s="2177"/>
      <c r="C243" s="1454" t="s">
        <v>360</v>
      </c>
      <c r="D243" s="2036">
        <v>0</v>
      </c>
      <c r="E243" s="2205"/>
      <c r="F243" s="119"/>
    </row>
    <row r="244" spans="1:6" ht="15" customHeight="1">
      <c r="A244" s="2183"/>
      <c r="B244" s="2177"/>
      <c r="C244" s="1454" t="s">
        <v>361</v>
      </c>
      <c r="D244" s="2036">
        <v>0</v>
      </c>
      <c r="E244" s="2205"/>
      <c r="F244" s="1518"/>
    </row>
    <row r="245" spans="1:6" ht="15" customHeight="1" thickBot="1">
      <c r="A245" s="2184"/>
      <c r="B245" s="2178"/>
      <c r="C245" s="1184" t="s">
        <v>2373</v>
      </c>
      <c r="D245" s="2039">
        <v>0</v>
      </c>
      <c r="E245" s="2206"/>
      <c r="F245" s="119"/>
    </row>
    <row r="246" spans="1:6" ht="21" customHeight="1" thickBot="1">
      <c r="A246" s="2180" t="s">
        <v>554</v>
      </c>
      <c r="B246" s="2188" t="s">
        <v>734</v>
      </c>
      <c r="C246" s="448" t="s">
        <v>1509</v>
      </c>
      <c r="D246" s="2034"/>
      <c r="E246" s="2208" t="s">
        <v>2844</v>
      </c>
      <c r="F246" s="119"/>
    </row>
    <row r="247" spans="1:6" ht="15" customHeight="1">
      <c r="A247" s="2173"/>
      <c r="B247" s="2177"/>
      <c r="C247" s="1503" t="s">
        <v>1115</v>
      </c>
      <c r="D247" s="2038">
        <v>0</v>
      </c>
      <c r="E247" s="2205"/>
      <c r="F247" s="119"/>
    </row>
    <row r="248" spans="1:6" ht="15" customHeight="1" thickBot="1">
      <c r="A248" s="2173"/>
      <c r="B248" s="2177"/>
      <c r="C248" s="1470" t="s">
        <v>2215</v>
      </c>
      <c r="D248" s="2037">
        <v>0</v>
      </c>
      <c r="E248" s="2205"/>
      <c r="F248" s="119"/>
    </row>
    <row r="249" spans="1:6" ht="30" customHeight="1" thickBot="1">
      <c r="A249" s="2181" t="s">
        <v>57</v>
      </c>
      <c r="B249" s="2185" t="s">
        <v>1510</v>
      </c>
      <c r="C249" s="439" t="s">
        <v>1511</v>
      </c>
      <c r="D249" s="2031"/>
      <c r="E249" s="2209" t="s">
        <v>2469</v>
      </c>
      <c r="F249" s="1518"/>
    </row>
    <row r="250" spans="1:6" ht="15" customHeight="1">
      <c r="A250" s="2173"/>
      <c r="B250" s="2177"/>
      <c r="C250" s="1503" t="s">
        <v>1512</v>
      </c>
      <c r="D250" s="2036">
        <v>0</v>
      </c>
      <c r="E250" s="2205"/>
      <c r="F250" s="119"/>
    </row>
    <row r="251" spans="1:6" ht="15" customHeight="1">
      <c r="A251" s="2173"/>
      <c r="B251" s="2177"/>
      <c r="C251" s="1454" t="s">
        <v>567</v>
      </c>
      <c r="D251" s="2038">
        <v>0</v>
      </c>
      <c r="E251" s="2205"/>
      <c r="F251" s="119"/>
    </row>
    <row r="252" spans="1:6" ht="15" customHeight="1">
      <c r="A252" s="2173"/>
      <c r="B252" s="2177"/>
      <c r="C252" s="1454" t="s">
        <v>573</v>
      </c>
      <c r="D252" s="2036">
        <v>0</v>
      </c>
      <c r="E252" s="2205"/>
      <c r="F252" s="1518"/>
    </row>
    <row r="253" spans="1:6" ht="15" customHeight="1" thickBot="1">
      <c r="A253" s="2175"/>
      <c r="B253" s="2178"/>
      <c r="C253" s="1184" t="s">
        <v>103</v>
      </c>
      <c r="D253" s="2039">
        <v>0</v>
      </c>
      <c r="E253" s="2206"/>
      <c r="F253" s="119"/>
    </row>
    <row r="254" spans="1:6" ht="45" customHeight="1" thickBot="1">
      <c r="A254" s="1480" t="s">
        <v>378</v>
      </c>
      <c r="B254" s="1511" t="s">
        <v>1513</v>
      </c>
      <c r="C254" s="4" t="s">
        <v>1793</v>
      </c>
      <c r="D254" s="2055">
        <v>0</v>
      </c>
      <c r="E254" s="1469" t="s">
        <v>2470</v>
      </c>
      <c r="F254" s="119"/>
    </row>
    <row r="255" spans="1:6" ht="30" customHeight="1" thickBot="1">
      <c r="A255" s="2181" t="s">
        <v>65</v>
      </c>
      <c r="B255" s="2186" t="s">
        <v>143</v>
      </c>
      <c r="C255" s="439" t="s">
        <v>1514</v>
      </c>
      <c r="D255" s="2031"/>
      <c r="E255" s="2212" t="s">
        <v>2845</v>
      </c>
      <c r="F255" s="119"/>
    </row>
    <row r="256" spans="1:6" ht="15" customHeight="1">
      <c r="A256" s="2173"/>
      <c r="B256" s="2177"/>
      <c r="C256" s="1503" t="s">
        <v>2612</v>
      </c>
      <c r="D256" s="2038">
        <v>0</v>
      </c>
      <c r="E256" s="2205"/>
      <c r="F256" s="119"/>
    </row>
    <row r="257" spans="1:6" ht="15" customHeight="1">
      <c r="A257" s="2173"/>
      <c r="B257" s="2177"/>
      <c r="C257" s="1454" t="s">
        <v>2590</v>
      </c>
      <c r="D257" s="2038">
        <v>0</v>
      </c>
      <c r="E257" s="2205"/>
      <c r="F257" s="1518"/>
    </row>
    <row r="258" spans="1:6" ht="15" customHeight="1">
      <c r="A258" s="2173"/>
      <c r="B258" s="2177"/>
      <c r="C258" s="1454" t="s">
        <v>2591</v>
      </c>
      <c r="D258" s="2038">
        <v>0</v>
      </c>
      <c r="E258" s="2205"/>
      <c r="F258" s="1518"/>
    </row>
    <row r="259" spans="1:6" ht="15" customHeight="1">
      <c r="A259" s="2173"/>
      <c r="B259" s="2177"/>
      <c r="C259" s="1454" t="s">
        <v>2592</v>
      </c>
      <c r="D259" s="2038">
        <v>0</v>
      </c>
      <c r="E259" s="2205"/>
      <c r="F259" s="119"/>
    </row>
    <row r="260" spans="1:6" ht="15" customHeight="1">
      <c r="A260" s="2173"/>
      <c r="B260" s="2177"/>
      <c r="C260" s="1454" t="s">
        <v>2593</v>
      </c>
      <c r="D260" s="2038">
        <v>0</v>
      </c>
      <c r="E260" s="2205"/>
      <c r="F260" s="119"/>
    </row>
    <row r="261" spans="1:6" ht="15" customHeight="1" thickBot="1">
      <c r="A261" s="2175"/>
      <c r="B261" s="2178"/>
      <c r="C261" s="1184" t="s">
        <v>2594</v>
      </c>
      <c r="D261" s="2056">
        <v>0</v>
      </c>
      <c r="E261" s="2206"/>
      <c r="F261" s="119"/>
    </row>
    <row r="262" spans="1:6" ht="21" customHeight="1" thickBot="1">
      <c r="A262" s="2183" t="s">
        <v>555</v>
      </c>
      <c r="B262" s="2193" t="s">
        <v>1443</v>
      </c>
      <c r="C262" s="448" t="s">
        <v>1442</v>
      </c>
      <c r="D262" s="2034"/>
      <c r="E262" s="2211" t="s">
        <v>2846</v>
      </c>
      <c r="F262" s="119"/>
    </row>
    <row r="263" spans="1:6" ht="15" customHeight="1">
      <c r="A263" s="2183"/>
      <c r="B263" s="2177"/>
      <c r="C263" s="1503" t="s">
        <v>2595</v>
      </c>
      <c r="D263" s="2057">
        <v>0</v>
      </c>
      <c r="E263" s="2205"/>
      <c r="F263" s="119"/>
    </row>
    <row r="264" spans="1:6" ht="15" customHeight="1">
      <c r="A264" s="2183"/>
      <c r="B264" s="2177"/>
      <c r="C264" s="1454" t="s">
        <v>2596</v>
      </c>
      <c r="D264" s="2057">
        <v>0</v>
      </c>
      <c r="E264" s="2205"/>
      <c r="F264" s="119"/>
    </row>
    <row r="265" spans="1:6" s="14" customFormat="1" ht="15" customHeight="1">
      <c r="A265" s="2183"/>
      <c r="B265" s="2177"/>
      <c r="C265" s="1454" t="s">
        <v>2597</v>
      </c>
      <c r="D265" s="2057">
        <v>0</v>
      </c>
      <c r="E265" s="2205"/>
      <c r="F265" s="1520"/>
    </row>
    <row r="266" spans="1:6" s="14" customFormat="1" ht="15" customHeight="1" thickBot="1">
      <c r="A266" s="2183"/>
      <c r="B266" s="2177"/>
      <c r="C266" s="1470" t="s">
        <v>1441</v>
      </c>
      <c r="D266" s="2058">
        <v>0</v>
      </c>
      <c r="E266" s="2205"/>
      <c r="F266" s="13"/>
    </row>
    <row r="267" spans="1:6" s="14" customFormat="1" ht="30" customHeight="1" thickBot="1">
      <c r="A267" s="2182" t="s">
        <v>556</v>
      </c>
      <c r="B267" s="2185" t="s">
        <v>588</v>
      </c>
      <c r="C267" s="439" t="s">
        <v>1515</v>
      </c>
      <c r="D267" s="2031"/>
      <c r="E267" s="2209" t="s">
        <v>2847</v>
      </c>
      <c r="F267" s="13"/>
    </row>
    <row r="268" spans="1:6" s="14" customFormat="1" ht="15" customHeight="1">
      <c r="A268" s="2183"/>
      <c r="B268" s="2177"/>
      <c r="C268" s="1503" t="s">
        <v>35</v>
      </c>
      <c r="D268" s="2036">
        <v>0</v>
      </c>
      <c r="E268" s="2205"/>
      <c r="F268" s="13"/>
    </row>
    <row r="269" spans="1:6" s="14" customFormat="1" ht="15" customHeight="1">
      <c r="A269" s="2183"/>
      <c r="B269" s="2177"/>
      <c r="C269" s="1454" t="s">
        <v>7</v>
      </c>
      <c r="D269" s="2036">
        <v>0</v>
      </c>
      <c r="E269" s="2205"/>
      <c r="F269" s="13"/>
    </row>
    <row r="270" spans="1:6" ht="15" customHeight="1" thickBot="1">
      <c r="A270" s="2184"/>
      <c r="B270" s="2178"/>
      <c r="C270" s="1184" t="s">
        <v>47</v>
      </c>
      <c r="D270" s="2039">
        <v>0</v>
      </c>
      <c r="E270" s="2206"/>
      <c r="F270" s="1518"/>
    </row>
    <row r="271" spans="1:6" ht="21" customHeight="1" thickBot="1">
      <c r="A271" s="2183" t="s">
        <v>140</v>
      </c>
      <c r="B271" s="2188" t="s">
        <v>1516</v>
      </c>
      <c r="C271" s="448" t="s">
        <v>1517</v>
      </c>
      <c r="D271" s="2059"/>
      <c r="E271" s="2208" t="s">
        <v>2848</v>
      </c>
      <c r="F271" s="119"/>
    </row>
    <row r="272" spans="1:6" ht="27" customHeight="1">
      <c r="A272" s="2183"/>
      <c r="B272" s="2177"/>
      <c r="C272" s="1503" t="s">
        <v>1794</v>
      </c>
      <c r="D272" s="2038">
        <v>0</v>
      </c>
      <c r="E272" s="2205"/>
      <c r="F272" s="119"/>
    </row>
    <row r="273" spans="1:6" ht="27" customHeight="1">
      <c r="A273" s="2183"/>
      <c r="B273" s="2177"/>
      <c r="C273" s="1454" t="s">
        <v>1795</v>
      </c>
      <c r="D273" s="2038">
        <v>0</v>
      </c>
      <c r="E273" s="2205"/>
      <c r="F273" s="119"/>
    </row>
    <row r="274" spans="1:6" ht="15" customHeight="1">
      <c r="A274" s="2183"/>
      <c r="B274" s="2177"/>
      <c r="C274" s="1454" t="s">
        <v>2216</v>
      </c>
      <c r="D274" s="2038">
        <v>0</v>
      </c>
      <c r="E274" s="2205"/>
      <c r="F274" s="1518"/>
    </row>
    <row r="275" spans="1:6" ht="15" customHeight="1" thickBot="1">
      <c r="A275" s="2183"/>
      <c r="B275" s="2177"/>
      <c r="C275" s="1470" t="s">
        <v>2217</v>
      </c>
      <c r="D275" s="2037">
        <v>0</v>
      </c>
      <c r="E275" s="2205"/>
      <c r="F275" s="119"/>
    </row>
    <row r="276" spans="1:6" ht="21" customHeight="1" thickBot="1">
      <c r="A276" s="2182" t="s">
        <v>557</v>
      </c>
      <c r="B276" s="2185" t="s">
        <v>1518</v>
      </c>
      <c r="C276" s="439" t="s">
        <v>1149</v>
      </c>
      <c r="D276" s="2031"/>
      <c r="E276" s="2209" t="s">
        <v>2848</v>
      </c>
      <c r="F276" s="119"/>
    </row>
    <row r="277" spans="1:6" ht="27" customHeight="1">
      <c r="A277" s="2183"/>
      <c r="B277" s="2177"/>
      <c r="C277" s="1503" t="s">
        <v>1519</v>
      </c>
      <c r="D277" s="2038">
        <v>0</v>
      </c>
      <c r="E277" s="2205"/>
      <c r="F277" s="119"/>
    </row>
    <row r="278" spans="1:6" ht="27" customHeight="1">
      <c r="A278" s="2183"/>
      <c r="B278" s="2177"/>
      <c r="C278" s="1454" t="s">
        <v>1520</v>
      </c>
      <c r="D278" s="2038">
        <v>0</v>
      </c>
      <c r="E278" s="2205"/>
      <c r="F278" s="1518"/>
    </row>
    <row r="279" spans="1:6" ht="15" customHeight="1" thickBot="1">
      <c r="A279" s="2184"/>
      <c r="B279" s="2178"/>
      <c r="C279" s="1184" t="s">
        <v>1206</v>
      </c>
      <c r="D279" s="2033">
        <v>0</v>
      </c>
      <c r="E279" s="2206"/>
      <c r="F279" s="119"/>
    </row>
    <row r="280" spans="1:6" ht="45" customHeight="1" thickBot="1">
      <c r="A280" s="2183" t="s">
        <v>558</v>
      </c>
      <c r="B280" s="2188" t="s">
        <v>1521</v>
      </c>
      <c r="C280" s="448" t="s">
        <v>2471</v>
      </c>
      <c r="D280" s="2034"/>
      <c r="E280" s="2208" t="s">
        <v>2849</v>
      </c>
      <c r="F280" s="119"/>
    </row>
    <row r="281" spans="1:6" ht="15" customHeight="1">
      <c r="A281" s="2183"/>
      <c r="B281" s="2177"/>
      <c r="C281" s="1503" t="s">
        <v>2598</v>
      </c>
      <c r="D281" s="2036">
        <v>0</v>
      </c>
      <c r="E281" s="2205"/>
      <c r="F281" s="119"/>
    </row>
    <row r="282" spans="1:6" ht="15" customHeight="1">
      <c r="A282" s="2183"/>
      <c r="B282" s="2177"/>
      <c r="C282" s="1454" t="s">
        <v>2599</v>
      </c>
      <c r="D282" s="2036">
        <v>0</v>
      </c>
      <c r="E282" s="2205"/>
      <c r="F282" s="119"/>
    </row>
    <row r="283" spans="1:6" ht="15" customHeight="1">
      <c r="A283" s="2183"/>
      <c r="B283" s="2177"/>
      <c r="C283" s="1454" t="s">
        <v>2600</v>
      </c>
      <c r="D283" s="2036">
        <v>0</v>
      </c>
      <c r="E283" s="2205"/>
      <c r="F283" s="119"/>
    </row>
    <row r="284" spans="1:6" ht="15" customHeight="1">
      <c r="A284" s="2183"/>
      <c r="B284" s="2177"/>
      <c r="C284" s="1454" t="s">
        <v>2601</v>
      </c>
      <c r="D284" s="2036">
        <v>0</v>
      </c>
      <c r="E284" s="2205"/>
      <c r="F284" s="1518"/>
    </row>
    <row r="285" spans="1:6" ht="15" customHeight="1">
      <c r="A285" s="2183"/>
      <c r="B285" s="2177"/>
      <c r="C285" s="1454" t="s">
        <v>167</v>
      </c>
      <c r="D285" s="2036">
        <v>0</v>
      </c>
      <c r="E285" s="2205"/>
      <c r="F285" s="119"/>
    </row>
    <row r="286" spans="1:6" ht="15" customHeight="1" thickBot="1">
      <c r="A286" s="2183"/>
      <c r="B286" s="2177"/>
      <c r="C286" s="1470" t="s">
        <v>1113</v>
      </c>
      <c r="D286" s="2042">
        <v>0</v>
      </c>
      <c r="E286" s="2205"/>
      <c r="F286" s="119"/>
    </row>
    <row r="287" spans="1:6" ht="45" customHeight="1" thickBot="1">
      <c r="A287" s="2182" t="s">
        <v>612</v>
      </c>
      <c r="B287" s="2185" t="s">
        <v>1522</v>
      </c>
      <c r="C287" s="439" t="s">
        <v>2472</v>
      </c>
      <c r="D287" s="2031"/>
      <c r="E287" s="2209" t="s">
        <v>2850</v>
      </c>
      <c r="F287" s="119"/>
    </row>
    <row r="288" spans="1:6" ht="15" customHeight="1">
      <c r="A288" s="2183"/>
      <c r="B288" s="2177"/>
      <c r="C288" s="1929" t="s">
        <v>2874</v>
      </c>
      <c r="D288" s="2038">
        <v>0</v>
      </c>
      <c r="E288" s="2205"/>
      <c r="F288" s="119"/>
    </row>
    <row r="289" spans="1:6" ht="15" customHeight="1">
      <c r="A289" s="2183"/>
      <c r="B289" s="2177"/>
      <c r="C289" s="1454" t="s">
        <v>46</v>
      </c>
      <c r="D289" s="2036">
        <v>0</v>
      </c>
      <c r="E289" s="2205"/>
      <c r="F289" s="119"/>
    </row>
    <row r="290" spans="1:6" ht="15" customHeight="1">
      <c r="A290" s="2183"/>
      <c r="B290" s="2177"/>
      <c r="C290" s="1454" t="s">
        <v>167</v>
      </c>
      <c r="D290" s="2036">
        <v>0</v>
      </c>
      <c r="E290" s="2205"/>
      <c r="F290" s="119"/>
    </row>
    <row r="291" spans="1:6" ht="15" customHeight="1" thickBot="1">
      <c r="A291" s="2184"/>
      <c r="B291" s="2178"/>
      <c r="C291" s="1184" t="s">
        <v>2602</v>
      </c>
      <c r="D291" s="2039">
        <v>0</v>
      </c>
      <c r="E291" s="2206"/>
      <c r="F291" s="1518"/>
    </row>
    <row r="292" spans="1:6" ht="33" customHeight="1" thickBot="1">
      <c r="A292" s="1514" t="s">
        <v>559</v>
      </c>
      <c r="B292" s="1515" t="s">
        <v>1207</v>
      </c>
      <c r="C292" s="4" t="s">
        <v>1796</v>
      </c>
      <c r="D292" s="2043">
        <v>0</v>
      </c>
      <c r="E292" s="1516" t="s">
        <v>2473</v>
      </c>
      <c r="F292" s="119"/>
    </row>
    <row r="293" spans="1:6" ht="45" customHeight="1" thickBot="1">
      <c r="A293" s="1517" t="s">
        <v>560</v>
      </c>
      <c r="B293" s="1502" t="s">
        <v>1208</v>
      </c>
      <c r="C293" s="536" t="s">
        <v>2916</v>
      </c>
      <c r="D293" s="2045">
        <v>0</v>
      </c>
      <c r="E293" s="123" t="s">
        <v>2474</v>
      </c>
      <c r="F293" s="119"/>
    </row>
    <row r="294" spans="1:6" ht="21" customHeight="1" thickBot="1">
      <c r="A294" s="2183" t="s">
        <v>72</v>
      </c>
      <c r="B294" s="2188" t="s">
        <v>1523</v>
      </c>
      <c r="C294" s="448" t="s">
        <v>1797</v>
      </c>
      <c r="D294" s="2034"/>
      <c r="E294" s="2208" t="s">
        <v>2851</v>
      </c>
      <c r="F294" s="119"/>
    </row>
    <row r="295" spans="1:6" ht="15" customHeight="1">
      <c r="A295" s="2183"/>
      <c r="B295" s="2177"/>
      <c r="C295" s="1503" t="s">
        <v>2603</v>
      </c>
      <c r="D295" s="2036">
        <v>0</v>
      </c>
      <c r="E295" s="2205"/>
      <c r="F295" s="119"/>
    </row>
    <row r="296" spans="1:6" ht="15" customHeight="1">
      <c r="A296" s="2183"/>
      <c r="B296" s="2177"/>
      <c r="C296" s="1454" t="s">
        <v>2604</v>
      </c>
      <c r="D296" s="2036">
        <v>0</v>
      </c>
      <c r="E296" s="2205"/>
      <c r="F296" s="1518"/>
    </row>
    <row r="297" spans="1:6" ht="15" customHeight="1">
      <c r="A297" s="2183"/>
      <c r="B297" s="2177"/>
      <c r="C297" s="1454" t="s">
        <v>2605</v>
      </c>
      <c r="D297" s="2036">
        <v>0</v>
      </c>
      <c r="E297" s="2205"/>
      <c r="F297" s="119"/>
    </row>
    <row r="298" spans="1:6" ht="15" customHeight="1">
      <c r="A298" s="2183"/>
      <c r="B298" s="2177"/>
      <c r="C298" s="1454" t="s">
        <v>2606</v>
      </c>
      <c r="D298" s="2036">
        <v>0</v>
      </c>
      <c r="E298" s="2205"/>
      <c r="F298" s="1518"/>
    </row>
    <row r="299" spans="1:6" ht="15" customHeight="1">
      <c r="A299" s="2183"/>
      <c r="B299" s="2177"/>
      <c r="C299" s="1454" t="s">
        <v>2607</v>
      </c>
      <c r="D299" s="2038">
        <v>0</v>
      </c>
      <c r="E299" s="2205"/>
      <c r="F299" s="119"/>
    </row>
    <row r="300" spans="1:6" ht="15" customHeight="1" thickBot="1">
      <c r="A300" s="2183"/>
      <c r="B300" s="2177"/>
      <c r="C300" s="1470" t="s">
        <v>2608</v>
      </c>
      <c r="D300" s="2042">
        <v>0</v>
      </c>
      <c r="E300" s="2205"/>
      <c r="F300" s="119"/>
    </row>
    <row r="301" spans="1:6" ht="21" customHeight="1" thickBot="1">
      <c r="A301" s="2182" t="s">
        <v>41</v>
      </c>
      <c r="B301" s="2185" t="s">
        <v>36</v>
      </c>
      <c r="C301" s="439" t="s">
        <v>1524</v>
      </c>
      <c r="D301" s="2031"/>
      <c r="E301" s="2209" t="s">
        <v>2475</v>
      </c>
      <c r="F301" s="119"/>
    </row>
    <row r="302" spans="1:6" ht="15" customHeight="1">
      <c r="A302" s="2183"/>
      <c r="B302" s="2177"/>
      <c r="C302" s="1503" t="s">
        <v>2609</v>
      </c>
      <c r="D302" s="2036">
        <v>0</v>
      </c>
      <c r="E302" s="2205"/>
      <c r="F302" s="119"/>
    </row>
    <row r="303" spans="1:6" ht="15" customHeight="1">
      <c r="A303" s="2183"/>
      <c r="B303" s="2177"/>
      <c r="C303" s="1454" t="s">
        <v>2610</v>
      </c>
      <c r="D303" s="2036">
        <v>0</v>
      </c>
      <c r="E303" s="2205"/>
      <c r="F303" s="119"/>
    </row>
    <row r="304" spans="1:6" ht="15" customHeight="1" thickBot="1">
      <c r="A304" s="2184"/>
      <c r="B304" s="2178"/>
      <c r="C304" s="1184" t="s">
        <v>2611</v>
      </c>
      <c r="D304" s="2056">
        <v>0</v>
      </c>
      <c r="E304" s="2206"/>
      <c r="F304" s="119"/>
    </row>
    <row r="305" spans="1:6" ht="43.2" customHeight="1" thickBot="1">
      <c r="A305" s="703" t="s">
        <v>130</v>
      </c>
      <c r="B305" s="1937" t="s">
        <v>1444</v>
      </c>
      <c r="C305" s="703" t="s">
        <v>2959</v>
      </c>
      <c r="D305" s="2073">
        <v>0</v>
      </c>
      <c r="E305" s="5" t="s">
        <v>2852</v>
      </c>
      <c r="F305" s="1518"/>
    </row>
    <row r="306" spans="1:6" s="1501" customFormat="1" ht="13.8" customHeight="1"/>
    <row r="307" spans="1:6" s="1501" customFormat="1" ht="13.8" customHeight="1"/>
    <row r="308" spans="1:6" s="1501" customFormat="1" ht="13.8" customHeight="1"/>
    <row r="309" spans="1:6" s="1501" customFormat="1" ht="13.8" customHeight="1"/>
    <row r="310" spans="1:6" s="1501" customFormat="1" ht="13.8" customHeight="1"/>
    <row r="311" spans="1:6" s="1501" customFormat="1" ht="13.8" customHeight="1"/>
    <row r="312" spans="1:6" s="1501" customFormat="1" ht="13.8" customHeight="1"/>
    <row r="313" spans="1:6" s="1501" customFormat="1" ht="13.8" customHeight="1"/>
    <row r="314" spans="1:6" s="1501" customFormat="1" ht="13.8" customHeight="1"/>
    <row r="315" spans="1:6" s="1501" customFormat="1" ht="13.8" customHeight="1"/>
    <row r="316" spans="1:6" s="1501" customFormat="1" ht="13.8" customHeight="1"/>
    <row r="317" spans="1:6" s="1501" customFormat="1" ht="13.8" customHeight="1"/>
    <row r="318" spans="1:6" s="1501" customFormat="1" ht="13.8" customHeight="1"/>
    <row r="319" spans="1:6" s="1501" customFormat="1" ht="13.8" customHeight="1"/>
    <row r="320" spans="1:6" s="1501" customFormat="1" ht="13.8" customHeight="1"/>
    <row r="321" s="1501" customFormat="1" ht="13.8" customHeight="1"/>
    <row r="322" s="1501" customFormat="1" ht="13.8" customHeight="1"/>
    <row r="323" s="1501" customFormat="1" ht="13.8" customHeight="1"/>
    <row r="324" s="1501" customFormat="1" ht="13.8" customHeight="1"/>
    <row r="325" s="1501" customFormat="1" ht="13.8" customHeight="1"/>
    <row r="326" s="1501" customFormat="1" ht="13.8" customHeight="1"/>
    <row r="327" s="1501" customFormat="1" ht="13.8" customHeight="1"/>
    <row r="328" s="1501" customFormat="1" ht="13.8" customHeight="1"/>
    <row r="329" s="1501" customFormat="1" ht="13.8" customHeight="1"/>
    <row r="330" s="1501" customFormat="1" ht="13.8" customHeight="1"/>
    <row r="331" s="1501" customFormat="1" ht="13.8" customHeight="1"/>
    <row r="332" s="1501" customFormat="1" ht="13.8" customHeight="1"/>
    <row r="333" s="1501" customFormat="1" ht="13.8" customHeight="1"/>
    <row r="334" s="1501" customFormat="1" ht="13.8" customHeight="1"/>
    <row r="335" s="1501" customFormat="1" ht="13.8" customHeight="1"/>
    <row r="336" s="1501" customFormat="1" ht="13.8" customHeight="1"/>
    <row r="337" s="1501" customFormat="1" ht="13.8" customHeight="1"/>
    <row r="338" s="1501" customFormat="1" ht="13.8" customHeight="1"/>
    <row r="339" s="1501" customFormat="1" ht="13.8" customHeight="1"/>
    <row r="340" s="1501" customFormat="1" ht="13.8" customHeight="1"/>
    <row r="341" s="1501" customFormat="1" ht="13.8" customHeight="1"/>
    <row r="342" s="1501" customFormat="1" ht="13.8" customHeight="1"/>
    <row r="343" s="1501" customFormat="1" ht="13.8" customHeight="1"/>
    <row r="344" s="1501" customFormat="1" ht="13.8" customHeight="1"/>
    <row r="345" s="1501" customFormat="1" ht="13.8" customHeight="1"/>
    <row r="346" s="1501" customFormat="1" ht="13.8" customHeight="1"/>
    <row r="347" s="1501" customFormat="1" ht="13.8" customHeight="1"/>
    <row r="348" s="1501" customFormat="1" ht="13.8" customHeight="1"/>
    <row r="349" s="1501" customFormat="1" ht="13.8" customHeight="1"/>
    <row r="350" s="1501" customFormat="1" ht="13.8" customHeight="1"/>
    <row r="351" s="1501" customFormat="1" ht="13.8" customHeight="1"/>
    <row r="352" s="1501" customFormat="1" ht="13.8" customHeight="1"/>
    <row r="353" s="1501" customFormat="1" ht="13.8" customHeight="1"/>
    <row r="354" s="1501" customFormat="1" ht="13.8" customHeight="1"/>
    <row r="355" s="1501" customFormat="1" ht="13.8" customHeight="1"/>
    <row r="356" s="1501" customFormat="1" ht="13.8" customHeight="1"/>
    <row r="357" s="1501" customFormat="1" ht="13.8" customHeight="1"/>
    <row r="358" s="1501" customFormat="1" ht="13.8" customHeight="1"/>
    <row r="359" s="1501" customFormat="1" ht="13.8" customHeight="1"/>
    <row r="360" s="1501" customFormat="1" ht="13.8" customHeight="1"/>
    <row r="361" s="1501" customFormat="1" ht="13.8" customHeight="1"/>
    <row r="362" s="1501" customFormat="1" ht="13.8" customHeight="1"/>
    <row r="363" s="1501" customFormat="1" ht="13.8" customHeight="1"/>
    <row r="364" s="1501" customFormat="1" ht="13.8" customHeight="1"/>
    <row r="365" s="1501" customFormat="1" ht="13.8" customHeight="1"/>
    <row r="366" s="1501" customFormat="1" ht="13.8" customHeight="1"/>
    <row r="367" s="1501" customFormat="1" ht="13.8" customHeight="1"/>
    <row r="368" s="1501" customFormat="1" ht="13.8" customHeight="1"/>
    <row r="369" s="1501" customFormat="1" ht="13.8" customHeight="1"/>
    <row r="370" s="1501" customFormat="1" ht="13.8" customHeight="1"/>
    <row r="371" s="1501" customFormat="1" ht="13.8" customHeight="1"/>
    <row r="372" s="1501" customFormat="1" ht="13.8" customHeight="1"/>
    <row r="373" s="1501" customFormat="1" ht="13.8" customHeight="1"/>
    <row r="374" s="1501" customFormat="1" ht="13.8" customHeight="1"/>
    <row r="375" s="1501" customFormat="1" ht="13.8" customHeight="1"/>
    <row r="376" s="1501" customFormat="1" ht="13.8" customHeight="1"/>
    <row r="377" s="1501" customFormat="1" ht="13.8" customHeight="1"/>
    <row r="378" s="1501" customFormat="1" ht="13.8" customHeight="1"/>
    <row r="379" s="1501" customFormat="1" ht="13.8" customHeight="1"/>
    <row r="380" s="1501" customFormat="1" ht="13.8" customHeight="1"/>
    <row r="381" s="1501" customFormat="1" ht="13.8" customHeight="1"/>
    <row r="382" s="1501" customFormat="1" ht="13.8" customHeight="1"/>
    <row r="383" s="1501" customFormat="1" ht="13.8" customHeight="1"/>
    <row r="384" s="1501" customFormat="1" ht="13.8" customHeight="1"/>
    <row r="385" spans="1:3" s="1501" customFormat="1" ht="13.8" customHeight="1"/>
    <row r="386" spans="1:3" s="1501" customFormat="1" ht="13.8" customHeight="1"/>
    <row r="387" spans="1:3" s="1501" customFormat="1" ht="13.8" customHeight="1"/>
    <row r="388" spans="1:3" s="1501" customFormat="1" ht="13.8" customHeight="1"/>
    <row r="389" spans="1:3" s="1501" customFormat="1" ht="13.8" customHeight="1"/>
    <row r="390" spans="1:3" s="1501" customFormat="1" ht="13.8" customHeight="1"/>
    <row r="391" spans="1:3" s="1501" customFormat="1" ht="13.8" customHeight="1"/>
    <row r="392" spans="1:3">
      <c r="A392" s="1501"/>
      <c r="B392" s="1501"/>
      <c r="C392" s="1501"/>
    </row>
    <row r="393" spans="1:3">
      <c r="A393" s="1501"/>
      <c r="B393" s="1501"/>
      <c r="C393" s="1501"/>
    </row>
    <row r="394" spans="1:3">
      <c r="A394" s="1501"/>
      <c r="B394" s="1501"/>
      <c r="C394" s="1501"/>
    </row>
    <row r="395" spans="1:3">
      <c r="A395" s="1501"/>
      <c r="B395" s="1501"/>
      <c r="C395" s="1501"/>
    </row>
    <row r="396" spans="1:3">
      <c r="A396" s="1501"/>
      <c r="B396" s="1501"/>
      <c r="C396" s="1501"/>
    </row>
    <row r="397" spans="1:3">
      <c r="A397" s="1501"/>
      <c r="B397" s="1501"/>
      <c r="C397" s="1501"/>
    </row>
    <row r="398" spans="1:3">
      <c r="A398" s="1501"/>
      <c r="B398" s="1501"/>
      <c r="C398" s="1501"/>
    </row>
    <row r="399" spans="1:3">
      <c r="A399" s="1501"/>
      <c r="B399" s="1501"/>
      <c r="C399" s="1501"/>
    </row>
    <row r="400" spans="1:3">
      <c r="A400" s="1501"/>
      <c r="B400" s="1501"/>
      <c r="C400" s="1501"/>
    </row>
    <row r="401" spans="1:3">
      <c r="A401" s="1501"/>
      <c r="B401" s="1501"/>
      <c r="C401" s="1501"/>
    </row>
    <row r="402" spans="1:3">
      <c r="A402" s="1501"/>
      <c r="B402" s="1501"/>
      <c r="C402" s="1501"/>
    </row>
    <row r="403" spans="1:3">
      <c r="A403" s="1501"/>
      <c r="B403" s="1501"/>
      <c r="C403" s="1501"/>
    </row>
    <row r="404" spans="1:3">
      <c r="A404" s="1501"/>
      <c r="B404" s="1501"/>
      <c r="C404" s="1501"/>
    </row>
    <row r="405" spans="1:3">
      <c r="A405" s="1501"/>
      <c r="B405" s="1501"/>
      <c r="C405" s="1501"/>
    </row>
    <row r="406" spans="1:3">
      <c r="A406" s="1501"/>
      <c r="B406" s="1501"/>
      <c r="C406" s="1501"/>
    </row>
    <row r="407" spans="1:3">
      <c r="A407" s="1501"/>
      <c r="B407" s="1501"/>
      <c r="C407" s="1501"/>
    </row>
    <row r="408" spans="1:3">
      <c r="A408" s="1501"/>
      <c r="B408" s="1501"/>
      <c r="C408" s="1501"/>
    </row>
    <row r="409" spans="1:3">
      <c r="A409" s="1501"/>
      <c r="B409" s="1501"/>
      <c r="C409" s="1501"/>
    </row>
    <row r="410" spans="1:3">
      <c r="A410" s="1501"/>
      <c r="B410" s="1501"/>
      <c r="C410" s="1501"/>
    </row>
    <row r="411" spans="1:3">
      <c r="A411" s="1501"/>
      <c r="B411" s="1501"/>
      <c r="C411" s="1501"/>
    </row>
    <row r="412" spans="1:3">
      <c r="A412" s="1501"/>
      <c r="B412" s="1501"/>
      <c r="C412" s="1501"/>
    </row>
    <row r="413" spans="1:3">
      <c r="A413" s="1501"/>
      <c r="B413" s="1501"/>
      <c r="C413" s="1501"/>
    </row>
    <row r="414" spans="1:3">
      <c r="A414" s="1501"/>
      <c r="B414" s="1501"/>
      <c r="C414" s="1501"/>
    </row>
    <row r="415" spans="1:3">
      <c r="A415" s="1501"/>
      <c r="B415" s="1501"/>
      <c r="C415" s="1501"/>
    </row>
    <row r="416" spans="1:3">
      <c r="A416" s="1501"/>
      <c r="B416" s="1501"/>
      <c r="C416" s="1501"/>
    </row>
    <row r="417" spans="1:6">
      <c r="A417" s="1501"/>
      <c r="B417" s="1501"/>
      <c r="C417" s="1501"/>
    </row>
    <row r="418" spans="1:6">
      <c r="A418" s="1501"/>
      <c r="B418" s="1501"/>
      <c r="C418" s="1501"/>
    </row>
    <row r="419" spans="1:6">
      <c r="A419" s="1501"/>
      <c r="B419" s="1501"/>
      <c r="C419" s="1501"/>
    </row>
    <row r="420" spans="1:6">
      <c r="A420" s="1501"/>
      <c r="B420" s="1501"/>
      <c r="C420" s="1501"/>
    </row>
    <row r="421" spans="1:6">
      <c r="A421" s="1501"/>
      <c r="B421" s="1501"/>
      <c r="C421" s="1501"/>
    </row>
    <row r="422" spans="1:6">
      <c r="A422" s="1501"/>
      <c r="B422" s="1501"/>
      <c r="C422" s="1501"/>
      <c r="D422" s="1036"/>
      <c r="E422" s="119"/>
      <c r="F422" s="119"/>
    </row>
    <row r="423" spans="1:6">
      <c r="A423" s="1501"/>
      <c r="B423" s="1501"/>
      <c r="C423" s="1501"/>
      <c r="D423" s="1036"/>
      <c r="E423" s="119"/>
      <c r="F423" s="119"/>
    </row>
    <row r="424" spans="1:6">
      <c r="A424" s="1501"/>
      <c r="B424" s="1501"/>
      <c r="C424" s="1501"/>
      <c r="D424" s="1036"/>
      <c r="E424" s="119"/>
      <c r="F424" s="119"/>
    </row>
    <row r="425" spans="1:6">
      <c r="A425" s="1501"/>
      <c r="B425" s="1501"/>
      <c r="C425" s="1501"/>
      <c r="D425" s="1036"/>
      <c r="E425" s="119"/>
      <c r="F425" s="119"/>
    </row>
    <row r="426" spans="1:6">
      <c r="A426" s="1501"/>
      <c r="B426" s="1501"/>
      <c r="C426" s="1501"/>
      <c r="D426" s="1036"/>
      <c r="E426" s="119"/>
      <c r="F426" s="119"/>
    </row>
    <row r="427" spans="1:6">
      <c r="A427" s="1501"/>
      <c r="B427" s="1501"/>
      <c r="C427" s="1501"/>
      <c r="D427" s="1036"/>
      <c r="E427" s="119"/>
      <c r="F427" s="119"/>
    </row>
    <row r="428" spans="1:6">
      <c r="A428" s="1501"/>
      <c r="B428" s="1501"/>
      <c r="C428" s="1501"/>
      <c r="D428" s="1036"/>
      <c r="E428" s="119"/>
      <c r="F428" s="119"/>
    </row>
    <row r="429" spans="1:6">
      <c r="A429" s="1501"/>
      <c r="B429" s="1501"/>
      <c r="C429" s="1501"/>
      <c r="D429" s="1036"/>
      <c r="E429" s="119"/>
      <c r="F429" s="119"/>
    </row>
    <row r="430" spans="1:6">
      <c r="A430" s="1501"/>
      <c r="B430" s="1501"/>
      <c r="C430" s="1501"/>
      <c r="D430" s="1036"/>
    </row>
    <row r="431" spans="1:6">
      <c r="A431" s="1501"/>
      <c r="B431" s="1501"/>
      <c r="C431" s="1501"/>
      <c r="D431" s="1036"/>
    </row>
    <row r="432" spans="1:6">
      <c r="A432" s="1501"/>
      <c r="B432" s="1501"/>
      <c r="C432" s="1501"/>
      <c r="D432" s="1036"/>
    </row>
    <row r="433" spans="1:4">
      <c r="A433" s="1501"/>
      <c r="B433" s="1501"/>
      <c r="C433" s="1501"/>
      <c r="D433" s="1036"/>
    </row>
    <row r="434" spans="1:4">
      <c r="A434" s="1501"/>
      <c r="B434" s="1501"/>
      <c r="C434" s="1501"/>
      <c r="D434" s="1036"/>
    </row>
    <row r="435" spans="1:4">
      <c r="A435" s="1501"/>
      <c r="B435" s="1501"/>
      <c r="C435" s="1501"/>
      <c r="D435" s="1036"/>
    </row>
    <row r="436" spans="1:4">
      <c r="A436" s="1501"/>
      <c r="B436" s="1501"/>
      <c r="C436" s="1501"/>
      <c r="D436" s="1036"/>
    </row>
    <row r="437" spans="1:4">
      <c r="A437" s="1501"/>
      <c r="B437" s="1501"/>
      <c r="C437" s="1501"/>
      <c r="D437" s="1036"/>
    </row>
    <row r="438" spans="1:4">
      <c r="A438" s="1501"/>
      <c r="B438" s="1501"/>
      <c r="C438" s="1501"/>
      <c r="D438" s="1036"/>
    </row>
    <row r="439" spans="1:4">
      <c r="A439" s="1501"/>
      <c r="B439" s="1501"/>
      <c r="C439" s="1501"/>
      <c r="D439" s="1036"/>
    </row>
    <row r="440" spans="1:4">
      <c r="A440" s="1501"/>
      <c r="B440" s="1501"/>
      <c r="C440" s="1501"/>
      <c r="D440" s="1036"/>
    </row>
    <row r="441" spans="1:4">
      <c r="A441" s="1501"/>
      <c r="B441" s="1501"/>
      <c r="C441" s="1501"/>
      <c r="D441" s="1036"/>
    </row>
    <row r="442" spans="1:4">
      <c r="A442" s="1501"/>
      <c r="B442" s="1501"/>
      <c r="C442" s="1501"/>
      <c r="D442" s="1036"/>
    </row>
    <row r="443" spans="1:4">
      <c r="A443" s="1501"/>
      <c r="B443" s="1501"/>
      <c r="C443" s="1501"/>
      <c r="D443" s="1036"/>
    </row>
    <row r="444" spans="1:4">
      <c r="A444" s="1501"/>
      <c r="B444" s="1501"/>
      <c r="C444" s="1501"/>
      <c r="D444" s="1036"/>
    </row>
    <row r="445" spans="1:4">
      <c r="A445" s="1501"/>
      <c r="B445" s="1501"/>
      <c r="C445" s="1501"/>
      <c r="D445" s="1036"/>
    </row>
    <row r="446" spans="1:4">
      <c r="A446" s="1501"/>
      <c r="B446" s="1501"/>
      <c r="C446" s="1501"/>
      <c r="D446" s="1036"/>
    </row>
    <row r="447" spans="1:4">
      <c r="A447" s="1501"/>
      <c r="B447" s="1501"/>
      <c r="C447" s="1501"/>
      <c r="D447" s="1036"/>
    </row>
    <row r="448" spans="1:4">
      <c r="A448" s="1501"/>
      <c r="B448" s="1501"/>
      <c r="C448" s="1501"/>
      <c r="D448" s="1036"/>
    </row>
    <row r="449" spans="1:4">
      <c r="A449" s="1501"/>
      <c r="B449" s="1501"/>
      <c r="C449" s="1501"/>
      <c r="D449" s="1036"/>
    </row>
    <row r="450" spans="1:4">
      <c r="A450" s="1501"/>
      <c r="B450" s="1501"/>
      <c r="C450" s="1501"/>
      <c r="D450" s="1036"/>
    </row>
    <row r="451" spans="1:4">
      <c r="A451" s="1501"/>
      <c r="B451" s="1501"/>
      <c r="C451" s="1501"/>
      <c r="D451" s="1036"/>
    </row>
    <row r="452" spans="1:4">
      <c r="A452" s="1501"/>
      <c r="B452" s="1501"/>
      <c r="C452" s="1501"/>
      <c r="D452" s="1036"/>
    </row>
    <row r="453" spans="1:4">
      <c r="A453" s="1501"/>
      <c r="B453" s="1501"/>
      <c r="C453" s="1501"/>
      <c r="D453" s="1036"/>
    </row>
    <row r="454" spans="1:4">
      <c r="A454" s="1501"/>
      <c r="B454" s="1501"/>
      <c r="C454" s="1501"/>
      <c r="D454" s="1036"/>
    </row>
    <row r="455" spans="1:4">
      <c r="A455" s="1501"/>
      <c r="B455" s="1501"/>
      <c r="C455" s="1501"/>
      <c r="D455" s="1036"/>
    </row>
    <row r="456" spans="1:4">
      <c r="A456" s="1501"/>
      <c r="B456" s="1501"/>
      <c r="C456" s="1501"/>
      <c r="D456" s="1036"/>
    </row>
    <row r="457" spans="1:4">
      <c r="A457" s="1501"/>
      <c r="B457" s="1501"/>
      <c r="C457" s="1501"/>
      <c r="D457" s="1036"/>
    </row>
    <row r="458" spans="1:4">
      <c r="A458" s="1501"/>
      <c r="B458" s="1501"/>
      <c r="C458" s="1501"/>
      <c r="D458" s="1036"/>
    </row>
    <row r="459" spans="1:4">
      <c r="A459" s="1501"/>
      <c r="B459" s="1501"/>
      <c r="C459" s="1501"/>
      <c r="D459" s="1036"/>
    </row>
    <row r="460" spans="1:4">
      <c r="A460" s="1501"/>
      <c r="B460" s="1501"/>
      <c r="C460" s="1501"/>
      <c r="D460" s="1036"/>
    </row>
    <row r="461" spans="1:4">
      <c r="A461" s="1501"/>
      <c r="B461" s="1501"/>
      <c r="C461" s="1501"/>
      <c r="D461" s="1036"/>
    </row>
    <row r="462" spans="1:4">
      <c r="D462" s="1036"/>
    </row>
    <row r="463" spans="1:4">
      <c r="D463" s="1036"/>
    </row>
    <row r="464" spans="1:4">
      <c r="D464" s="1036"/>
    </row>
    <row r="465" spans="4:4">
      <c r="D465" s="1036"/>
    </row>
    <row r="466" spans="4:4">
      <c r="D466" s="1036"/>
    </row>
    <row r="467" spans="4:4">
      <c r="D467" s="1036"/>
    </row>
    <row r="468" spans="4:4">
      <c r="D468" s="1036"/>
    </row>
    <row r="469" spans="4:4">
      <c r="D469" s="1036"/>
    </row>
    <row r="470" spans="4:4">
      <c r="D470" s="1036"/>
    </row>
    <row r="471" spans="4:4">
      <c r="D471" s="1036"/>
    </row>
    <row r="472" spans="4:4">
      <c r="D472" s="1036"/>
    </row>
    <row r="473" spans="4:4">
      <c r="D473" s="1036"/>
    </row>
    <row r="474" spans="4:4">
      <c r="D474" s="1036"/>
    </row>
    <row r="475" spans="4:4">
      <c r="D475" s="1036"/>
    </row>
    <row r="476" spans="4:4">
      <c r="D476" s="1036"/>
    </row>
    <row r="477" spans="4:4">
      <c r="D477" s="1036"/>
    </row>
    <row r="478" spans="4:4">
      <c r="D478" s="1036"/>
    </row>
    <row r="479" spans="4:4">
      <c r="D479" s="1036"/>
    </row>
    <row r="480" spans="4:4">
      <c r="D480" s="1036"/>
    </row>
    <row r="481" spans="4:4">
      <c r="D481" s="1036"/>
    </row>
    <row r="482" spans="4:4">
      <c r="D482" s="1036"/>
    </row>
    <row r="483" spans="4:4">
      <c r="D483" s="1036"/>
    </row>
    <row r="484" spans="4:4">
      <c r="D484" s="1036"/>
    </row>
    <row r="485" spans="4:4">
      <c r="D485" s="1036"/>
    </row>
    <row r="486" spans="4:4">
      <c r="D486" s="1036"/>
    </row>
    <row r="487" spans="4:4">
      <c r="D487" s="1036"/>
    </row>
    <row r="488" spans="4:4">
      <c r="D488" s="1036"/>
    </row>
    <row r="489" spans="4:4">
      <c r="D489" s="1036"/>
    </row>
    <row r="490" spans="4:4">
      <c r="D490" s="1036"/>
    </row>
    <row r="491" spans="4:4">
      <c r="D491" s="1036"/>
    </row>
    <row r="492" spans="4:4">
      <c r="D492" s="1036"/>
    </row>
    <row r="493" spans="4:4">
      <c r="D493" s="1036"/>
    </row>
    <row r="494" spans="4:4">
      <c r="D494" s="1036"/>
    </row>
    <row r="495" spans="4:4">
      <c r="D495" s="1036"/>
    </row>
    <row r="496" spans="4:4">
      <c r="D496" s="1036"/>
    </row>
    <row r="497" spans="4:4">
      <c r="D497" s="1036"/>
    </row>
    <row r="498" spans="4:4">
      <c r="D498" s="1036"/>
    </row>
    <row r="499" spans="4:4">
      <c r="D499" s="1036"/>
    </row>
    <row r="500" spans="4:4">
      <c r="D500" s="1036"/>
    </row>
    <row r="501" spans="4:4">
      <c r="D501" s="1036"/>
    </row>
    <row r="502" spans="4:4">
      <c r="D502" s="1036"/>
    </row>
    <row r="503" spans="4:4">
      <c r="D503" s="1036"/>
    </row>
    <row r="504" spans="4:4">
      <c r="D504" s="1036"/>
    </row>
    <row r="505" spans="4:4">
      <c r="D505" s="1036"/>
    </row>
    <row r="506" spans="4:4">
      <c r="D506" s="1036"/>
    </row>
    <row r="507" spans="4:4">
      <c r="D507" s="1036"/>
    </row>
    <row r="508" spans="4:4">
      <c r="D508" s="1036"/>
    </row>
    <row r="509" spans="4:4">
      <c r="D509" s="1036"/>
    </row>
    <row r="510" spans="4:4">
      <c r="D510" s="1036"/>
    </row>
    <row r="511" spans="4:4">
      <c r="D511" s="1036"/>
    </row>
    <row r="512" spans="4:4">
      <c r="D512" s="1036"/>
    </row>
    <row r="513" spans="4:4">
      <c r="D513" s="1036"/>
    </row>
    <row r="514" spans="4:4">
      <c r="D514" s="1036"/>
    </row>
    <row r="515" spans="4:4">
      <c r="D515" s="1036"/>
    </row>
    <row r="516" spans="4:4">
      <c r="D516" s="1036"/>
    </row>
    <row r="517" spans="4:4">
      <c r="D517" s="1036"/>
    </row>
    <row r="518" spans="4:4">
      <c r="D518" s="1036"/>
    </row>
    <row r="519" spans="4:4">
      <c r="D519" s="1036"/>
    </row>
    <row r="520" spans="4:4">
      <c r="D520" s="1036"/>
    </row>
    <row r="521" spans="4:4">
      <c r="D521" s="1036"/>
    </row>
    <row r="522" spans="4:4">
      <c r="D522" s="1036"/>
    </row>
    <row r="523" spans="4:4">
      <c r="D523" s="1036"/>
    </row>
    <row r="524" spans="4:4">
      <c r="D524" s="1036"/>
    </row>
    <row r="525" spans="4:4">
      <c r="D525" s="1036"/>
    </row>
    <row r="526" spans="4:4">
      <c r="D526" s="1036"/>
    </row>
    <row r="527" spans="4:4">
      <c r="D527" s="1036"/>
    </row>
    <row r="528" spans="4:4">
      <c r="D528" s="1036"/>
    </row>
    <row r="529" spans="4:4">
      <c r="D529" s="1036"/>
    </row>
    <row r="530" spans="4:4">
      <c r="D530" s="1036"/>
    </row>
    <row r="531" spans="4:4">
      <c r="D531" s="1036"/>
    </row>
    <row r="532" spans="4:4">
      <c r="D532" s="1036"/>
    </row>
    <row r="533" spans="4:4">
      <c r="D533" s="1036"/>
    </row>
    <row r="534" spans="4:4">
      <c r="D534" s="1036"/>
    </row>
    <row r="535" spans="4:4">
      <c r="D535" s="1036"/>
    </row>
    <row r="536" spans="4:4">
      <c r="D536" s="1036"/>
    </row>
    <row r="537" spans="4:4">
      <c r="D537" s="1036"/>
    </row>
    <row r="538" spans="4:4">
      <c r="D538" s="1036"/>
    </row>
    <row r="539" spans="4:4">
      <c r="D539" s="1036"/>
    </row>
    <row r="540" spans="4:4">
      <c r="D540" s="1036"/>
    </row>
    <row r="541" spans="4:4">
      <c r="D541" s="1036"/>
    </row>
    <row r="542" spans="4:4">
      <c r="D542" s="1036"/>
    </row>
    <row r="543" spans="4:4">
      <c r="D543" s="1036"/>
    </row>
    <row r="544" spans="4:4">
      <c r="D544" s="1036"/>
    </row>
    <row r="545" spans="4:4">
      <c r="D545" s="1036"/>
    </row>
    <row r="546" spans="4:4">
      <c r="D546" s="1036"/>
    </row>
    <row r="547" spans="4:4">
      <c r="D547" s="1036"/>
    </row>
    <row r="548" spans="4:4">
      <c r="D548" s="1036"/>
    </row>
    <row r="549" spans="4:4">
      <c r="D549" s="1036"/>
    </row>
    <row r="550" spans="4:4">
      <c r="D550" s="1036"/>
    </row>
    <row r="551" spans="4:4">
      <c r="D551" s="1036"/>
    </row>
    <row r="552" spans="4:4">
      <c r="D552" s="1036"/>
    </row>
    <row r="553" spans="4:4">
      <c r="D553" s="1036"/>
    </row>
    <row r="554" spans="4:4">
      <c r="D554" s="1036"/>
    </row>
    <row r="555" spans="4:4">
      <c r="D555" s="1036"/>
    </row>
    <row r="556" spans="4:4">
      <c r="D556" s="1036"/>
    </row>
    <row r="557" spans="4:4">
      <c r="D557" s="1036"/>
    </row>
    <row r="558" spans="4:4">
      <c r="D558" s="1036"/>
    </row>
    <row r="559" spans="4:4">
      <c r="D559" s="1036"/>
    </row>
    <row r="560" spans="4:4">
      <c r="D560" s="1036"/>
    </row>
    <row r="561" spans="4:4">
      <c r="D561" s="1036"/>
    </row>
    <row r="562" spans="4:4">
      <c r="D562" s="1036"/>
    </row>
    <row r="563" spans="4:4">
      <c r="D563" s="1036"/>
    </row>
    <row r="564" spans="4:4">
      <c r="D564" s="1036"/>
    </row>
    <row r="565" spans="4:4">
      <c r="D565" s="1036"/>
    </row>
    <row r="566" spans="4:4">
      <c r="D566" s="1036"/>
    </row>
    <row r="567" spans="4:4">
      <c r="D567" s="1036"/>
    </row>
    <row r="568" spans="4:4">
      <c r="D568" s="1036"/>
    </row>
    <row r="569" spans="4:4">
      <c r="D569" s="1036"/>
    </row>
    <row r="570" spans="4:4">
      <c r="D570" s="1036"/>
    </row>
    <row r="571" spans="4:4">
      <c r="D571" s="1036"/>
    </row>
    <row r="572" spans="4:4">
      <c r="D572" s="1036"/>
    </row>
    <row r="573" spans="4:4">
      <c r="D573" s="1036"/>
    </row>
    <row r="574" spans="4:4">
      <c r="D574" s="1036"/>
    </row>
    <row r="575" spans="4:4">
      <c r="D575" s="1036"/>
    </row>
    <row r="576" spans="4:4">
      <c r="D576" s="1036"/>
    </row>
    <row r="577" spans="2:4">
      <c r="D577" s="1036"/>
    </row>
    <row r="578" spans="2:4">
      <c r="D578" s="1036"/>
    </row>
    <row r="579" spans="2:4">
      <c r="D579" s="1036"/>
    </row>
    <row r="580" spans="2:4">
      <c r="D580" s="1036"/>
    </row>
    <row r="581" spans="2:4">
      <c r="B581" s="1499"/>
      <c r="C581" s="1500"/>
      <c r="D581" s="1036"/>
    </row>
    <row r="582" spans="2:4">
      <c r="B582" s="1499"/>
      <c r="C582" s="1500"/>
      <c r="D582" s="1036"/>
    </row>
    <row r="583" spans="2:4">
      <c r="B583" s="1499"/>
      <c r="C583" s="1500"/>
      <c r="D583" s="1036"/>
    </row>
    <row r="584" spans="2:4">
      <c r="B584" s="1499"/>
      <c r="C584" s="1500"/>
      <c r="D584" s="1036"/>
    </row>
    <row r="585" spans="2:4">
      <c r="B585" s="1499"/>
      <c r="C585" s="1500"/>
      <c r="D585" s="1036"/>
    </row>
    <row r="586" spans="2:4">
      <c r="B586" s="1499"/>
      <c r="C586" s="1500"/>
      <c r="D586" s="1036"/>
    </row>
    <row r="587" spans="2:4">
      <c r="B587" s="1499"/>
      <c r="C587" s="1500"/>
      <c r="D587" s="1036"/>
    </row>
    <row r="588" spans="2:4">
      <c r="B588" s="1499"/>
      <c r="C588" s="1500"/>
      <c r="D588" s="1036"/>
    </row>
    <row r="589" spans="2:4">
      <c r="B589" s="1499"/>
      <c r="C589" s="1500"/>
      <c r="D589" s="1036"/>
    </row>
    <row r="590" spans="2:4">
      <c r="B590" s="1499"/>
      <c r="C590" s="1500"/>
      <c r="D590" s="1036"/>
    </row>
    <row r="591" spans="2:4">
      <c r="B591" s="1499"/>
      <c r="C591" s="1500"/>
      <c r="D591" s="1036"/>
    </row>
    <row r="592" spans="2:4">
      <c r="B592" s="1499"/>
      <c r="C592" s="1500"/>
      <c r="D592" s="1036"/>
    </row>
    <row r="593" spans="2:4">
      <c r="B593" s="1499"/>
      <c r="C593" s="1500"/>
      <c r="D593" s="1036"/>
    </row>
    <row r="594" spans="2:4">
      <c r="B594" s="1499"/>
      <c r="C594" s="1500"/>
      <c r="D594" s="1036"/>
    </row>
    <row r="595" spans="2:4">
      <c r="B595" s="1499"/>
      <c r="C595" s="1500"/>
      <c r="D595" s="1036"/>
    </row>
    <row r="596" spans="2:4">
      <c r="B596" s="1499"/>
      <c r="C596" s="1500"/>
      <c r="D596" s="1036"/>
    </row>
    <row r="597" spans="2:4">
      <c r="B597" s="1499"/>
      <c r="C597" s="1500"/>
      <c r="D597" s="1036"/>
    </row>
    <row r="598" spans="2:4">
      <c r="B598" s="1499"/>
      <c r="C598" s="1500"/>
      <c r="D598" s="1036"/>
    </row>
    <row r="599" spans="2:4">
      <c r="B599" s="1499"/>
      <c r="C599" s="1500"/>
      <c r="D599" s="1036"/>
    </row>
    <row r="600" spans="2:4">
      <c r="B600" s="1499"/>
      <c r="C600" s="1500"/>
      <c r="D600" s="1036"/>
    </row>
    <row r="601" spans="2:4">
      <c r="B601" s="1499"/>
      <c r="C601" s="1500"/>
      <c r="D601" s="1036"/>
    </row>
    <row r="602" spans="2:4">
      <c r="B602" s="1499"/>
      <c r="C602" s="1500"/>
      <c r="D602" s="1036"/>
    </row>
    <row r="603" spans="2:4">
      <c r="B603" s="1499"/>
      <c r="C603" s="1500"/>
      <c r="D603" s="1036"/>
    </row>
    <row r="604" spans="2:4">
      <c r="B604" s="1499"/>
      <c r="C604" s="1500"/>
      <c r="D604" s="1036"/>
    </row>
    <row r="605" spans="2:4">
      <c r="B605" s="1499"/>
      <c r="C605" s="1500"/>
      <c r="D605" s="1036"/>
    </row>
    <row r="606" spans="2:4">
      <c r="D606" s="1036"/>
    </row>
    <row r="607" spans="2:4">
      <c r="D607" s="1036"/>
    </row>
    <row r="608" spans="2:4">
      <c r="D608" s="1036"/>
    </row>
    <row r="609" spans="4:4">
      <c r="D609" s="1036"/>
    </row>
    <row r="610" spans="4:4">
      <c r="D610" s="1036"/>
    </row>
    <row r="611" spans="4:4">
      <c r="D611" s="1036"/>
    </row>
    <row r="612" spans="4:4">
      <c r="D612" s="1036"/>
    </row>
    <row r="613" spans="4:4">
      <c r="D613" s="1036"/>
    </row>
    <row r="614" spans="4:4">
      <c r="D614" s="1036"/>
    </row>
    <row r="615" spans="4:4">
      <c r="D615" s="1036"/>
    </row>
    <row r="616" spans="4:4">
      <c r="D616" s="1036"/>
    </row>
    <row r="617" spans="4:4">
      <c r="D617" s="1036"/>
    </row>
    <row r="618" spans="4:4">
      <c r="D618" s="1036"/>
    </row>
    <row r="619" spans="4:4">
      <c r="D619" s="1036"/>
    </row>
    <row r="620" spans="4:4">
      <c r="D620" s="1036"/>
    </row>
    <row r="621" spans="4:4">
      <c r="D621" s="1036"/>
    </row>
    <row r="622" spans="4:4">
      <c r="D622" s="1036"/>
    </row>
    <row r="623" spans="4:4">
      <c r="D623" s="1036"/>
    </row>
    <row r="624" spans="4:4">
      <c r="D624" s="1036"/>
    </row>
    <row r="625" spans="4:4">
      <c r="D625" s="1036"/>
    </row>
    <row r="626" spans="4:4">
      <c r="D626" s="1036"/>
    </row>
    <row r="627" spans="4:4">
      <c r="D627" s="1036"/>
    </row>
    <row r="628" spans="4:4">
      <c r="D628" s="1036"/>
    </row>
    <row r="629" spans="4:4">
      <c r="D629" s="1036"/>
    </row>
    <row r="630" spans="4:4">
      <c r="D630" s="1036"/>
    </row>
    <row r="631" spans="4:4">
      <c r="D631" s="1036"/>
    </row>
    <row r="632" spans="4:4">
      <c r="D632" s="1036"/>
    </row>
    <row r="633" spans="4:4">
      <c r="D633" s="1036"/>
    </row>
    <row r="634" spans="4:4">
      <c r="D634" s="1036"/>
    </row>
    <row r="635" spans="4:4">
      <c r="D635" s="1036"/>
    </row>
    <row r="636" spans="4:4">
      <c r="D636" s="1036"/>
    </row>
    <row r="637" spans="4:4">
      <c r="D637" s="1036"/>
    </row>
    <row r="638" spans="4:4">
      <c r="D638" s="1036"/>
    </row>
    <row r="639" spans="4:4">
      <c r="D639" s="1036"/>
    </row>
    <row r="640" spans="4:4">
      <c r="D640" s="1036"/>
    </row>
    <row r="641" spans="4:4">
      <c r="D641" s="1036"/>
    </row>
    <row r="642" spans="4:4">
      <c r="D642" s="1036"/>
    </row>
    <row r="643" spans="4:4">
      <c r="D643" s="1036"/>
    </row>
    <row r="644" spans="4:4">
      <c r="D644" s="1036"/>
    </row>
    <row r="645" spans="4:4">
      <c r="D645" s="1036"/>
    </row>
    <row r="646" spans="4:4">
      <c r="D646" s="1036"/>
    </row>
    <row r="647" spans="4:4">
      <c r="D647" s="1036"/>
    </row>
    <row r="648" spans="4:4">
      <c r="D648" s="1036"/>
    </row>
    <row r="649" spans="4:4">
      <c r="D649" s="1036"/>
    </row>
    <row r="650" spans="4:4">
      <c r="D650" s="1036"/>
    </row>
    <row r="651" spans="4:4">
      <c r="D651" s="1036"/>
    </row>
    <row r="652" spans="4:4">
      <c r="D652" s="1036"/>
    </row>
    <row r="653" spans="4:4">
      <c r="D653" s="1036"/>
    </row>
    <row r="654" spans="4:4">
      <c r="D654" s="1036"/>
    </row>
    <row r="655" spans="4:4">
      <c r="D655" s="1036"/>
    </row>
    <row r="656" spans="4:4">
      <c r="D656" s="1036"/>
    </row>
    <row r="657" spans="4:4">
      <c r="D657" s="1036"/>
    </row>
    <row r="658" spans="4:4">
      <c r="D658" s="1036"/>
    </row>
    <row r="659" spans="4:4">
      <c r="D659" s="1036"/>
    </row>
    <row r="660" spans="4:4">
      <c r="D660" s="1036"/>
    </row>
    <row r="661" spans="4:4">
      <c r="D661" s="1036"/>
    </row>
    <row r="662" spans="4:4">
      <c r="D662" s="1036"/>
    </row>
    <row r="663" spans="4:4">
      <c r="D663" s="1036"/>
    </row>
    <row r="664" spans="4:4">
      <c r="D664" s="1036"/>
    </row>
    <row r="665" spans="4:4">
      <c r="D665" s="1036"/>
    </row>
    <row r="666" spans="4:4">
      <c r="D666" s="1036"/>
    </row>
    <row r="667" spans="4:4">
      <c r="D667" s="1036"/>
    </row>
    <row r="668" spans="4:4">
      <c r="D668" s="1036"/>
    </row>
    <row r="669" spans="4:4">
      <c r="D669" s="1036"/>
    </row>
    <row r="670" spans="4:4">
      <c r="D670" s="1036"/>
    </row>
    <row r="671" spans="4:4">
      <c r="D671" s="1036"/>
    </row>
    <row r="672" spans="4:4">
      <c r="D672" s="1036"/>
    </row>
    <row r="673" spans="4:4">
      <c r="D673" s="1036"/>
    </row>
    <row r="674" spans="4:4">
      <c r="D674" s="1036"/>
    </row>
    <row r="675" spans="4:4">
      <c r="D675" s="1036"/>
    </row>
    <row r="676" spans="4:4">
      <c r="D676" s="1036"/>
    </row>
    <row r="677" spans="4:4">
      <c r="D677" s="1036"/>
    </row>
    <row r="678" spans="4:4">
      <c r="D678" s="1036"/>
    </row>
    <row r="679" spans="4:4">
      <c r="D679" s="1036"/>
    </row>
    <row r="680" spans="4:4">
      <c r="D680" s="1036"/>
    </row>
    <row r="681" spans="4:4">
      <c r="D681" s="1036"/>
    </row>
    <row r="682" spans="4:4">
      <c r="D682" s="1036"/>
    </row>
    <row r="683" spans="4:4">
      <c r="D683" s="1036"/>
    </row>
    <row r="684" spans="4:4">
      <c r="D684" s="1036"/>
    </row>
    <row r="685" spans="4:4">
      <c r="D685" s="1036"/>
    </row>
    <row r="686" spans="4:4">
      <c r="D686" s="1036"/>
    </row>
    <row r="687" spans="4:4">
      <c r="D687" s="1036"/>
    </row>
    <row r="688" spans="4:4">
      <c r="D688" s="1036"/>
    </row>
    <row r="689" spans="4:4">
      <c r="D689" s="1036"/>
    </row>
    <row r="690" spans="4:4">
      <c r="D690" s="1036"/>
    </row>
    <row r="691" spans="4:4">
      <c r="D691" s="1036"/>
    </row>
    <row r="692" spans="4:4">
      <c r="D692" s="1036"/>
    </row>
    <row r="693" spans="4:4">
      <c r="D693" s="1036"/>
    </row>
    <row r="694" spans="4:4">
      <c r="D694" s="1036"/>
    </row>
    <row r="695" spans="4:4">
      <c r="D695" s="1036"/>
    </row>
    <row r="696" spans="4:4">
      <c r="D696" s="1036"/>
    </row>
    <row r="697" spans="4:4">
      <c r="D697" s="1036"/>
    </row>
    <row r="698" spans="4:4">
      <c r="D698" s="1036"/>
    </row>
    <row r="699" spans="4:4">
      <c r="D699" s="1036"/>
    </row>
    <row r="700" spans="4:4">
      <c r="D700" s="1036"/>
    </row>
    <row r="701" spans="4:4">
      <c r="D701" s="1036"/>
    </row>
    <row r="702" spans="4:4">
      <c r="D702" s="1036"/>
    </row>
    <row r="703" spans="4:4">
      <c r="D703" s="1036"/>
    </row>
    <row r="704" spans="4:4">
      <c r="D704" s="1036"/>
    </row>
    <row r="705" spans="4:4">
      <c r="D705" s="1036"/>
    </row>
    <row r="706" spans="4:4">
      <c r="D706" s="1036"/>
    </row>
    <row r="707" spans="4:4">
      <c r="D707" s="1036"/>
    </row>
    <row r="708" spans="4:4">
      <c r="D708" s="1036"/>
    </row>
    <row r="709" spans="4:4">
      <c r="D709" s="1036"/>
    </row>
    <row r="710" spans="4:4">
      <c r="D710" s="1036"/>
    </row>
    <row r="711" spans="4:4">
      <c r="D711" s="1036"/>
    </row>
    <row r="712" spans="4:4">
      <c r="D712" s="1036"/>
    </row>
    <row r="713" spans="4:4">
      <c r="D713" s="1036"/>
    </row>
    <row r="714" spans="4:4">
      <c r="D714" s="1036"/>
    </row>
    <row r="715" spans="4:4">
      <c r="D715" s="1036"/>
    </row>
    <row r="716" spans="4:4">
      <c r="D716" s="1036"/>
    </row>
    <row r="717" spans="4:4">
      <c r="D717" s="1036"/>
    </row>
    <row r="718" spans="4:4">
      <c r="D718" s="1036"/>
    </row>
    <row r="719" spans="4:4">
      <c r="D719" s="1036"/>
    </row>
    <row r="720" spans="4:4">
      <c r="D720" s="1036"/>
    </row>
    <row r="721" spans="4:4">
      <c r="D721" s="1036"/>
    </row>
    <row r="722" spans="4:4">
      <c r="D722" s="1036"/>
    </row>
    <row r="723" spans="4:4">
      <c r="D723" s="1036"/>
    </row>
    <row r="724" spans="4:4">
      <c r="D724" s="1036"/>
    </row>
    <row r="725" spans="4:4">
      <c r="D725" s="1036"/>
    </row>
    <row r="726" spans="4:4">
      <c r="D726" s="1036"/>
    </row>
    <row r="727" spans="4:4">
      <c r="D727" s="1036"/>
    </row>
    <row r="728" spans="4:4">
      <c r="D728" s="1036"/>
    </row>
    <row r="729" spans="4:4">
      <c r="D729" s="1036"/>
    </row>
    <row r="730" spans="4:4">
      <c r="D730" s="1036"/>
    </row>
    <row r="731" spans="4:4">
      <c r="D731" s="1036"/>
    </row>
    <row r="732" spans="4:4">
      <c r="D732" s="1036"/>
    </row>
    <row r="733" spans="4:4">
      <c r="D733" s="1036"/>
    </row>
    <row r="734" spans="4:4">
      <c r="D734" s="1036"/>
    </row>
    <row r="735" spans="4:4">
      <c r="D735" s="1036"/>
    </row>
    <row r="736" spans="4:4">
      <c r="D736" s="1036"/>
    </row>
    <row r="737" spans="4:4">
      <c r="D737" s="1036"/>
    </row>
    <row r="738" spans="4:4">
      <c r="D738" s="1036"/>
    </row>
    <row r="739" spans="4:4">
      <c r="D739" s="1036"/>
    </row>
    <row r="740" spans="4:4">
      <c r="D740" s="1036"/>
    </row>
    <row r="741" spans="4:4">
      <c r="D741" s="1036"/>
    </row>
    <row r="742" spans="4:4">
      <c r="D742" s="1036"/>
    </row>
    <row r="743" spans="4:4">
      <c r="D743" s="1036"/>
    </row>
    <row r="744" spans="4:4">
      <c r="D744" s="1036"/>
    </row>
    <row r="745" spans="4:4">
      <c r="D745" s="1036"/>
    </row>
    <row r="746" spans="4:4">
      <c r="D746" s="1036"/>
    </row>
    <row r="747" spans="4:4">
      <c r="D747" s="1036"/>
    </row>
    <row r="748" spans="4:4">
      <c r="D748" s="1036"/>
    </row>
    <row r="749" spans="4:4">
      <c r="D749" s="1036"/>
    </row>
    <row r="750" spans="4:4">
      <c r="D750" s="1036"/>
    </row>
    <row r="751" spans="4:4">
      <c r="D751" s="1036"/>
    </row>
    <row r="752" spans="4:4">
      <c r="D752" s="1036"/>
    </row>
    <row r="753" spans="4:4">
      <c r="D753" s="1036"/>
    </row>
    <row r="754" spans="4:4">
      <c r="D754" s="1036"/>
    </row>
    <row r="755" spans="4:4">
      <c r="D755" s="1036"/>
    </row>
    <row r="756" spans="4:4">
      <c r="D756" s="1036"/>
    </row>
    <row r="757" spans="4:4">
      <c r="D757" s="1036"/>
    </row>
    <row r="758" spans="4:4">
      <c r="D758" s="1036"/>
    </row>
    <row r="759" spans="4:4">
      <c r="D759" s="1036"/>
    </row>
    <row r="760" spans="4:4">
      <c r="D760" s="1036"/>
    </row>
    <row r="761" spans="4:4">
      <c r="D761" s="1036"/>
    </row>
    <row r="762" spans="4:4">
      <c r="D762" s="1036"/>
    </row>
    <row r="763" spans="4:4">
      <c r="D763" s="1036"/>
    </row>
    <row r="764" spans="4:4">
      <c r="D764" s="1036"/>
    </row>
    <row r="765" spans="4:4">
      <c r="D765" s="1036"/>
    </row>
    <row r="766" spans="4:4">
      <c r="D766" s="1036"/>
    </row>
    <row r="767" spans="4:4">
      <c r="D767" s="1036"/>
    </row>
    <row r="768" spans="4:4">
      <c r="D768" s="1036"/>
    </row>
    <row r="769" spans="4:4">
      <c r="D769" s="1036"/>
    </row>
    <row r="770" spans="4:4">
      <c r="D770" s="1036"/>
    </row>
    <row r="771" spans="4:4">
      <c r="D771" s="1036"/>
    </row>
    <row r="772" spans="4:4">
      <c r="D772" s="1036"/>
    </row>
    <row r="773" spans="4:4">
      <c r="D773" s="1036"/>
    </row>
    <row r="774" spans="4:4">
      <c r="D774" s="1036"/>
    </row>
    <row r="775" spans="4:4">
      <c r="D775" s="1036"/>
    </row>
    <row r="776" spans="4:4">
      <c r="D776" s="1036"/>
    </row>
    <row r="777" spans="4:4">
      <c r="D777" s="1036"/>
    </row>
    <row r="778" spans="4:4">
      <c r="D778" s="1036"/>
    </row>
    <row r="779" spans="4:4">
      <c r="D779" s="1036"/>
    </row>
    <row r="780" spans="4:4">
      <c r="D780" s="1036"/>
    </row>
    <row r="781" spans="4:4">
      <c r="D781" s="1036"/>
    </row>
    <row r="782" spans="4:4">
      <c r="D782" s="1036"/>
    </row>
    <row r="783" spans="4:4">
      <c r="D783" s="1036"/>
    </row>
    <row r="784" spans="4:4">
      <c r="D784" s="1036"/>
    </row>
    <row r="785" spans="4:4">
      <c r="D785" s="1036"/>
    </row>
    <row r="786" spans="4:4">
      <c r="D786" s="1036"/>
    </row>
    <row r="787" spans="4:4">
      <c r="D787" s="1036"/>
    </row>
    <row r="788" spans="4:4">
      <c r="D788" s="1036"/>
    </row>
    <row r="789" spans="4:4">
      <c r="D789" s="1036"/>
    </row>
    <row r="790" spans="4:4">
      <c r="D790" s="1036"/>
    </row>
    <row r="791" spans="4:4">
      <c r="D791" s="1036"/>
    </row>
    <row r="792" spans="4:4">
      <c r="D792" s="1036"/>
    </row>
    <row r="793" spans="4:4">
      <c r="D793" s="1036"/>
    </row>
    <row r="794" spans="4:4">
      <c r="D794" s="1036"/>
    </row>
    <row r="795" spans="4:4">
      <c r="D795" s="1036"/>
    </row>
    <row r="796" spans="4:4">
      <c r="D796" s="1036"/>
    </row>
    <row r="797" spans="4:4">
      <c r="D797" s="1036"/>
    </row>
    <row r="798" spans="4:4">
      <c r="D798" s="1036"/>
    </row>
    <row r="799" spans="4:4">
      <c r="D799" s="1036"/>
    </row>
    <row r="800" spans="4:4">
      <c r="D800" s="1036"/>
    </row>
    <row r="801" spans="4:4">
      <c r="D801" s="1036"/>
    </row>
    <row r="802" spans="4:4">
      <c r="D802" s="1036"/>
    </row>
    <row r="803" spans="4:4">
      <c r="D803" s="1036"/>
    </row>
    <row r="804" spans="4:4">
      <c r="D804" s="1036"/>
    </row>
    <row r="805" spans="4:4">
      <c r="D805" s="1036"/>
    </row>
    <row r="806" spans="4:4">
      <c r="D806" s="1036"/>
    </row>
    <row r="807" spans="4:4">
      <c r="D807" s="1036"/>
    </row>
    <row r="808" spans="4:4">
      <c r="D808" s="1036"/>
    </row>
    <row r="809" spans="4:4">
      <c r="D809" s="1036"/>
    </row>
    <row r="810" spans="4:4">
      <c r="D810" s="1036"/>
    </row>
    <row r="811" spans="4:4">
      <c r="D811" s="1036"/>
    </row>
    <row r="812" spans="4:4">
      <c r="D812" s="1036"/>
    </row>
    <row r="813" spans="4:4">
      <c r="D813" s="1036"/>
    </row>
    <row r="814" spans="4:4">
      <c r="D814" s="1036"/>
    </row>
    <row r="815" spans="4:4">
      <c r="D815" s="1036"/>
    </row>
    <row r="816" spans="4:4">
      <c r="D816" s="1036"/>
    </row>
    <row r="817" spans="4:4">
      <c r="D817" s="1036"/>
    </row>
    <row r="818" spans="4:4">
      <c r="D818" s="1036"/>
    </row>
    <row r="819" spans="4:4">
      <c r="D819" s="1036"/>
    </row>
    <row r="820" spans="4:4">
      <c r="D820" s="1036"/>
    </row>
    <row r="821" spans="4:4">
      <c r="D821" s="1036"/>
    </row>
    <row r="822" spans="4:4">
      <c r="D822" s="1036"/>
    </row>
    <row r="823" spans="4:4">
      <c r="D823" s="1036"/>
    </row>
    <row r="824" spans="4:4">
      <c r="D824" s="1036"/>
    </row>
    <row r="825" spans="4:4">
      <c r="D825" s="1036"/>
    </row>
    <row r="826" spans="4:4">
      <c r="D826" s="1036"/>
    </row>
    <row r="827" spans="4:4">
      <c r="D827" s="1036"/>
    </row>
    <row r="828" spans="4:4">
      <c r="D828" s="1036"/>
    </row>
    <row r="829" spans="4:4">
      <c r="D829" s="1036"/>
    </row>
    <row r="830" spans="4:4">
      <c r="D830" s="1036"/>
    </row>
    <row r="831" spans="4:4">
      <c r="D831" s="1036"/>
    </row>
    <row r="832" spans="4:4">
      <c r="D832" s="1036"/>
    </row>
    <row r="833" spans="4:4">
      <c r="D833" s="1036"/>
    </row>
    <row r="834" spans="4:4">
      <c r="D834" s="1036"/>
    </row>
    <row r="835" spans="4:4">
      <c r="D835" s="1036"/>
    </row>
    <row r="836" spans="4:4">
      <c r="D836" s="1036"/>
    </row>
    <row r="837" spans="4:4">
      <c r="D837" s="1036"/>
    </row>
    <row r="838" spans="4:4">
      <c r="D838" s="1036"/>
    </row>
    <row r="839" spans="4:4">
      <c r="D839" s="1036"/>
    </row>
    <row r="840" spans="4:4">
      <c r="D840" s="1036"/>
    </row>
    <row r="841" spans="4:4">
      <c r="D841" s="1036"/>
    </row>
    <row r="842" spans="4:4">
      <c r="D842" s="1036"/>
    </row>
    <row r="843" spans="4:4">
      <c r="D843" s="1036"/>
    </row>
    <row r="844" spans="4:4">
      <c r="D844" s="1036"/>
    </row>
    <row r="845" spans="4:4">
      <c r="D845" s="1036"/>
    </row>
    <row r="846" spans="4:4">
      <c r="D846" s="1036"/>
    </row>
    <row r="847" spans="4:4">
      <c r="D847" s="1036"/>
    </row>
    <row r="848" spans="4:4">
      <c r="D848" s="1036"/>
    </row>
    <row r="849" spans="4:4">
      <c r="D849" s="1036"/>
    </row>
    <row r="850" spans="4:4">
      <c r="D850" s="1036"/>
    </row>
    <row r="851" spans="4:4">
      <c r="D851" s="1036"/>
    </row>
    <row r="852" spans="4:4">
      <c r="D852" s="1036"/>
    </row>
    <row r="853" spans="4:4">
      <c r="D853" s="1036"/>
    </row>
    <row r="854" spans="4:4">
      <c r="D854" s="1036"/>
    </row>
    <row r="855" spans="4:4">
      <c r="D855" s="1036"/>
    </row>
    <row r="856" spans="4:4">
      <c r="D856" s="1036"/>
    </row>
    <row r="857" spans="4:4">
      <c r="D857" s="1036"/>
    </row>
    <row r="858" spans="4:4">
      <c r="D858" s="1036"/>
    </row>
    <row r="859" spans="4:4">
      <c r="D859" s="1036"/>
    </row>
    <row r="860" spans="4:4">
      <c r="D860" s="1036"/>
    </row>
    <row r="861" spans="4:4">
      <c r="D861" s="1036"/>
    </row>
    <row r="862" spans="4:4">
      <c r="D862" s="1036"/>
    </row>
    <row r="863" spans="4:4">
      <c r="D863" s="1036"/>
    </row>
    <row r="864" spans="4:4">
      <c r="D864" s="1036"/>
    </row>
    <row r="865" spans="4:4">
      <c r="D865" s="1036"/>
    </row>
    <row r="866" spans="4:4">
      <c r="D866" s="1036"/>
    </row>
    <row r="867" spans="4:4">
      <c r="D867" s="1036"/>
    </row>
    <row r="868" spans="4:4">
      <c r="D868" s="1036"/>
    </row>
    <row r="869" spans="4:4">
      <c r="D869" s="1036"/>
    </row>
    <row r="870" spans="4:4">
      <c r="D870" s="1036"/>
    </row>
    <row r="871" spans="4:4">
      <c r="D871" s="1036"/>
    </row>
    <row r="872" spans="4:4">
      <c r="D872" s="1036"/>
    </row>
    <row r="873" spans="4:4">
      <c r="D873" s="1036"/>
    </row>
    <row r="874" spans="4:4">
      <c r="D874" s="1036"/>
    </row>
    <row r="875" spans="4:4">
      <c r="D875" s="1036"/>
    </row>
    <row r="876" spans="4:4">
      <c r="D876" s="1036"/>
    </row>
    <row r="877" spans="4:4">
      <c r="D877" s="1036"/>
    </row>
    <row r="878" spans="4:4">
      <c r="D878" s="1036"/>
    </row>
    <row r="879" spans="4:4">
      <c r="D879" s="1036"/>
    </row>
    <row r="880" spans="4:4">
      <c r="D880" s="1036"/>
    </row>
    <row r="881" spans="4:4">
      <c r="D881" s="1036"/>
    </row>
    <row r="882" spans="4:4">
      <c r="D882" s="1036"/>
    </row>
    <row r="883" spans="4:4">
      <c r="D883" s="1036"/>
    </row>
    <row r="884" spans="4:4">
      <c r="D884" s="1036"/>
    </row>
    <row r="885" spans="4:4">
      <c r="D885" s="1036"/>
    </row>
    <row r="886" spans="4:4">
      <c r="D886" s="1036"/>
    </row>
    <row r="887" spans="4:4">
      <c r="D887" s="1036"/>
    </row>
    <row r="888" spans="4:4">
      <c r="D888" s="1036"/>
    </row>
    <row r="889" spans="4:4">
      <c r="D889" s="1036"/>
    </row>
    <row r="890" spans="4:4">
      <c r="D890" s="1036"/>
    </row>
    <row r="891" spans="4:4">
      <c r="D891" s="1036"/>
    </row>
    <row r="892" spans="4:4">
      <c r="D892" s="1036"/>
    </row>
    <row r="893" spans="4:4">
      <c r="D893" s="1036"/>
    </row>
    <row r="894" spans="4:4">
      <c r="D894" s="1036"/>
    </row>
    <row r="895" spans="4:4">
      <c r="D895" s="1036"/>
    </row>
    <row r="896" spans="4:4">
      <c r="D896" s="1036"/>
    </row>
    <row r="897" spans="4:4">
      <c r="D897" s="1036"/>
    </row>
    <row r="898" spans="4:4">
      <c r="D898" s="1036"/>
    </row>
    <row r="899" spans="4:4">
      <c r="D899" s="1036"/>
    </row>
    <row r="900" spans="4:4">
      <c r="D900" s="1036"/>
    </row>
    <row r="901" spans="4:4">
      <c r="D901" s="1036"/>
    </row>
    <row r="902" spans="4:4">
      <c r="D902" s="1036"/>
    </row>
    <row r="903" spans="4:4">
      <c r="D903" s="1036"/>
    </row>
    <row r="904" spans="4:4">
      <c r="D904" s="1036"/>
    </row>
    <row r="905" spans="4:4">
      <c r="D905" s="1036"/>
    </row>
    <row r="906" spans="4:4">
      <c r="D906" s="1036"/>
    </row>
    <row r="907" spans="4:4">
      <c r="D907" s="1036"/>
    </row>
    <row r="908" spans="4:4">
      <c r="D908" s="1036"/>
    </row>
    <row r="909" spans="4:4">
      <c r="D909" s="1036"/>
    </row>
    <row r="910" spans="4:4">
      <c r="D910" s="1036"/>
    </row>
    <row r="911" spans="4:4">
      <c r="D911" s="1036"/>
    </row>
    <row r="912" spans="4:4">
      <c r="D912" s="1036"/>
    </row>
    <row r="913" spans="4:4">
      <c r="D913" s="1036"/>
    </row>
    <row r="914" spans="4:4">
      <c r="D914" s="1036"/>
    </row>
    <row r="915" spans="4:4">
      <c r="D915" s="1036"/>
    </row>
    <row r="916" spans="4:4">
      <c r="D916" s="1036"/>
    </row>
    <row r="917" spans="4:4">
      <c r="D917" s="1036"/>
    </row>
    <row r="918" spans="4:4">
      <c r="D918" s="1036"/>
    </row>
    <row r="919" spans="4:4">
      <c r="D919" s="1036"/>
    </row>
    <row r="920" spans="4:4">
      <c r="D920" s="1036"/>
    </row>
    <row r="921" spans="4:4">
      <c r="D921" s="1036"/>
    </row>
    <row r="922" spans="4:4">
      <c r="D922" s="1036"/>
    </row>
    <row r="923" spans="4:4">
      <c r="D923" s="1036"/>
    </row>
    <row r="924" spans="4:4">
      <c r="D924" s="1036"/>
    </row>
    <row r="925" spans="4:4">
      <c r="D925" s="1036"/>
    </row>
    <row r="926" spans="4:4">
      <c r="D926" s="1036"/>
    </row>
    <row r="927" spans="4:4">
      <c r="D927" s="1036"/>
    </row>
    <row r="928" spans="4:4">
      <c r="D928" s="1036"/>
    </row>
    <row r="929" spans="4:4">
      <c r="D929" s="1036"/>
    </row>
    <row r="930" spans="4:4">
      <c r="D930" s="1036"/>
    </row>
    <row r="931" spans="4:4">
      <c r="D931" s="1036"/>
    </row>
    <row r="932" spans="4:4">
      <c r="D932" s="1036"/>
    </row>
    <row r="933" spans="4:4">
      <c r="D933" s="1036"/>
    </row>
    <row r="934" spans="4:4">
      <c r="D934" s="1036"/>
    </row>
    <row r="935" spans="4:4">
      <c r="D935" s="1036"/>
    </row>
    <row r="936" spans="4:4">
      <c r="D936" s="1036"/>
    </row>
    <row r="937" spans="4:4">
      <c r="D937" s="1036"/>
    </row>
    <row r="938" spans="4:4">
      <c r="D938" s="1036"/>
    </row>
    <row r="939" spans="4:4">
      <c r="D939" s="1036"/>
    </row>
    <row r="940" spans="4:4">
      <c r="D940" s="1036"/>
    </row>
    <row r="941" spans="4:4">
      <c r="D941" s="1036"/>
    </row>
    <row r="942" spans="4:4">
      <c r="D942" s="1036"/>
    </row>
    <row r="943" spans="4:4">
      <c r="D943" s="1036"/>
    </row>
    <row r="944" spans="4:4">
      <c r="D944" s="1036"/>
    </row>
    <row r="945" spans="4:4">
      <c r="D945" s="1036"/>
    </row>
    <row r="946" spans="4:4">
      <c r="D946" s="1036"/>
    </row>
    <row r="947" spans="4:4">
      <c r="D947" s="1036"/>
    </row>
    <row r="948" spans="4:4">
      <c r="D948" s="1036"/>
    </row>
    <row r="949" spans="4:4">
      <c r="D949" s="1036"/>
    </row>
    <row r="950" spans="4:4">
      <c r="D950" s="1036"/>
    </row>
    <row r="951" spans="4:4">
      <c r="D951" s="1036"/>
    </row>
    <row r="952" spans="4:4">
      <c r="D952" s="1036"/>
    </row>
    <row r="953" spans="4:4">
      <c r="D953" s="1036"/>
    </row>
    <row r="954" spans="4:4">
      <c r="D954" s="1036"/>
    </row>
    <row r="955" spans="4:4">
      <c r="D955" s="1036"/>
    </row>
    <row r="956" spans="4:4">
      <c r="D956" s="1036"/>
    </row>
    <row r="957" spans="4:4">
      <c r="D957" s="1036"/>
    </row>
    <row r="958" spans="4:4">
      <c r="D958" s="1036"/>
    </row>
    <row r="959" spans="4:4">
      <c r="D959" s="1036"/>
    </row>
    <row r="960" spans="4:4">
      <c r="D960" s="1036"/>
    </row>
    <row r="961" spans="4:4">
      <c r="D961" s="1036"/>
    </row>
    <row r="962" spans="4:4">
      <c r="D962" s="1036"/>
    </row>
    <row r="963" spans="4:4">
      <c r="D963" s="1036"/>
    </row>
    <row r="964" spans="4:4">
      <c r="D964" s="1036"/>
    </row>
    <row r="965" spans="4:4">
      <c r="D965" s="1036"/>
    </row>
    <row r="966" spans="4:4">
      <c r="D966" s="1036"/>
    </row>
    <row r="967" spans="4:4">
      <c r="D967" s="1036"/>
    </row>
    <row r="968" spans="4:4">
      <c r="D968" s="1036"/>
    </row>
    <row r="969" spans="4:4">
      <c r="D969" s="1036"/>
    </row>
    <row r="970" spans="4:4">
      <c r="D970" s="1036"/>
    </row>
    <row r="971" spans="4:4">
      <c r="D971" s="1036"/>
    </row>
    <row r="972" spans="4:4">
      <c r="D972" s="1036"/>
    </row>
    <row r="973" spans="4:4">
      <c r="D973" s="1036"/>
    </row>
    <row r="974" spans="4:4">
      <c r="D974" s="1036"/>
    </row>
    <row r="975" spans="4:4">
      <c r="D975" s="1036"/>
    </row>
    <row r="976" spans="4:4">
      <c r="D976" s="1036"/>
    </row>
    <row r="977" spans="4:4">
      <c r="D977" s="1036"/>
    </row>
    <row r="978" spans="4:4">
      <c r="D978" s="1036"/>
    </row>
    <row r="979" spans="4:4">
      <c r="D979" s="1036"/>
    </row>
    <row r="980" spans="4:4">
      <c r="D980" s="1036"/>
    </row>
    <row r="981" spans="4:4">
      <c r="D981" s="1036"/>
    </row>
    <row r="982" spans="4:4">
      <c r="D982" s="1036"/>
    </row>
    <row r="983" spans="4:4">
      <c r="D983" s="1036"/>
    </row>
    <row r="984" spans="4:4">
      <c r="D984" s="1036"/>
    </row>
    <row r="985" spans="4:4">
      <c r="D985" s="1036"/>
    </row>
    <row r="986" spans="4:4">
      <c r="D986" s="1036"/>
    </row>
    <row r="987" spans="4:4">
      <c r="D987" s="1036"/>
    </row>
    <row r="988" spans="4:4">
      <c r="D988" s="1036"/>
    </row>
    <row r="989" spans="4:4">
      <c r="D989" s="1036"/>
    </row>
    <row r="990" spans="4:4">
      <c r="D990" s="1036"/>
    </row>
    <row r="991" spans="4:4">
      <c r="D991" s="1036"/>
    </row>
    <row r="992" spans="4:4">
      <c r="D992" s="1036"/>
    </row>
    <row r="993" spans="4:4">
      <c r="D993" s="1036"/>
    </row>
    <row r="994" spans="4:4">
      <c r="D994" s="1036"/>
    </row>
    <row r="995" spans="4:4">
      <c r="D995" s="1036"/>
    </row>
    <row r="996" spans="4:4">
      <c r="D996" s="1036"/>
    </row>
    <row r="997" spans="4:4">
      <c r="D997" s="1036"/>
    </row>
    <row r="998" spans="4:4">
      <c r="D998" s="1036"/>
    </row>
    <row r="999" spans="4:4">
      <c r="D999" s="1036"/>
    </row>
    <row r="1000" spans="4:4">
      <c r="D1000" s="1036"/>
    </row>
    <row r="1001" spans="4:4">
      <c r="D1001" s="1036"/>
    </row>
    <row r="1002" spans="4:4">
      <c r="D1002" s="1036"/>
    </row>
    <row r="1003" spans="4:4">
      <c r="D1003" s="1036"/>
    </row>
    <row r="1004" spans="4:4">
      <c r="D1004" s="1036"/>
    </row>
    <row r="1005" spans="4:4">
      <c r="D1005" s="1036"/>
    </row>
    <row r="1006" spans="4:4">
      <c r="D1006" s="1036"/>
    </row>
    <row r="1007" spans="4:4">
      <c r="D1007" s="1036"/>
    </row>
    <row r="1008" spans="4:4">
      <c r="D1008" s="1036"/>
    </row>
    <row r="1009" spans="4:4">
      <c r="D1009" s="1036"/>
    </row>
    <row r="1010" spans="4:4">
      <c r="D1010" s="1036"/>
    </row>
    <row r="1011" spans="4:4">
      <c r="D1011" s="1036"/>
    </row>
    <row r="1012" spans="4:4">
      <c r="D1012" s="1036"/>
    </row>
    <row r="1013" spans="4:4">
      <c r="D1013" s="1036"/>
    </row>
    <row r="1014" spans="4:4">
      <c r="D1014" s="1036"/>
    </row>
    <row r="1015" spans="4:4">
      <c r="D1015" s="1036"/>
    </row>
    <row r="1016" spans="4:4">
      <c r="D1016" s="1036"/>
    </row>
    <row r="1017" spans="4:4">
      <c r="D1017" s="1036"/>
    </row>
    <row r="1018" spans="4:4">
      <c r="D1018" s="1036"/>
    </row>
    <row r="1019" spans="4:4">
      <c r="D1019" s="1036"/>
    </row>
    <row r="1020" spans="4:4">
      <c r="D1020" s="1036"/>
    </row>
    <row r="1021" spans="4:4">
      <c r="D1021" s="1036"/>
    </row>
    <row r="1022" spans="4:4">
      <c r="D1022" s="1036"/>
    </row>
    <row r="1023" spans="4:4">
      <c r="D1023" s="1036"/>
    </row>
    <row r="1024" spans="4:4">
      <c r="D1024" s="1036"/>
    </row>
    <row r="1025" spans="4:4">
      <c r="D1025" s="1036"/>
    </row>
    <row r="1026" spans="4:4">
      <c r="D1026" s="1036"/>
    </row>
    <row r="1027" spans="4:4">
      <c r="D1027" s="1036"/>
    </row>
    <row r="1028" spans="4:4">
      <c r="D1028" s="1036"/>
    </row>
    <row r="1029" spans="4:4">
      <c r="D1029" s="1036"/>
    </row>
    <row r="1030" spans="4:4">
      <c r="D1030" s="1036"/>
    </row>
    <row r="1031" spans="4:4">
      <c r="D1031" s="1036"/>
    </row>
    <row r="1032" spans="4:4">
      <c r="D1032" s="1036"/>
    </row>
    <row r="1033" spans="4:4">
      <c r="D1033" s="1036"/>
    </row>
    <row r="1034" spans="4:4">
      <c r="D1034" s="1036"/>
    </row>
    <row r="1035" spans="4:4">
      <c r="D1035" s="1036"/>
    </row>
    <row r="1036" spans="4:4">
      <c r="D1036" s="1036"/>
    </row>
    <row r="1037" spans="4:4">
      <c r="D1037" s="1036"/>
    </row>
    <row r="1038" spans="4:4">
      <c r="D1038" s="1036"/>
    </row>
    <row r="1039" spans="4:4">
      <c r="D1039" s="1036"/>
    </row>
    <row r="1040" spans="4:4">
      <c r="D1040" s="1036"/>
    </row>
    <row r="1041" spans="4:4">
      <c r="D1041" s="1036"/>
    </row>
    <row r="1042" spans="4:4">
      <c r="D1042" s="1036"/>
    </row>
    <row r="1043" spans="4:4">
      <c r="D1043" s="1036"/>
    </row>
    <row r="1044" spans="4:4">
      <c r="D1044" s="1036"/>
    </row>
    <row r="1045" spans="4:4">
      <c r="D1045" s="1036"/>
    </row>
    <row r="1046" spans="4:4">
      <c r="D1046" s="1036"/>
    </row>
    <row r="1047" spans="4:4">
      <c r="D1047" s="1036"/>
    </row>
    <row r="1048" spans="4:4">
      <c r="D1048" s="1036"/>
    </row>
    <row r="1049" spans="4:4">
      <c r="D1049" s="1036"/>
    </row>
    <row r="1050" spans="4:4">
      <c r="D1050" s="1036"/>
    </row>
    <row r="1051" spans="4:4">
      <c r="D1051" s="1036"/>
    </row>
    <row r="1052" spans="4:4">
      <c r="D1052" s="1036"/>
    </row>
    <row r="1053" spans="4:4">
      <c r="D1053" s="1036"/>
    </row>
    <row r="1054" spans="4:4">
      <c r="D1054" s="1036"/>
    </row>
    <row r="1055" spans="4:4">
      <c r="D1055" s="1036"/>
    </row>
    <row r="1056" spans="4:4">
      <c r="D1056" s="1036"/>
    </row>
    <row r="1057" spans="4:4">
      <c r="D1057" s="1036"/>
    </row>
    <row r="1058" spans="4:4">
      <c r="D1058" s="1036"/>
    </row>
    <row r="1059" spans="4:4">
      <c r="D1059" s="1036"/>
    </row>
    <row r="1060" spans="4:4">
      <c r="D1060" s="1036"/>
    </row>
    <row r="1061" spans="4:4">
      <c r="D1061" s="1036"/>
    </row>
    <row r="1062" spans="4:4">
      <c r="D1062" s="1036"/>
    </row>
    <row r="1063" spans="4:4">
      <c r="D1063" s="1036"/>
    </row>
    <row r="1064" spans="4:4">
      <c r="D1064" s="1036"/>
    </row>
    <row r="1065" spans="4:4">
      <c r="D1065" s="1036"/>
    </row>
    <row r="1066" spans="4:4">
      <c r="D1066" s="1036"/>
    </row>
    <row r="1067" spans="4:4">
      <c r="D1067" s="1036"/>
    </row>
    <row r="1068" spans="4:4">
      <c r="D1068" s="1036"/>
    </row>
    <row r="1069" spans="4:4">
      <c r="D1069" s="1036"/>
    </row>
    <row r="1070" spans="4:4">
      <c r="D1070" s="1036"/>
    </row>
    <row r="1071" spans="4:4">
      <c r="D1071" s="1036"/>
    </row>
    <row r="1072" spans="4:4">
      <c r="D1072" s="1036"/>
    </row>
    <row r="1073" spans="4:4">
      <c r="D1073" s="1036"/>
    </row>
    <row r="1074" spans="4:4">
      <c r="D1074" s="1036"/>
    </row>
    <row r="1075" spans="4:4">
      <c r="D1075" s="1036"/>
    </row>
    <row r="1076" spans="4:4">
      <c r="D1076" s="1036"/>
    </row>
    <row r="1077" spans="4:4">
      <c r="D1077" s="1036"/>
    </row>
    <row r="1078" spans="4:4">
      <c r="D1078" s="1036"/>
    </row>
    <row r="1079" spans="4:4">
      <c r="D1079" s="1036"/>
    </row>
    <row r="1080" spans="4:4">
      <c r="D1080" s="1036"/>
    </row>
    <row r="1081" spans="4:4">
      <c r="D1081" s="1036"/>
    </row>
    <row r="1082" spans="4:4">
      <c r="D1082" s="1036"/>
    </row>
    <row r="1083" spans="4:4">
      <c r="D1083" s="1036"/>
    </row>
    <row r="1084" spans="4:4">
      <c r="D1084" s="1036"/>
    </row>
    <row r="1085" spans="4:4">
      <c r="D1085" s="1036"/>
    </row>
    <row r="1086" spans="4:4">
      <c r="D1086" s="1036"/>
    </row>
    <row r="1087" spans="4:4">
      <c r="D1087" s="1036"/>
    </row>
    <row r="1088" spans="4:4">
      <c r="D1088" s="1036"/>
    </row>
    <row r="1089" spans="4:4">
      <c r="D1089" s="1036"/>
    </row>
    <row r="1090" spans="4:4">
      <c r="D1090" s="1036"/>
    </row>
    <row r="1091" spans="4:4">
      <c r="D1091" s="1036"/>
    </row>
    <row r="1092" spans="4:4">
      <c r="D1092" s="1036"/>
    </row>
    <row r="1093" spans="4:4">
      <c r="D1093" s="1036"/>
    </row>
    <row r="1094" spans="4:4">
      <c r="D1094" s="1036"/>
    </row>
    <row r="1095" spans="4:4">
      <c r="D1095" s="1036"/>
    </row>
    <row r="1096" spans="4:4">
      <c r="D1096" s="1036"/>
    </row>
    <row r="1097" spans="4:4">
      <c r="D1097" s="1036"/>
    </row>
    <row r="1098" spans="4:4">
      <c r="D1098" s="1036"/>
    </row>
    <row r="1099" spans="4:4">
      <c r="D1099" s="1036"/>
    </row>
    <row r="1100" spans="4:4">
      <c r="D1100" s="1036"/>
    </row>
    <row r="1101" spans="4:4">
      <c r="D1101" s="1036"/>
    </row>
    <row r="1102" spans="4:4">
      <c r="D1102" s="1036"/>
    </row>
    <row r="1103" spans="4:4">
      <c r="D1103" s="1036"/>
    </row>
    <row r="1104" spans="4:4">
      <c r="D1104" s="1036"/>
    </row>
    <row r="1105" spans="4:4">
      <c r="D1105" s="1036"/>
    </row>
    <row r="1106" spans="4:4">
      <c r="D1106" s="1036"/>
    </row>
    <row r="1107" spans="4:4">
      <c r="D1107" s="1036"/>
    </row>
    <row r="1108" spans="4:4">
      <c r="D1108" s="1036"/>
    </row>
    <row r="1109" spans="4:4">
      <c r="D1109" s="1036"/>
    </row>
    <row r="1110" spans="4:4">
      <c r="D1110" s="1036"/>
    </row>
    <row r="1111" spans="4:4">
      <c r="D1111" s="1036"/>
    </row>
    <row r="1112" spans="4:4">
      <c r="D1112" s="1036"/>
    </row>
    <row r="1113" spans="4:4">
      <c r="D1113" s="1036"/>
    </row>
    <row r="1114" spans="4:4">
      <c r="D1114" s="1036"/>
    </row>
    <row r="1115" spans="4:4">
      <c r="D1115" s="1036"/>
    </row>
    <row r="1116" spans="4:4">
      <c r="D1116" s="1036"/>
    </row>
    <row r="1117" spans="4:4">
      <c r="D1117" s="1036"/>
    </row>
    <row r="1118" spans="4:4">
      <c r="D1118" s="1036"/>
    </row>
    <row r="1119" spans="4:4">
      <c r="D1119" s="1036"/>
    </row>
    <row r="1120" spans="4:4">
      <c r="D1120" s="1036"/>
    </row>
    <row r="1121" spans="4:4">
      <c r="D1121" s="1036"/>
    </row>
    <row r="1122" spans="4:4">
      <c r="D1122" s="1036"/>
    </row>
    <row r="1123" spans="4:4">
      <c r="D1123" s="1036"/>
    </row>
    <row r="1124" spans="4:4">
      <c r="D1124" s="1036"/>
    </row>
    <row r="1125" spans="4:4">
      <c r="D1125" s="1036"/>
    </row>
    <row r="1126" spans="4:4">
      <c r="D1126" s="1036"/>
    </row>
    <row r="1127" spans="4:4">
      <c r="D1127" s="1036"/>
    </row>
    <row r="1128" spans="4:4">
      <c r="D1128" s="1036"/>
    </row>
    <row r="1129" spans="4:4">
      <c r="D1129" s="1036"/>
    </row>
    <row r="1130" spans="4:4">
      <c r="D1130" s="1036"/>
    </row>
    <row r="1131" spans="4:4">
      <c r="D1131" s="1036"/>
    </row>
    <row r="1132" spans="4:4">
      <c r="D1132" s="1036"/>
    </row>
    <row r="1133" spans="4:4">
      <c r="D1133" s="1036"/>
    </row>
    <row r="1134" spans="4:4">
      <c r="D1134" s="1036"/>
    </row>
    <row r="1135" spans="4:4">
      <c r="D1135" s="1036"/>
    </row>
    <row r="1136" spans="4:4">
      <c r="D1136" s="1036"/>
    </row>
    <row r="1137" spans="4:4">
      <c r="D1137" s="1036"/>
    </row>
    <row r="1138" spans="4:4">
      <c r="D1138" s="1036"/>
    </row>
    <row r="1139" spans="4:4">
      <c r="D1139" s="1036"/>
    </row>
    <row r="1140" spans="4:4">
      <c r="D1140" s="1036"/>
    </row>
    <row r="1141" spans="4:4">
      <c r="D1141" s="1036"/>
    </row>
    <row r="1142" spans="4:4">
      <c r="D1142" s="1036"/>
    </row>
    <row r="1143" spans="4:4">
      <c r="D1143" s="1036"/>
    </row>
    <row r="1144" spans="4:4">
      <c r="D1144" s="1036"/>
    </row>
    <row r="1145" spans="4:4">
      <c r="D1145" s="1036"/>
    </row>
    <row r="1146" spans="4:4">
      <c r="D1146" s="1036"/>
    </row>
    <row r="1147" spans="4:4">
      <c r="D1147" s="1036"/>
    </row>
    <row r="1148" spans="4:4">
      <c r="D1148" s="1036"/>
    </row>
    <row r="1149" spans="4:4">
      <c r="D1149" s="1036"/>
    </row>
    <row r="1150" spans="4:4">
      <c r="D1150" s="1036"/>
    </row>
    <row r="1151" spans="4:4">
      <c r="D1151" s="1036"/>
    </row>
    <row r="1152" spans="4:4">
      <c r="D1152" s="1036"/>
    </row>
    <row r="1153" spans="4:4">
      <c r="D1153" s="1036"/>
    </row>
    <row r="1154" spans="4:4">
      <c r="D1154" s="1036"/>
    </row>
    <row r="1155" spans="4:4">
      <c r="D1155" s="1036"/>
    </row>
    <row r="1156" spans="4:4">
      <c r="D1156" s="1036"/>
    </row>
    <row r="1157" spans="4:4">
      <c r="D1157" s="1036"/>
    </row>
    <row r="1158" spans="4:4">
      <c r="D1158" s="1036"/>
    </row>
    <row r="1159" spans="4:4">
      <c r="D1159" s="1036"/>
    </row>
    <row r="1160" spans="4:4">
      <c r="D1160" s="1036"/>
    </row>
    <row r="1161" spans="4:4">
      <c r="D1161" s="1036"/>
    </row>
    <row r="1162" spans="4:4">
      <c r="D1162" s="1036"/>
    </row>
    <row r="1163" spans="4:4">
      <c r="D1163" s="1036"/>
    </row>
    <row r="1164" spans="4:4">
      <c r="D1164" s="1036"/>
    </row>
    <row r="1165" spans="4:4">
      <c r="D1165" s="1036"/>
    </row>
    <row r="1166" spans="4:4">
      <c r="D1166" s="1036"/>
    </row>
    <row r="1167" spans="4:4">
      <c r="D1167" s="1036"/>
    </row>
    <row r="1168" spans="4:4">
      <c r="D1168" s="1036"/>
    </row>
    <row r="1169" spans="4:4">
      <c r="D1169" s="1036"/>
    </row>
    <row r="1170" spans="4:4">
      <c r="D1170" s="1036"/>
    </row>
    <row r="1171" spans="4:4">
      <c r="D1171" s="1036"/>
    </row>
    <row r="1172" spans="4:4">
      <c r="D1172" s="1036"/>
    </row>
    <row r="1173" spans="4:4">
      <c r="D1173" s="1036"/>
    </row>
    <row r="1174" spans="4:4">
      <c r="D1174" s="1036"/>
    </row>
    <row r="1175" spans="4:4">
      <c r="D1175" s="1036"/>
    </row>
    <row r="1176" spans="4:4">
      <c r="D1176" s="1036"/>
    </row>
    <row r="1177" spans="4:4">
      <c r="D1177" s="1036"/>
    </row>
    <row r="1178" spans="4:4">
      <c r="D1178" s="1036"/>
    </row>
    <row r="1179" spans="4:4">
      <c r="D1179" s="1036"/>
    </row>
    <row r="1180" spans="4:4">
      <c r="D1180" s="1036"/>
    </row>
    <row r="1181" spans="4:4">
      <c r="D1181" s="1036"/>
    </row>
    <row r="1182" spans="4:4">
      <c r="D1182" s="1036"/>
    </row>
    <row r="1183" spans="4:4">
      <c r="D1183" s="1036"/>
    </row>
    <row r="1184" spans="4:4">
      <c r="D1184" s="1036"/>
    </row>
    <row r="1185" spans="4:4">
      <c r="D1185" s="1036"/>
    </row>
    <row r="1186" spans="4:4">
      <c r="D1186" s="1036"/>
    </row>
    <row r="1187" spans="4:4">
      <c r="D1187" s="1036"/>
    </row>
    <row r="1188" spans="4:4">
      <c r="D1188" s="1036"/>
    </row>
    <row r="1189" spans="4:4">
      <c r="D1189" s="1036"/>
    </row>
    <row r="1190" spans="4:4">
      <c r="D1190" s="1036"/>
    </row>
    <row r="1191" spans="4:4">
      <c r="D1191" s="1036"/>
    </row>
    <row r="1192" spans="4:4">
      <c r="D1192" s="1036"/>
    </row>
    <row r="1193" spans="4:4">
      <c r="D1193" s="1036"/>
    </row>
    <row r="1194" spans="4:4">
      <c r="D1194" s="1036"/>
    </row>
    <row r="1195" spans="4:4">
      <c r="D1195" s="1036"/>
    </row>
    <row r="1196" spans="4:4">
      <c r="D1196" s="1036"/>
    </row>
    <row r="1197" spans="4:4">
      <c r="D1197" s="1036"/>
    </row>
    <row r="1198" spans="4:4">
      <c r="D1198" s="1036"/>
    </row>
    <row r="1199" spans="4:4">
      <c r="D1199" s="1036"/>
    </row>
    <row r="1200" spans="4:4">
      <c r="D1200" s="1036"/>
    </row>
    <row r="1201" spans="4:4">
      <c r="D1201" s="1036"/>
    </row>
    <row r="1202" spans="4:4">
      <c r="D1202" s="1036"/>
    </row>
    <row r="1203" spans="4:4">
      <c r="D1203" s="1036"/>
    </row>
    <row r="1204" spans="4:4">
      <c r="D1204" s="1036"/>
    </row>
    <row r="1205" spans="4:4">
      <c r="D1205" s="1036"/>
    </row>
    <row r="1206" spans="4:4">
      <c r="D1206" s="1036"/>
    </row>
    <row r="1207" spans="4:4">
      <c r="D1207" s="1036"/>
    </row>
    <row r="1208" spans="4:4">
      <c r="D1208" s="1036"/>
    </row>
    <row r="1209" spans="4:4">
      <c r="D1209" s="1036"/>
    </row>
    <row r="1210" spans="4:4">
      <c r="D1210" s="1036"/>
    </row>
    <row r="1211" spans="4:4">
      <c r="D1211" s="1036"/>
    </row>
    <row r="1212" spans="4:4">
      <c r="D1212" s="1036"/>
    </row>
    <row r="1213" spans="4:4">
      <c r="D1213" s="1036"/>
    </row>
    <row r="1214" spans="4:4">
      <c r="D1214" s="1036"/>
    </row>
    <row r="1215" spans="4:4">
      <c r="D1215" s="1036"/>
    </row>
    <row r="1216" spans="4:4">
      <c r="D1216" s="1036"/>
    </row>
    <row r="1217" spans="4:4">
      <c r="D1217" s="1036"/>
    </row>
    <row r="1218" spans="4:4">
      <c r="D1218" s="1036"/>
    </row>
    <row r="1219" spans="4:4">
      <c r="D1219" s="1036"/>
    </row>
    <row r="1220" spans="4:4">
      <c r="D1220" s="1036"/>
    </row>
    <row r="1221" spans="4:4">
      <c r="D1221" s="1036"/>
    </row>
    <row r="1222" spans="4:4">
      <c r="D1222" s="1036"/>
    </row>
    <row r="1223" spans="4:4">
      <c r="D1223" s="1036"/>
    </row>
    <row r="1224" spans="4:4">
      <c r="D1224" s="1036"/>
    </row>
    <row r="1225" spans="4:4">
      <c r="D1225" s="1036"/>
    </row>
    <row r="1226" spans="4:4">
      <c r="D1226" s="1036"/>
    </row>
    <row r="1227" spans="4:4">
      <c r="D1227" s="1036"/>
    </row>
    <row r="1228" spans="4:4">
      <c r="D1228" s="1036"/>
    </row>
    <row r="1229" spans="4:4">
      <c r="D1229" s="1036"/>
    </row>
    <row r="1230" spans="4:4">
      <c r="D1230" s="1036"/>
    </row>
    <row r="1231" spans="4:4">
      <c r="D1231" s="1036"/>
    </row>
    <row r="1232" spans="4:4">
      <c r="D1232" s="1036"/>
    </row>
    <row r="1233" spans="4:4">
      <c r="D1233" s="1036"/>
    </row>
    <row r="1234" spans="4:4">
      <c r="D1234" s="1036"/>
    </row>
    <row r="1235" spans="4:4">
      <c r="D1235" s="1036"/>
    </row>
    <row r="1236" spans="4:4">
      <c r="D1236" s="1036"/>
    </row>
    <row r="1237" spans="4:4">
      <c r="D1237" s="1036"/>
    </row>
    <row r="1238" spans="4:4">
      <c r="D1238" s="1036"/>
    </row>
    <row r="1239" spans="4:4">
      <c r="D1239" s="1036"/>
    </row>
    <row r="1240" spans="4:4">
      <c r="D1240" s="1036"/>
    </row>
    <row r="1241" spans="4:4">
      <c r="D1241" s="1036"/>
    </row>
    <row r="1242" spans="4:4">
      <c r="D1242" s="1036"/>
    </row>
    <row r="1243" spans="4:4">
      <c r="D1243" s="1036"/>
    </row>
    <row r="1244" spans="4:4">
      <c r="D1244" s="1036"/>
    </row>
    <row r="1245" spans="4:4">
      <c r="D1245" s="1036"/>
    </row>
    <row r="1246" spans="4:4">
      <c r="D1246" s="1036"/>
    </row>
    <row r="1247" spans="4:4">
      <c r="D1247" s="1036"/>
    </row>
    <row r="1248" spans="4:4">
      <c r="D1248" s="1036"/>
    </row>
    <row r="1249" spans="4:4">
      <c r="D1249" s="1036"/>
    </row>
    <row r="1250" spans="4:4">
      <c r="D1250" s="1036"/>
    </row>
    <row r="1251" spans="4:4">
      <c r="D1251" s="1036"/>
    </row>
    <row r="1252" spans="4:4">
      <c r="D1252" s="1036"/>
    </row>
    <row r="1253" spans="4:4">
      <c r="D1253" s="1036"/>
    </row>
    <row r="1254" spans="4:4">
      <c r="D1254" s="1036"/>
    </row>
    <row r="1255" spans="4:4">
      <c r="D1255" s="1036"/>
    </row>
    <row r="1256" spans="4:4">
      <c r="D1256" s="1036"/>
    </row>
    <row r="1257" spans="4:4">
      <c r="D1257" s="1036"/>
    </row>
    <row r="1258" spans="4:4">
      <c r="D1258" s="1036"/>
    </row>
    <row r="1259" spans="4:4">
      <c r="D1259" s="1036"/>
    </row>
    <row r="1260" spans="4:4">
      <c r="D1260" s="1036"/>
    </row>
    <row r="1261" spans="4:4">
      <c r="D1261" s="1036"/>
    </row>
    <row r="1262" spans="4:4">
      <c r="D1262" s="1036"/>
    </row>
    <row r="1263" spans="4:4">
      <c r="D1263" s="1036"/>
    </row>
    <row r="1264" spans="4:4">
      <c r="D1264" s="1036"/>
    </row>
    <row r="1265" spans="4:4">
      <c r="D1265" s="1036"/>
    </row>
    <row r="1266" spans="4:4">
      <c r="D1266" s="1036"/>
    </row>
    <row r="1267" spans="4:4">
      <c r="D1267" s="1036"/>
    </row>
    <row r="1268" spans="4:4">
      <c r="D1268" s="1036"/>
    </row>
    <row r="1269" spans="4:4">
      <c r="D1269" s="1036"/>
    </row>
    <row r="1270" spans="4:4">
      <c r="D1270" s="1036"/>
    </row>
    <row r="1271" spans="4:4">
      <c r="D1271" s="1036"/>
    </row>
    <row r="1272" spans="4:4">
      <c r="D1272" s="1036"/>
    </row>
    <row r="1273" spans="4:4">
      <c r="D1273" s="1036"/>
    </row>
    <row r="1274" spans="4:4">
      <c r="D1274" s="1036"/>
    </row>
    <row r="1275" spans="4:4">
      <c r="D1275" s="1036"/>
    </row>
    <row r="1276" spans="4:4">
      <c r="D1276" s="1036"/>
    </row>
    <row r="1277" spans="4:4">
      <c r="D1277" s="1036"/>
    </row>
    <row r="1278" spans="4:4">
      <c r="D1278" s="1036"/>
    </row>
    <row r="1279" spans="4:4">
      <c r="D1279" s="1036"/>
    </row>
    <row r="1280" spans="4:4">
      <c r="D1280" s="1036"/>
    </row>
    <row r="1281" spans="4:4">
      <c r="D1281" s="1036"/>
    </row>
    <row r="1282" spans="4:4">
      <c r="D1282" s="1036"/>
    </row>
    <row r="1283" spans="4:4">
      <c r="D1283" s="1036"/>
    </row>
    <row r="1284" spans="4:4">
      <c r="D1284" s="1036"/>
    </row>
    <row r="1285" spans="4:4">
      <c r="D1285" s="1036"/>
    </row>
    <row r="1286" spans="4:4">
      <c r="D1286" s="1036"/>
    </row>
    <row r="1287" spans="4:4">
      <c r="D1287" s="1036"/>
    </row>
    <row r="1288" spans="4:4">
      <c r="D1288" s="1036"/>
    </row>
    <row r="1289" spans="4:4">
      <c r="D1289" s="1036"/>
    </row>
    <row r="1290" spans="4:4">
      <c r="D1290" s="1036"/>
    </row>
    <row r="1291" spans="4:4">
      <c r="D1291" s="1036"/>
    </row>
    <row r="1292" spans="4:4">
      <c r="D1292" s="1036"/>
    </row>
    <row r="1293" spans="4:4">
      <c r="D1293" s="1036"/>
    </row>
    <row r="1294" spans="4:4">
      <c r="D1294" s="1036"/>
    </row>
    <row r="1295" spans="4:4">
      <c r="D1295" s="1036"/>
    </row>
    <row r="1296" spans="4:4">
      <c r="D1296" s="1036"/>
    </row>
    <row r="1297" spans="4:4">
      <c r="D1297" s="1036"/>
    </row>
    <row r="1298" spans="4:4">
      <c r="D1298" s="1036"/>
    </row>
    <row r="1299" spans="4:4">
      <c r="D1299" s="1036"/>
    </row>
    <row r="1300" spans="4:4">
      <c r="D1300" s="1036"/>
    </row>
    <row r="1301" spans="4:4">
      <c r="D1301" s="1036"/>
    </row>
    <row r="1302" spans="4:4">
      <c r="D1302" s="1036"/>
    </row>
    <row r="1303" spans="4:4">
      <c r="D1303" s="1036"/>
    </row>
    <row r="1304" spans="4:4">
      <c r="D1304" s="1036"/>
    </row>
    <row r="1305" spans="4:4">
      <c r="D1305" s="1036"/>
    </row>
    <row r="1306" spans="4:4">
      <c r="D1306" s="1036"/>
    </row>
    <row r="1307" spans="4:4">
      <c r="D1307" s="1036"/>
    </row>
    <row r="1308" spans="4:4">
      <c r="D1308" s="1036"/>
    </row>
    <row r="1309" spans="4:4">
      <c r="D1309" s="1036"/>
    </row>
    <row r="1310" spans="4:4">
      <c r="D1310" s="1036"/>
    </row>
    <row r="1311" spans="4:4">
      <c r="D1311" s="1036"/>
    </row>
    <row r="1312" spans="4:4">
      <c r="D1312" s="1036"/>
    </row>
    <row r="1313" spans="4:4">
      <c r="D1313" s="1036"/>
    </row>
    <row r="1314" spans="4:4">
      <c r="D1314" s="1036"/>
    </row>
    <row r="1315" spans="4:4">
      <c r="D1315" s="1036"/>
    </row>
    <row r="1316" spans="4:4">
      <c r="D1316" s="1036"/>
    </row>
    <row r="1317" spans="4:4">
      <c r="D1317" s="1036"/>
    </row>
    <row r="1318" spans="4:4">
      <c r="D1318" s="1036"/>
    </row>
    <row r="1319" spans="4:4">
      <c r="D1319" s="1036"/>
    </row>
    <row r="1320" spans="4:4">
      <c r="D1320" s="1036"/>
    </row>
    <row r="1321" spans="4:4">
      <c r="D1321" s="1036"/>
    </row>
    <row r="1322" spans="4:4">
      <c r="D1322" s="1036"/>
    </row>
    <row r="1323" spans="4:4">
      <c r="D1323" s="1036"/>
    </row>
    <row r="1324" spans="4:4">
      <c r="D1324" s="1036"/>
    </row>
    <row r="1325" spans="4:4">
      <c r="D1325" s="1036"/>
    </row>
    <row r="1326" spans="4:4">
      <c r="D1326" s="1036"/>
    </row>
    <row r="1327" spans="4:4">
      <c r="D1327" s="1036"/>
    </row>
    <row r="1328" spans="4:4">
      <c r="D1328" s="1036"/>
    </row>
    <row r="1329" spans="4:4">
      <c r="D1329" s="1036"/>
    </row>
    <row r="1330" spans="4:4">
      <c r="D1330" s="1036"/>
    </row>
    <row r="1331" spans="4:4">
      <c r="D1331" s="1036"/>
    </row>
    <row r="1332" spans="4:4">
      <c r="D1332" s="1036"/>
    </row>
    <row r="1333" spans="4:4">
      <c r="D1333" s="1036"/>
    </row>
    <row r="1334" spans="4:4">
      <c r="D1334" s="1036"/>
    </row>
    <row r="1335" spans="4:4">
      <c r="D1335" s="1036"/>
    </row>
    <row r="1336" spans="4:4">
      <c r="D1336" s="1036"/>
    </row>
    <row r="1337" spans="4:4">
      <c r="D1337" s="1036"/>
    </row>
    <row r="1338" spans="4:4">
      <c r="D1338" s="1036"/>
    </row>
    <row r="1339" spans="4:4">
      <c r="D1339" s="1036"/>
    </row>
    <row r="1340" spans="4:4">
      <c r="D1340" s="1036"/>
    </row>
    <row r="1341" spans="4:4">
      <c r="D1341" s="1036"/>
    </row>
    <row r="1342" spans="4:4">
      <c r="D1342" s="1036"/>
    </row>
    <row r="1343" spans="4:4">
      <c r="D1343" s="1036"/>
    </row>
    <row r="1344" spans="4:4">
      <c r="D1344" s="1036"/>
    </row>
    <row r="1345" spans="4:4">
      <c r="D1345" s="1036"/>
    </row>
    <row r="1346" spans="4:4">
      <c r="D1346" s="1036"/>
    </row>
    <row r="1347" spans="4:4">
      <c r="D1347" s="1036"/>
    </row>
    <row r="1348" spans="4:4">
      <c r="D1348" s="1036"/>
    </row>
    <row r="1349" spans="4:4">
      <c r="D1349" s="1036"/>
    </row>
    <row r="1350" spans="4:4">
      <c r="D1350" s="1036"/>
    </row>
    <row r="1351" spans="4:4">
      <c r="D1351" s="1036"/>
    </row>
    <row r="1352" spans="4:4">
      <c r="D1352" s="1036"/>
    </row>
    <row r="1353" spans="4:4">
      <c r="D1353" s="1036"/>
    </row>
    <row r="1354" spans="4:4">
      <c r="D1354" s="1036"/>
    </row>
    <row r="1355" spans="4:4">
      <c r="D1355" s="1036"/>
    </row>
    <row r="1356" spans="4:4">
      <c r="D1356" s="1036"/>
    </row>
    <row r="1357" spans="4:4">
      <c r="D1357" s="1036"/>
    </row>
    <row r="1358" spans="4:4">
      <c r="D1358" s="1036"/>
    </row>
    <row r="1359" spans="4:4">
      <c r="D1359" s="1036"/>
    </row>
    <row r="1360" spans="4:4">
      <c r="D1360" s="1036"/>
    </row>
    <row r="1361" spans="4:4">
      <c r="D1361" s="1036"/>
    </row>
    <row r="1362" spans="4:4">
      <c r="D1362" s="1036"/>
    </row>
    <row r="1363" spans="4:4">
      <c r="D1363" s="1036"/>
    </row>
    <row r="1364" spans="4:4">
      <c r="D1364" s="1036"/>
    </row>
    <row r="1365" spans="4:4">
      <c r="D1365" s="1036"/>
    </row>
    <row r="1366" spans="4:4">
      <c r="D1366" s="1036"/>
    </row>
    <row r="1367" spans="4:4">
      <c r="D1367" s="1036"/>
    </row>
    <row r="1368" spans="4:4">
      <c r="D1368" s="1036"/>
    </row>
    <row r="1369" spans="4:4">
      <c r="D1369" s="1036"/>
    </row>
    <row r="1370" spans="4:4">
      <c r="D1370" s="1036"/>
    </row>
    <row r="1371" spans="4:4">
      <c r="D1371" s="1036"/>
    </row>
    <row r="1372" spans="4:4">
      <c r="D1372" s="1036"/>
    </row>
    <row r="1373" spans="4:4">
      <c r="D1373" s="1036"/>
    </row>
    <row r="1374" spans="4:4">
      <c r="D1374" s="1036"/>
    </row>
    <row r="1375" spans="4:4">
      <c r="D1375" s="1036"/>
    </row>
    <row r="1376" spans="4:4">
      <c r="D1376" s="1036"/>
    </row>
    <row r="1377" spans="4:4">
      <c r="D1377" s="1036"/>
    </row>
    <row r="1378" spans="4:4">
      <c r="D1378" s="1036"/>
    </row>
    <row r="1379" spans="4:4">
      <c r="D1379" s="1036"/>
    </row>
    <row r="1380" spans="4:4">
      <c r="D1380" s="1036"/>
    </row>
    <row r="1381" spans="4:4">
      <c r="D1381" s="1036"/>
    </row>
    <row r="1382" spans="4:4">
      <c r="D1382" s="1036"/>
    </row>
    <row r="1383" spans="4:4">
      <c r="D1383" s="1036"/>
    </row>
    <row r="1384" spans="4:4">
      <c r="D1384" s="1036"/>
    </row>
    <row r="1385" spans="4:4">
      <c r="D1385" s="1036"/>
    </row>
    <row r="1386" spans="4:4">
      <c r="D1386" s="1036"/>
    </row>
    <row r="1387" spans="4:4">
      <c r="D1387" s="1036"/>
    </row>
    <row r="1388" spans="4:4">
      <c r="D1388" s="1036"/>
    </row>
    <row r="1389" spans="4:4">
      <c r="D1389" s="1036"/>
    </row>
    <row r="1390" spans="4:4">
      <c r="D1390" s="1036"/>
    </row>
    <row r="1391" spans="4:4">
      <c r="D1391" s="1036"/>
    </row>
    <row r="1392" spans="4:4">
      <c r="D1392" s="1036"/>
    </row>
    <row r="1393" spans="4:4">
      <c r="D1393" s="1036"/>
    </row>
    <row r="1394" spans="4:4">
      <c r="D1394" s="1036"/>
    </row>
    <row r="1395" spans="4:4">
      <c r="D1395" s="1036"/>
    </row>
    <row r="1396" spans="4:4">
      <c r="D1396" s="1036"/>
    </row>
    <row r="1397" spans="4:4">
      <c r="D1397" s="1036"/>
    </row>
    <row r="1398" spans="4:4">
      <c r="D1398" s="1036"/>
    </row>
    <row r="1399" spans="4:4">
      <c r="D1399" s="1036"/>
    </row>
    <row r="1400" spans="4:4">
      <c r="D1400" s="1036"/>
    </row>
    <row r="1401" spans="4:4">
      <c r="D1401" s="1036"/>
    </row>
    <row r="1402" spans="4:4">
      <c r="D1402" s="1036"/>
    </row>
    <row r="1403" spans="4:4">
      <c r="D1403" s="1036"/>
    </row>
    <row r="1404" spans="4:4">
      <c r="D1404" s="1036"/>
    </row>
    <row r="1405" spans="4:4">
      <c r="D1405" s="1036"/>
    </row>
    <row r="1406" spans="4:4">
      <c r="D1406" s="1036"/>
    </row>
    <row r="1407" spans="4:4">
      <c r="D1407" s="1036"/>
    </row>
    <row r="1408" spans="4:4">
      <c r="D1408" s="1036"/>
    </row>
    <row r="1409" spans="4:4">
      <c r="D1409" s="1036"/>
    </row>
    <row r="1410" spans="4:4">
      <c r="D1410" s="1036"/>
    </row>
    <row r="1411" spans="4:4">
      <c r="D1411" s="1036"/>
    </row>
    <row r="1412" spans="4:4">
      <c r="D1412" s="1036"/>
    </row>
    <row r="1413" spans="4:4">
      <c r="D1413" s="1036"/>
    </row>
    <row r="1414" spans="4:4">
      <c r="D1414" s="1036"/>
    </row>
    <row r="1415" spans="4:4">
      <c r="D1415" s="1036"/>
    </row>
    <row r="1416" spans="4:4">
      <c r="D1416" s="1036"/>
    </row>
    <row r="1417" spans="4:4">
      <c r="D1417" s="1036"/>
    </row>
    <row r="1418" spans="4:4">
      <c r="D1418" s="1036"/>
    </row>
    <row r="1419" spans="4:4">
      <c r="D1419" s="1036"/>
    </row>
    <row r="1420" spans="4:4">
      <c r="D1420" s="1036"/>
    </row>
    <row r="1421" spans="4:4">
      <c r="D1421" s="1036"/>
    </row>
    <row r="1422" spans="4:4">
      <c r="D1422" s="1036"/>
    </row>
    <row r="1423" spans="4:4">
      <c r="D1423" s="1036"/>
    </row>
    <row r="1424" spans="4:4">
      <c r="D1424" s="1036"/>
    </row>
    <row r="1425" spans="4:4">
      <c r="D1425" s="1036"/>
    </row>
    <row r="1426" spans="4:4">
      <c r="D1426" s="1036"/>
    </row>
    <row r="1427" spans="4:4">
      <c r="D1427" s="1036"/>
    </row>
    <row r="1428" spans="4:4">
      <c r="D1428" s="1036"/>
    </row>
    <row r="1429" spans="4:4">
      <c r="D1429" s="1036"/>
    </row>
    <row r="1430" spans="4:4">
      <c r="D1430" s="1036"/>
    </row>
    <row r="1431" spans="4:4">
      <c r="D1431" s="1036"/>
    </row>
    <row r="1432" spans="4:4">
      <c r="D1432" s="1036"/>
    </row>
    <row r="1433" spans="4:4">
      <c r="D1433" s="1036"/>
    </row>
    <row r="1434" spans="4:4">
      <c r="D1434" s="1036"/>
    </row>
    <row r="1435" spans="4:4">
      <c r="D1435" s="1036"/>
    </row>
    <row r="1436" spans="4:4">
      <c r="D1436" s="1036"/>
    </row>
    <row r="1437" spans="4:4">
      <c r="D1437" s="1036"/>
    </row>
    <row r="1438" spans="4:4">
      <c r="D1438" s="1036"/>
    </row>
    <row r="1439" spans="4:4">
      <c r="D1439" s="1036"/>
    </row>
    <row r="1440" spans="4:4">
      <c r="D1440" s="1036"/>
    </row>
    <row r="1441" spans="4:4">
      <c r="D1441" s="1036"/>
    </row>
    <row r="1442" spans="4:4">
      <c r="D1442" s="1036"/>
    </row>
    <row r="1443" spans="4:4">
      <c r="D1443" s="1036"/>
    </row>
    <row r="1444" spans="4:4">
      <c r="D1444" s="1036"/>
    </row>
    <row r="1445" spans="4:4">
      <c r="D1445" s="1036"/>
    </row>
    <row r="1446" spans="4:4">
      <c r="D1446" s="1036"/>
    </row>
    <row r="1447" spans="4:4">
      <c r="D1447" s="1036"/>
    </row>
    <row r="1448" spans="4:4">
      <c r="D1448" s="1036"/>
    </row>
    <row r="1449" spans="4:4">
      <c r="D1449" s="1036"/>
    </row>
    <row r="1450" spans="4:4">
      <c r="D1450" s="1036"/>
    </row>
    <row r="1451" spans="4:4">
      <c r="D1451" s="1036"/>
    </row>
    <row r="1452" spans="4:4">
      <c r="D1452" s="1036"/>
    </row>
    <row r="1453" spans="4:4">
      <c r="D1453" s="1036"/>
    </row>
    <row r="1454" spans="4:4">
      <c r="D1454" s="1036"/>
    </row>
    <row r="1455" spans="4:4">
      <c r="D1455" s="1036"/>
    </row>
    <row r="1456" spans="4:4">
      <c r="D1456" s="1036"/>
    </row>
    <row r="1457" spans="4:4">
      <c r="D1457" s="1036"/>
    </row>
    <row r="1458" spans="4:4">
      <c r="D1458" s="1036"/>
    </row>
    <row r="1459" spans="4:4">
      <c r="D1459" s="1036"/>
    </row>
    <row r="1460" spans="4:4">
      <c r="D1460" s="1036"/>
    </row>
    <row r="1461" spans="4:4">
      <c r="D1461" s="1036"/>
    </row>
    <row r="1462" spans="4:4">
      <c r="D1462" s="1036"/>
    </row>
    <row r="1463" spans="4:4">
      <c r="D1463" s="1036"/>
    </row>
    <row r="1464" spans="4:4">
      <c r="D1464" s="1036"/>
    </row>
    <row r="1465" spans="4:4">
      <c r="D1465" s="1036"/>
    </row>
    <row r="1466" spans="4:4">
      <c r="D1466" s="1036"/>
    </row>
    <row r="1467" spans="4:4">
      <c r="D1467" s="1036"/>
    </row>
    <row r="1468" spans="4:4">
      <c r="D1468" s="1036"/>
    </row>
    <row r="1469" spans="4:4">
      <c r="D1469" s="1036"/>
    </row>
    <row r="1470" spans="4:4">
      <c r="D1470" s="1036"/>
    </row>
    <row r="1471" spans="4:4">
      <c r="D1471" s="1036"/>
    </row>
    <row r="1472" spans="4:4">
      <c r="D1472" s="1036"/>
    </row>
    <row r="1473" spans="4:4">
      <c r="D1473" s="1036"/>
    </row>
    <row r="1474" spans="4:4">
      <c r="D1474" s="1036"/>
    </row>
    <row r="1475" spans="4:4">
      <c r="D1475" s="1036"/>
    </row>
    <row r="1476" spans="4:4">
      <c r="D1476" s="1036"/>
    </row>
    <row r="1477" spans="4:4">
      <c r="D1477" s="1036"/>
    </row>
    <row r="1478" spans="4:4">
      <c r="D1478" s="1036"/>
    </row>
    <row r="1479" spans="4:4">
      <c r="D1479" s="1036"/>
    </row>
    <row r="1480" spans="4:4">
      <c r="D1480" s="1036"/>
    </row>
    <row r="1481" spans="4:4">
      <c r="D1481" s="1036"/>
    </row>
    <row r="1482" spans="4:4">
      <c r="D1482" s="1036"/>
    </row>
    <row r="1483" spans="4:4">
      <c r="D1483" s="1036"/>
    </row>
    <row r="1484" spans="4:4">
      <c r="D1484" s="1036"/>
    </row>
    <row r="1485" spans="4:4">
      <c r="D1485" s="1036"/>
    </row>
    <row r="1486" spans="4:4">
      <c r="D1486" s="1036"/>
    </row>
    <row r="1487" spans="4:4">
      <c r="D1487" s="1036"/>
    </row>
    <row r="1488" spans="4:4">
      <c r="D1488" s="1036"/>
    </row>
    <row r="1489" spans="4:4">
      <c r="D1489" s="1036"/>
    </row>
    <row r="1490" spans="4:4">
      <c r="D1490" s="1036"/>
    </row>
    <row r="1491" spans="4:4">
      <c r="D1491" s="1036"/>
    </row>
    <row r="1492" spans="4:4">
      <c r="D1492" s="1036"/>
    </row>
    <row r="1493" spans="4:4">
      <c r="D1493" s="1036"/>
    </row>
    <row r="1494" spans="4:4">
      <c r="D1494" s="1036"/>
    </row>
    <row r="1495" spans="4:4">
      <c r="D1495" s="1036"/>
    </row>
    <row r="1496" spans="4:4">
      <c r="D1496" s="1036"/>
    </row>
    <row r="1497" spans="4:4">
      <c r="D1497" s="1036"/>
    </row>
    <row r="1498" spans="4:4">
      <c r="D1498" s="1036"/>
    </row>
    <row r="1499" spans="4:4">
      <c r="D1499" s="1036"/>
    </row>
    <row r="1500" spans="4:4">
      <c r="D1500" s="1036"/>
    </row>
    <row r="1501" spans="4:4">
      <c r="D1501" s="1036"/>
    </row>
    <row r="1502" spans="4:4">
      <c r="D1502" s="1036"/>
    </row>
    <row r="1503" spans="4:4">
      <c r="D1503" s="1036"/>
    </row>
    <row r="1504" spans="4:4">
      <c r="D1504" s="1036"/>
    </row>
    <row r="1505" spans="4:4">
      <c r="D1505" s="1036"/>
    </row>
    <row r="1506" spans="4:4">
      <c r="D1506" s="1036"/>
    </row>
    <row r="1507" spans="4:4">
      <c r="D1507" s="1036"/>
    </row>
    <row r="1508" spans="4:4">
      <c r="D1508" s="1036"/>
    </row>
    <row r="1509" spans="4:4">
      <c r="D1509" s="1036"/>
    </row>
    <row r="1510" spans="4:4">
      <c r="D1510" s="1036"/>
    </row>
    <row r="1511" spans="4:4">
      <c r="D1511" s="1036"/>
    </row>
    <row r="1512" spans="4:4">
      <c r="D1512" s="1036"/>
    </row>
    <row r="1513" spans="4:4">
      <c r="D1513" s="1036"/>
    </row>
    <row r="1514" spans="4:4">
      <c r="D1514" s="1036"/>
    </row>
    <row r="1515" spans="4:4">
      <c r="D1515" s="1036"/>
    </row>
    <row r="1516" spans="4:4">
      <c r="D1516" s="1036"/>
    </row>
    <row r="1517" spans="4:4">
      <c r="D1517" s="1036"/>
    </row>
    <row r="1518" spans="4:4">
      <c r="D1518" s="1036"/>
    </row>
    <row r="1519" spans="4:4">
      <c r="D1519" s="1036"/>
    </row>
    <row r="1520" spans="4:4">
      <c r="D1520" s="1036"/>
    </row>
    <row r="1521" spans="4:4">
      <c r="D1521" s="1036"/>
    </row>
    <row r="1522" spans="4:4">
      <c r="D1522" s="1036"/>
    </row>
    <row r="1523" spans="4:4">
      <c r="D1523" s="1036"/>
    </row>
    <row r="1524" spans="4:4">
      <c r="D1524" s="1036"/>
    </row>
    <row r="1525" spans="4:4">
      <c r="D1525" s="1036"/>
    </row>
    <row r="1526" spans="4:4">
      <c r="D1526" s="1036"/>
    </row>
    <row r="1527" spans="4:4">
      <c r="D1527" s="1036"/>
    </row>
    <row r="1528" spans="4:4">
      <c r="D1528" s="1036"/>
    </row>
    <row r="1529" spans="4:4">
      <c r="D1529" s="1036"/>
    </row>
    <row r="1530" spans="4:4">
      <c r="D1530" s="1036"/>
    </row>
    <row r="1531" spans="4:4">
      <c r="D1531" s="1036"/>
    </row>
    <row r="1532" spans="4:4">
      <c r="D1532" s="1036"/>
    </row>
    <row r="1533" spans="4:4">
      <c r="D1533" s="1036"/>
    </row>
    <row r="1534" spans="4:4">
      <c r="D1534" s="1036"/>
    </row>
    <row r="1535" spans="4:4">
      <c r="D1535" s="1036"/>
    </row>
    <row r="1536" spans="4:4">
      <c r="D1536" s="1036"/>
    </row>
    <row r="1537" spans="4:4">
      <c r="D1537" s="1036"/>
    </row>
    <row r="1538" spans="4:4">
      <c r="D1538" s="1036"/>
    </row>
    <row r="1539" spans="4:4">
      <c r="D1539" s="1036"/>
    </row>
    <row r="1540" spans="4:4">
      <c r="D1540" s="1036"/>
    </row>
    <row r="1541" spans="4:4">
      <c r="D1541" s="1036"/>
    </row>
    <row r="1542" spans="4:4">
      <c r="D1542" s="1036"/>
    </row>
    <row r="1543" spans="4:4">
      <c r="D1543" s="1036"/>
    </row>
    <row r="1544" spans="4:4">
      <c r="D1544" s="1036"/>
    </row>
    <row r="1545" spans="4:4">
      <c r="D1545" s="1036"/>
    </row>
    <row r="1546" spans="4:4">
      <c r="D1546" s="1036"/>
    </row>
    <row r="1547" spans="4:4">
      <c r="D1547" s="1036"/>
    </row>
    <row r="1548" spans="4:4">
      <c r="D1548" s="1036"/>
    </row>
    <row r="1549" spans="4:4">
      <c r="D1549" s="1036"/>
    </row>
    <row r="1550" spans="4:4">
      <c r="D1550" s="1036"/>
    </row>
    <row r="1551" spans="4:4">
      <c r="D1551" s="1036"/>
    </row>
    <row r="1552" spans="4:4">
      <c r="D1552" s="1036"/>
    </row>
    <row r="1553" spans="4:4">
      <c r="D1553" s="1036"/>
    </row>
    <row r="1554" spans="4:4">
      <c r="D1554" s="1036"/>
    </row>
    <row r="1555" spans="4:4">
      <c r="D1555" s="1036"/>
    </row>
    <row r="1556" spans="4:4">
      <c r="D1556" s="1036"/>
    </row>
    <row r="1557" spans="4:4">
      <c r="D1557" s="1036"/>
    </row>
    <row r="1558" spans="4:4">
      <c r="D1558" s="1036"/>
    </row>
    <row r="1559" spans="4:4">
      <c r="D1559" s="1036"/>
    </row>
    <row r="1560" spans="4:4">
      <c r="D1560" s="1036"/>
    </row>
    <row r="1561" spans="4:4">
      <c r="D1561" s="1036"/>
    </row>
    <row r="1562" spans="4:4">
      <c r="D1562" s="1036"/>
    </row>
    <row r="1563" spans="4:4">
      <c r="D1563" s="1036"/>
    </row>
    <row r="1564" spans="4:4">
      <c r="D1564" s="1036"/>
    </row>
    <row r="1565" spans="4:4">
      <c r="D1565" s="1036"/>
    </row>
    <row r="1566" spans="4:4">
      <c r="D1566" s="1036"/>
    </row>
    <row r="1567" spans="4:4">
      <c r="D1567" s="1036"/>
    </row>
    <row r="1568" spans="4:4">
      <c r="D1568" s="1036"/>
    </row>
    <row r="1569" spans="4:4">
      <c r="D1569" s="1036"/>
    </row>
    <row r="1570" spans="4:4">
      <c r="D1570" s="1036"/>
    </row>
    <row r="1571" spans="4:4">
      <c r="D1571" s="1036"/>
    </row>
    <row r="1572" spans="4:4">
      <c r="D1572" s="1036"/>
    </row>
    <row r="1573" spans="4:4">
      <c r="D1573" s="1036"/>
    </row>
    <row r="1574" spans="4:4">
      <c r="D1574" s="1036"/>
    </row>
    <row r="1575" spans="4:4">
      <c r="D1575" s="1036"/>
    </row>
    <row r="1576" spans="4:4">
      <c r="D1576" s="1036"/>
    </row>
    <row r="1577" spans="4:4">
      <c r="D1577" s="1036"/>
    </row>
    <row r="1578" spans="4:4">
      <c r="D1578" s="1036"/>
    </row>
    <row r="1579" spans="4:4">
      <c r="D1579" s="1036"/>
    </row>
    <row r="1580" spans="4:4">
      <c r="D1580" s="1036"/>
    </row>
    <row r="1581" spans="4:4">
      <c r="D1581" s="1036"/>
    </row>
    <row r="1582" spans="4:4">
      <c r="D1582" s="1036"/>
    </row>
    <row r="1583" spans="4:4">
      <c r="D1583" s="1036"/>
    </row>
    <row r="1584" spans="4:4">
      <c r="D1584" s="1036"/>
    </row>
    <row r="1585" spans="4:4">
      <c r="D1585" s="1036"/>
    </row>
    <row r="1586" spans="4:4">
      <c r="D1586" s="1036"/>
    </row>
    <row r="1587" spans="4:4">
      <c r="D1587" s="1036"/>
    </row>
    <row r="1588" spans="4:4">
      <c r="D1588" s="1036"/>
    </row>
    <row r="1589" spans="4:4">
      <c r="D1589" s="1036"/>
    </row>
    <row r="1590" spans="4:4">
      <c r="D1590" s="1036"/>
    </row>
    <row r="1591" spans="4:4">
      <c r="D1591" s="1036"/>
    </row>
    <row r="1592" spans="4:4">
      <c r="D1592" s="1036"/>
    </row>
    <row r="1593" spans="4:4">
      <c r="D1593" s="1036"/>
    </row>
    <row r="1594" spans="4:4">
      <c r="D1594" s="1036"/>
    </row>
    <row r="1595" spans="4:4">
      <c r="D1595" s="1036"/>
    </row>
    <row r="1596" spans="4:4">
      <c r="D1596" s="1036"/>
    </row>
    <row r="1597" spans="4:4">
      <c r="D1597" s="1036"/>
    </row>
    <row r="1598" spans="4:4">
      <c r="D1598" s="1036"/>
    </row>
    <row r="1599" spans="4:4">
      <c r="D1599" s="1036"/>
    </row>
    <row r="1600" spans="4:4">
      <c r="D1600" s="1036"/>
    </row>
    <row r="1601" spans="4:4">
      <c r="D1601" s="1036"/>
    </row>
    <row r="1602" spans="4:4">
      <c r="D1602" s="1036"/>
    </row>
    <row r="1603" spans="4:4">
      <c r="D1603" s="1036"/>
    </row>
    <row r="1604" spans="4:4">
      <c r="D1604" s="1036"/>
    </row>
    <row r="1605" spans="4:4">
      <c r="D1605" s="1036"/>
    </row>
    <row r="1606" spans="4:4">
      <c r="D1606" s="1036"/>
    </row>
    <row r="1607" spans="4:4">
      <c r="D1607" s="1036"/>
    </row>
    <row r="1608" spans="4:4">
      <c r="D1608" s="1036"/>
    </row>
    <row r="1609" spans="4:4">
      <c r="D1609" s="1036"/>
    </row>
    <row r="1610" spans="4:4">
      <c r="D1610" s="1036"/>
    </row>
    <row r="1611" spans="4:4">
      <c r="D1611" s="1036"/>
    </row>
    <row r="1612" spans="4:4">
      <c r="D1612" s="1036"/>
    </row>
    <row r="1613" spans="4:4">
      <c r="D1613" s="1036"/>
    </row>
    <row r="1614" spans="4:4">
      <c r="D1614" s="1036"/>
    </row>
    <row r="1615" spans="4:4">
      <c r="D1615" s="1036"/>
    </row>
    <row r="1616" spans="4:4">
      <c r="D1616" s="1036"/>
    </row>
    <row r="1617" spans="4:4">
      <c r="D1617" s="1036"/>
    </row>
    <row r="1618" spans="4:4">
      <c r="D1618" s="1036"/>
    </row>
    <row r="1619" spans="4:4">
      <c r="D1619" s="1036"/>
    </row>
    <row r="1620" spans="4:4">
      <c r="D1620" s="1036"/>
    </row>
    <row r="1621" spans="4:4">
      <c r="D1621" s="1036"/>
    </row>
    <row r="1622" spans="4:4">
      <c r="D1622" s="1036"/>
    </row>
    <row r="1623" spans="4:4">
      <c r="D1623" s="1036"/>
    </row>
    <row r="1624" spans="4:4">
      <c r="D1624" s="1036"/>
    </row>
    <row r="1625" spans="4:4">
      <c r="D1625" s="1036"/>
    </row>
    <row r="1626" spans="4:4">
      <c r="D1626" s="1036"/>
    </row>
    <row r="1627" spans="4:4">
      <c r="D1627" s="1036"/>
    </row>
    <row r="1628" spans="4:4">
      <c r="D1628" s="1036"/>
    </row>
    <row r="1629" spans="4:4">
      <c r="D1629" s="1036"/>
    </row>
    <row r="1630" spans="4:4">
      <c r="D1630" s="1036"/>
    </row>
    <row r="1631" spans="4:4">
      <c r="D1631" s="1036"/>
    </row>
    <row r="1632" spans="4:4">
      <c r="D1632" s="1036"/>
    </row>
    <row r="1633" spans="4:4">
      <c r="D1633" s="1036"/>
    </row>
    <row r="1634" spans="4:4">
      <c r="D1634" s="1036"/>
    </row>
    <row r="1635" spans="4:4">
      <c r="D1635" s="1036"/>
    </row>
    <row r="1636" spans="4:4">
      <c r="D1636" s="1036"/>
    </row>
    <row r="1637" spans="4:4">
      <c r="D1637" s="1036"/>
    </row>
    <row r="1638" spans="4:4">
      <c r="D1638" s="1036"/>
    </row>
    <row r="1639" spans="4:4">
      <c r="D1639" s="1036"/>
    </row>
    <row r="1640" spans="4:4">
      <c r="D1640" s="1036"/>
    </row>
    <row r="1641" spans="4:4">
      <c r="D1641" s="1036"/>
    </row>
    <row r="1642" spans="4:4">
      <c r="D1642" s="1036"/>
    </row>
    <row r="1643" spans="4:4">
      <c r="D1643" s="1036"/>
    </row>
    <row r="1644" spans="4:4">
      <c r="D1644" s="1036"/>
    </row>
    <row r="1645" spans="4:4">
      <c r="D1645" s="1036"/>
    </row>
    <row r="1646" spans="4:4">
      <c r="D1646" s="1036"/>
    </row>
    <row r="1647" spans="4:4">
      <c r="D1647" s="1036"/>
    </row>
    <row r="1648" spans="4:4">
      <c r="D1648" s="1036"/>
    </row>
    <row r="1649" spans="4:4">
      <c r="D1649" s="1036"/>
    </row>
    <row r="1650" spans="4:4">
      <c r="D1650" s="1036"/>
    </row>
    <row r="1651" spans="4:4">
      <c r="D1651" s="1036"/>
    </row>
    <row r="1652" spans="4:4">
      <c r="D1652" s="1036"/>
    </row>
    <row r="1653" spans="4:4">
      <c r="D1653" s="1036"/>
    </row>
    <row r="1654" spans="4:4">
      <c r="D1654" s="1036"/>
    </row>
    <row r="1655" spans="4:4">
      <c r="D1655" s="1036"/>
    </row>
    <row r="1656" spans="4:4">
      <c r="D1656" s="1036"/>
    </row>
    <row r="1657" spans="4:4">
      <c r="D1657" s="1036"/>
    </row>
    <row r="1658" spans="4:4">
      <c r="D1658" s="1036"/>
    </row>
    <row r="1659" spans="4:4">
      <c r="D1659" s="1036"/>
    </row>
    <row r="1660" spans="4:4">
      <c r="D1660" s="1036"/>
    </row>
    <row r="1661" spans="4:4">
      <c r="D1661" s="1036"/>
    </row>
    <row r="1662" spans="4:4">
      <c r="D1662" s="1036"/>
    </row>
    <row r="1663" spans="4:4">
      <c r="D1663" s="1036"/>
    </row>
    <row r="1664" spans="4:4">
      <c r="D1664" s="1036"/>
    </row>
    <row r="1665" spans="4:4">
      <c r="D1665" s="1036"/>
    </row>
    <row r="1666" spans="4:4">
      <c r="D1666" s="1036"/>
    </row>
    <row r="1667" spans="4:4">
      <c r="D1667" s="1036"/>
    </row>
    <row r="1668" spans="4:4">
      <c r="D1668" s="1036"/>
    </row>
    <row r="1669" spans="4:4">
      <c r="D1669" s="1036"/>
    </row>
    <row r="1670" spans="4:4">
      <c r="D1670" s="1036"/>
    </row>
    <row r="1671" spans="4:4">
      <c r="D1671" s="1036"/>
    </row>
    <row r="1672" spans="4:4">
      <c r="D1672" s="1036"/>
    </row>
    <row r="1673" spans="4:4">
      <c r="D1673" s="1036"/>
    </row>
    <row r="1674" spans="4:4">
      <c r="D1674" s="1036"/>
    </row>
    <row r="1675" spans="4:4">
      <c r="D1675" s="1036"/>
    </row>
    <row r="1676" spans="4:4">
      <c r="D1676" s="1036"/>
    </row>
    <row r="1677" spans="4:4">
      <c r="D1677" s="1036"/>
    </row>
    <row r="1678" spans="4:4">
      <c r="D1678" s="1036"/>
    </row>
    <row r="1679" spans="4:4">
      <c r="D1679" s="1036"/>
    </row>
    <row r="1680" spans="4:4">
      <c r="D1680" s="1036"/>
    </row>
    <row r="1681" spans="4:4">
      <c r="D1681" s="1036"/>
    </row>
    <row r="1682" spans="4:4">
      <c r="D1682" s="1036"/>
    </row>
    <row r="1683" spans="4:4">
      <c r="D1683" s="1036"/>
    </row>
    <row r="1684" spans="4:4">
      <c r="D1684" s="1036"/>
    </row>
    <row r="1685" spans="4:4">
      <c r="D1685" s="1036"/>
    </row>
    <row r="1686" spans="4:4">
      <c r="D1686" s="1036"/>
    </row>
    <row r="1687" spans="4:4">
      <c r="D1687" s="1036"/>
    </row>
    <row r="1688" spans="4:4">
      <c r="D1688" s="1036"/>
    </row>
    <row r="1689" spans="4:4">
      <c r="D1689" s="1036"/>
    </row>
    <row r="1690" spans="4:4">
      <c r="D1690" s="1036"/>
    </row>
    <row r="1691" spans="4:4">
      <c r="D1691" s="1036"/>
    </row>
    <row r="1692" spans="4:4">
      <c r="D1692" s="1036"/>
    </row>
    <row r="1693" spans="4:4">
      <c r="D1693" s="1036"/>
    </row>
    <row r="1694" spans="4:4">
      <c r="D1694" s="1036"/>
    </row>
    <row r="1695" spans="4:4">
      <c r="D1695" s="1036"/>
    </row>
    <row r="1696" spans="4:4">
      <c r="D1696" s="1036"/>
    </row>
    <row r="1697" spans="4:4">
      <c r="D1697" s="1036"/>
    </row>
    <row r="1698" spans="4:4">
      <c r="D1698" s="1036"/>
    </row>
    <row r="1699" spans="4:4">
      <c r="D1699" s="1036"/>
    </row>
    <row r="1700" spans="4:4">
      <c r="D1700" s="1036"/>
    </row>
    <row r="1701" spans="4:4">
      <c r="D1701" s="1036"/>
    </row>
    <row r="1702" spans="4:4">
      <c r="D1702" s="1036"/>
    </row>
    <row r="1703" spans="4:4">
      <c r="D1703" s="1036"/>
    </row>
    <row r="1704" spans="4:4">
      <c r="D1704" s="1036"/>
    </row>
    <row r="1705" spans="4:4">
      <c r="D1705" s="1036"/>
    </row>
    <row r="1706" spans="4:4">
      <c r="D1706" s="1036"/>
    </row>
    <row r="1707" spans="4:4">
      <c r="D1707" s="1036"/>
    </row>
    <row r="1708" spans="4:4">
      <c r="D1708" s="1036"/>
    </row>
    <row r="1709" spans="4:4">
      <c r="D1709" s="1036"/>
    </row>
    <row r="1710" spans="4:4">
      <c r="D1710" s="1036"/>
    </row>
    <row r="1711" spans="4:4">
      <c r="D1711" s="1036"/>
    </row>
    <row r="1712" spans="4:4">
      <c r="D1712" s="1036"/>
    </row>
    <row r="1713" spans="4:4">
      <c r="D1713" s="1036"/>
    </row>
    <row r="1714" spans="4:4">
      <c r="D1714" s="1036"/>
    </row>
    <row r="1715" spans="4:4">
      <c r="D1715" s="1036"/>
    </row>
    <row r="1716" spans="4:4">
      <c r="D1716" s="1036"/>
    </row>
    <row r="1717" spans="4:4">
      <c r="D1717" s="1036"/>
    </row>
    <row r="1718" spans="4:4">
      <c r="D1718" s="1036"/>
    </row>
    <row r="1719" spans="4:4">
      <c r="D1719" s="1036"/>
    </row>
    <row r="1720" spans="4:4">
      <c r="D1720" s="1036"/>
    </row>
    <row r="1721" spans="4:4">
      <c r="D1721" s="1036"/>
    </row>
    <row r="1722" spans="4:4">
      <c r="D1722" s="1036"/>
    </row>
    <row r="1723" spans="4:4">
      <c r="D1723" s="1036"/>
    </row>
    <row r="1724" spans="4:4">
      <c r="D1724" s="1036"/>
    </row>
    <row r="1725" spans="4:4">
      <c r="D1725" s="1036"/>
    </row>
    <row r="1726" spans="4:4">
      <c r="D1726" s="1036"/>
    </row>
    <row r="1727" spans="4:4">
      <c r="D1727" s="1036"/>
    </row>
    <row r="1728" spans="4:4">
      <c r="D1728" s="1036"/>
    </row>
    <row r="1729" spans="4:4">
      <c r="D1729" s="1036"/>
    </row>
    <row r="1730" spans="4:4">
      <c r="D1730" s="1036"/>
    </row>
    <row r="1731" spans="4:4">
      <c r="D1731" s="1036"/>
    </row>
    <row r="1732" spans="4:4">
      <c r="D1732" s="1036"/>
    </row>
    <row r="1733" spans="4:4">
      <c r="D1733" s="1036"/>
    </row>
    <row r="1734" spans="4:4">
      <c r="D1734" s="1036"/>
    </row>
    <row r="1735" spans="4:4">
      <c r="D1735" s="1036"/>
    </row>
    <row r="1736" spans="4:4">
      <c r="D1736" s="1036"/>
    </row>
    <row r="1737" spans="4:4">
      <c r="D1737" s="1036"/>
    </row>
    <row r="1738" spans="4:4">
      <c r="D1738" s="1036"/>
    </row>
    <row r="1739" spans="4:4">
      <c r="D1739" s="1036"/>
    </row>
    <row r="1740" spans="4:4">
      <c r="D1740" s="1036"/>
    </row>
    <row r="1741" spans="4:4">
      <c r="D1741" s="1036"/>
    </row>
    <row r="1742" spans="4:4">
      <c r="D1742" s="1036"/>
    </row>
    <row r="1743" spans="4:4">
      <c r="D1743" s="1036"/>
    </row>
    <row r="1744" spans="4:4">
      <c r="D1744" s="1036"/>
    </row>
    <row r="1745" spans="4:4">
      <c r="D1745" s="1036"/>
    </row>
    <row r="1746" spans="4:4">
      <c r="D1746" s="1036"/>
    </row>
    <row r="1747" spans="4:4">
      <c r="D1747" s="1036"/>
    </row>
    <row r="1748" spans="4:4">
      <c r="D1748" s="1036"/>
    </row>
    <row r="1749" spans="4:4">
      <c r="D1749" s="1036"/>
    </row>
    <row r="1750" spans="4:4">
      <c r="D1750" s="1036"/>
    </row>
    <row r="1751" spans="4:4">
      <c r="D1751" s="1036"/>
    </row>
    <row r="1752" spans="4:4">
      <c r="D1752" s="1036"/>
    </row>
    <row r="1753" spans="4:4">
      <c r="D1753" s="1036"/>
    </row>
    <row r="1754" spans="4:4">
      <c r="D1754" s="1036"/>
    </row>
    <row r="1755" spans="4:4">
      <c r="D1755" s="1036"/>
    </row>
    <row r="1756" spans="4:4">
      <c r="D1756" s="1036"/>
    </row>
    <row r="1757" spans="4:4">
      <c r="D1757" s="1036"/>
    </row>
    <row r="1758" spans="4:4">
      <c r="D1758" s="1036"/>
    </row>
    <row r="1759" spans="4:4">
      <c r="D1759" s="1036"/>
    </row>
    <row r="1760" spans="4:4">
      <c r="D1760" s="1036"/>
    </row>
    <row r="1761" spans="4:4">
      <c r="D1761" s="1036"/>
    </row>
    <row r="1762" spans="4:4">
      <c r="D1762" s="1036"/>
    </row>
    <row r="1763" spans="4:4">
      <c r="D1763" s="1036"/>
    </row>
    <row r="1764" spans="4:4">
      <c r="D1764" s="1036"/>
    </row>
    <row r="1765" spans="4:4">
      <c r="D1765" s="1036"/>
    </row>
    <row r="1766" spans="4:4">
      <c r="D1766" s="1036"/>
    </row>
    <row r="1767" spans="4:4">
      <c r="D1767" s="1036"/>
    </row>
    <row r="1768" spans="4:4">
      <c r="D1768" s="1036"/>
    </row>
    <row r="1769" spans="4:4">
      <c r="D1769" s="1036"/>
    </row>
    <row r="1770" spans="4:4">
      <c r="D1770" s="1036"/>
    </row>
    <row r="1771" spans="4:4">
      <c r="D1771" s="1036"/>
    </row>
    <row r="1772" spans="4:4">
      <c r="D1772" s="1036"/>
    </row>
    <row r="1773" spans="4:4">
      <c r="D1773" s="1036"/>
    </row>
    <row r="1774" spans="4:4">
      <c r="D1774" s="1036"/>
    </row>
    <row r="1775" spans="4:4">
      <c r="D1775" s="1036"/>
    </row>
    <row r="1776" spans="4:4">
      <c r="D1776" s="1036"/>
    </row>
    <row r="1777" spans="4:4">
      <c r="D1777" s="1036"/>
    </row>
    <row r="1778" spans="4:4">
      <c r="D1778" s="1036"/>
    </row>
    <row r="1779" spans="4:4">
      <c r="D1779" s="1036"/>
    </row>
    <row r="1780" spans="4:4">
      <c r="D1780" s="1036"/>
    </row>
    <row r="1781" spans="4:4">
      <c r="D1781" s="1036"/>
    </row>
    <row r="1782" spans="4:4">
      <c r="D1782" s="1036"/>
    </row>
    <row r="1783" spans="4:4">
      <c r="D1783" s="1036"/>
    </row>
    <row r="1784" spans="4:4">
      <c r="D1784" s="1036"/>
    </row>
    <row r="1785" spans="4:4">
      <c r="D1785" s="1036"/>
    </row>
    <row r="1786" spans="4:4">
      <c r="D1786" s="1036"/>
    </row>
    <row r="1787" spans="4:4">
      <c r="D1787" s="1036"/>
    </row>
    <row r="1788" spans="4:4">
      <c r="D1788" s="1036"/>
    </row>
    <row r="1789" spans="4:4">
      <c r="D1789" s="1036"/>
    </row>
    <row r="1790" spans="4:4">
      <c r="D1790" s="1036"/>
    </row>
    <row r="1791" spans="4:4">
      <c r="D1791" s="1036"/>
    </row>
    <row r="1792" spans="4:4">
      <c r="D1792" s="1036"/>
    </row>
    <row r="1793" spans="4:4">
      <c r="D1793" s="1036"/>
    </row>
    <row r="1794" spans="4:4">
      <c r="D1794" s="1036"/>
    </row>
    <row r="1795" spans="4:4">
      <c r="D1795" s="1036"/>
    </row>
    <row r="1796" spans="4:4">
      <c r="D1796" s="1036"/>
    </row>
    <row r="1797" spans="4:4">
      <c r="D1797" s="1036"/>
    </row>
    <row r="1798" spans="4:4">
      <c r="D1798" s="1036"/>
    </row>
    <row r="1799" spans="4:4">
      <c r="D1799" s="1036"/>
    </row>
    <row r="1800" spans="4:4">
      <c r="D1800" s="1036"/>
    </row>
    <row r="1801" spans="4:4">
      <c r="D1801" s="1036"/>
    </row>
    <row r="1802" spans="4:4">
      <c r="D1802" s="1036"/>
    </row>
    <row r="1803" spans="4:4">
      <c r="D1803" s="1036"/>
    </row>
    <row r="1804" spans="4:4">
      <c r="D1804" s="1036"/>
    </row>
    <row r="1805" spans="4:4">
      <c r="D1805" s="1036"/>
    </row>
    <row r="1806" spans="4:4">
      <c r="D1806" s="1036"/>
    </row>
    <row r="1807" spans="4:4">
      <c r="D1807" s="1036"/>
    </row>
    <row r="1808" spans="4:4">
      <c r="D1808" s="1036"/>
    </row>
    <row r="1809" spans="4:4">
      <c r="D1809" s="1036"/>
    </row>
    <row r="1810" spans="4:4">
      <c r="D1810" s="1036"/>
    </row>
    <row r="1811" spans="4:4">
      <c r="D1811" s="1036"/>
    </row>
    <row r="1812" spans="4:4">
      <c r="D1812" s="1036"/>
    </row>
    <row r="1813" spans="4:4">
      <c r="D1813" s="1036"/>
    </row>
    <row r="1814" spans="4:4">
      <c r="D1814" s="1036"/>
    </row>
    <row r="1815" spans="4:4">
      <c r="D1815" s="1036"/>
    </row>
    <row r="1816" spans="4:4">
      <c r="D1816" s="1036"/>
    </row>
    <row r="1817" spans="4:4">
      <c r="D1817" s="1036"/>
    </row>
    <row r="1818" spans="4:4">
      <c r="D1818" s="1036"/>
    </row>
    <row r="1819" spans="4:4">
      <c r="D1819" s="1036"/>
    </row>
    <row r="1820" spans="4:4">
      <c r="D1820" s="1036"/>
    </row>
    <row r="1821" spans="4:4">
      <c r="D1821" s="1036"/>
    </row>
    <row r="1822" spans="4:4">
      <c r="D1822" s="1036"/>
    </row>
    <row r="1823" spans="4:4">
      <c r="D1823" s="1036"/>
    </row>
    <row r="1824" spans="4:4">
      <c r="D1824" s="1036"/>
    </row>
    <row r="1825" spans="4:4">
      <c r="D1825" s="1036"/>
    </row>
    <row r="1826" spans="4:4">
      <c r="D1826" s="1036"/>
    </row>
    <row r="1827" spans="4:4">
      <c r="D1827" s="1036"/>
    </row>
    <row r="1828" spans="4:4">
      <c r="D1828" s="1036"/>
    </row>
    <row r="1829" spans="4:4">
      <c r="D1829" s="1036"/>
    </row>
    <row r="1830" spans="4:4">
      <c r="D1830" s="1036"/>
    </row>
    <row r="1831" spans="4:4">
      <c r="D1831" s="1036"/>
    </row>
    <row r="1832" spans="4:4">
      <c r="D1832" s="1036"/>
    </row>
    <row r="1833" spans="4:4">
      <c r="D1833" s="1036"/>
    </row>
    <row r="1834" spans="4:4">
      <c r="D1834" s="1036"/>
    </row>
    <row r="1835" spans="4:4">
      <c r="D1835" s="1036"/>
    </row>
    <row r="1836" spans="4:4">
      <c r="D1836" s="1036"/>
    </row>
    <row r="1837" spans="4:4">
      <c r="D1837" s="1036"/>
    </row>
    <row r="1838" spans="4:4">
      <c r="D1838" s="1036"/>
    </row>
    <row r="1839" spans="4:4">
      <c r="D1839" s="1036"/>
    </row>
    <row r="1840" spans="4:4">
      <c r="D1840" s="1036"/>
    </row>
    <row r="1841" spans="4:4">
      <c r="D1841" s="1036"/>
    </row>
    <row r="1842" spans="4:4">
      <c r="D1842" s="1036"/>
    </row>
    <row r="1843" spans="4:4">
      <c r="D1843" s="1036"/>
    </row>
    <row r="1844" spans="4:4">
      <c r="D1844" s="1036"/>
    </row>
    <row r="1845" spans="4:4">
      <c r="D1845" s="1036"/>
    </row>
    <row r="1846" spans="4:4">
      <c r="D1846" s="1036"/>
    </row>
    <row r="1847" spans="4:4">
      <c r="D1847" s="1036"/>
    </row>
    <row r="1848" spans="4:4">
      <c r="D1848" s="1036"/>
    </row>
    <row r="1849" spans="4:4">
      <c r="D1849" s="1036"/>
    </row>
    <row r="1850" spans="4:4">
      <c r="D1850" s="1036"/>
    </row>
    <row r="1851" spans="4:4">
      <c r="D1851" s="1036"/>
    </row>
    <row r="1852" spans="4:4">
      <c r="D1852" s="1036"/>
    </row>
    <row r="1853" spans="4:4">
      <c r="D1853" s="1036"/>
    </row>
    <row r="1854" spans="4:4">
      <c r="D1854" s="1036"/>
    </row>
    <row r="1855" spans="4:4">
      <c r="D1855" s="1036"/>
    </row>
    <row r="1856" spans="4:4">
      <c r="D1856" s="1036"/>
    </row>
    <row r="1857" spans="4:4">
      <c r="D1857" s="1036"/>
    </row>
    <row r="1858" spans="4:4">
      <c r="D1858" s="1036"/>
    </row>
    <row r="1859" spans="4:4">
      <c r="D1859" s="1036"/>
    </row>
    <row r="1860" spans="4:4">
      <c r="D1860" s="1036"/>
    </row>
    <row r="1861" spans="4:4">
      <c r="D1861" s="1036"/>
    </row>
    <row r="1862" spans="4:4">
      <c r="D1862" s="1036"/>
    </row>
    <row r="1863" spans="4:4">
      <c r="D1863" s="1036"/>
    </row>
    <row r="1864" spans="4:4">
      <c r="D1864" s="1036"/>
    </row>
    <row r="1865" spans="4:4">
      <c r="D1865" s="1036"/>
    </row>
    <row r="1866" spans="4:4">
      <c r="D1866" s="1036"/>
    </row>
    <row r="1867" spans="4:4">
      <c r="D1867" s="1036"/>
    </row>
    <row r="1868" spans="4:4">
      <c r="D1868" s="1036"/>
    </row>
    <row r="1869" spans="4:4">
      <c r="D1869" s="1036"/>
    </row>
    <row r="1870" spans="4:4">
      <c r="D1870" s="1036"/>
    </row>
    <row r="1871" spans="4:4">
      <c r="D1871" s="1036"/>
    </row>
    <row r="1872" spans="4:4">
      <c r="D1872" s="1036"/>
    </row>
    <row r="1873" spans="4:4">
      <c r="D1873" s="1036"/>
    </row>
    <row r="1874" spans="4:4">
      <c r="D1874" s="1036"/>
    </row>
    <row r="1875" spans="4:4">
      <c r="D1875" s="1036"/>
    </row>
    <row r="1876" spans="4:4">
      <c r="D1876" s="1036"/>
    </row>
    <row r="1877" spans="4:4">
      <c r="D1877" s="1036"/>
    </row>
    <row r="1878" spans="4:4">
      <c r="D1878" s="1036"/>
    </row>
    <row r="1879" spans="4:4">
      <c r="D1879" s="1036"/>
    </row>
    <row r="1880" spans="4:4">
      <c r="D1880" s="1036"/>
    </row>
    <row r="1881" spans="4:4">
      <c r="D1881" s="1036"/>
    </row>
    <row r="1882" spans="4:4">
      <c r="D1882" s="1036"/>
    </row>
    <row r="1883" spans="4:4">
      <c r="D1883" s="1036"/>
    </row>
    <row r="1884" spans="4:4">
      <c r="D1884" s="1036"/>
    </row>
    <row r="1885" spans="4:4">
      <c r="D1885" s="1036"/>
    </row>
    <row r="1886" spans="4:4">
      <c r="D1886" s="1036"/>
    </row>
    <row r="1887" spans="4:4">
      <c r="D1887" s="1036"/>
    </row>
    <row r="1888" spans="4:4">
      <c r="D1888" s="1036"/>
    </row>
    <row r="1889" spans="4:4">
      <c r="D1889" s="1036"/>
    </row>
    <row r="1890" spans="4:4">
      <c r="D1890" s="1036"/>
    </row>
    <row r="1891" spans="4:4">
      <c r="D1891" s="1036"/>
    </row>
    <row r="1892" spans="4:4">
      <c r="D1892" s="1036"/>
    </row>
    <row r="1893" spans="4:4">
      <c r="D1893" s="1036"/>
    </row>
    <row r="1894" spans="4:4">
      <c r="D1894" s="1036"/>
    </row>
    <row r="1895" spans="4:4">
      <c r="D1895" s="1036"/>
    </row>
    <row r="1896" spans="4:4">
      <c r="D1896" s="1036"/>
    </row>
    <row r="1897" spans="4:4">
      <c r="D1897" s="1036"/>
    </row>
    <row r="1898" spans="4:4">
      <c r="D1898" s="1036"/>
    </row>
    <row r="1899" spans="4:4">
      <c r="D1899" s="1036"/>
    </row>
    <row r="1900" spans="4:4">
      <c r="D1900" s="1036"/>
    </row>
    <row r="1901" spans="4:4">
      <c r="D1901" s="1036"/>
    </row>
    <row r="1902" spans="4:4">
      <c r="D1902" s="1036"/>
    </row>
    <row r="1903" spans="4:4">
      <c r="D1903" s="1036"/>
    </row>
    <row r="1904" spans="4:4">
      <c r="D1904" s="1036"/>
    </row>
    <row r="1905" spans="4:4">
      <c r="D1905" s="1036"/>
    </row>
    <row r="1906" spans="4:4">
      <c r="D1906" s="1036"/>
    </row>
    <row r="1907" spans="4:4">
      <c r="D1907" s="1036"/>
    </row>
    <row r="1908" spans="4:4">
      <c r="D1908" s="1036"/>
    </row>
    <row r="1909" spans="4:4">
      <c r="D1909" s="1036"/>
    </row>
    <row r="1910" spans="4:4">
      <c r="D1910" s="1036"/>
    </row>
    <row r="1911" spans="4:4">
      <c r="D1911" s="1036"/>
    </row>
    <row r="1912" spans="4:4">
      <c r="D1912" s="1036"/>
    </row>
    <row r="1913" spans="4:4">
      <c r="D1913" s="1036"/>
    </row>
    <row r="1914" spans="4:4">
      <c r="D1914" s="1036"/>
    </row>
    <row r="1915" spans="4:4">
      <c r="D1915" s="1036"/>
    </row>
    <row r="1916" spans="4:4">
      <c r="D1916" s="1036"/>
    </row>
    <row r="1917" spans="4:4">
      <c r="D1917" s="1036"/>
    </row>
    <row r="1918" spans="4:4">
      <c r="D1918" s="1036"/>
    </row>
    <row r="1919" spans="4:4">
      <c r="D1919" s="1036"/>
    </row>
    <row r="1920" spans="4:4">
      <c r="D1920" s="1036"/>
    </row>
    <row r="1921" spans="4:4">
      <c r="D1921" s="1036"/>
    </row>
    <row r="1922" spans="4:4">
      <c r="D1922" s="1036"/>
    </row>
    <row r="1923" spans="4:4">
      <c r="D1923" s="1036"/>
    </row>
    <row r="1924" spans="4:4">
      <c r="D1924" s="1036"/>
    </row>
    <row r="1925" spans="4:4">
      <c r="D1925" s="1036"/>
    </row>
    <row r="1926" spans="4:4">
      <c r="D1926" s="1036"/>
    </row>
    <row r="1927" spans="4:4">
      <c r="D1927" s="1036"/>
    </row>
    <row r="1928" spans="4:4">
      <c r="D1928" s="1036"/>
    </row>
    <row r="1929" spans="4:4">
      <c r="D1929" s="1036"/>
    </row>
    <row r="1930" spans="4:4">
      <c r="D1930" s="1036"/>
    </row>
    <row r="1931" spans="4:4">
      <c r="D1931" s="1036"/>
    </row>
    <row r="1932" spans="4:4">
      <c r="D1932" s="1036"/>
    </row>
    <row r="1933" spans="4:4">
      <c r="D1933" s="1036"/>
    </row>
    <row r="1934" spans="4:4">
      <c r="D1934" s="1036"/>
    </row>
    <row r="1935" spans="4:4">
      <c r="D1935" s="1036"/>
    </row>
    <row r="1936" spans="4:4">
      <c r="D1936" s="1036"/>
    </row>
    <row r="1937" spans="4:4">
      <c r="D1937" s="1036"/>
    </row>
    <row r="1938" spans="4:4">
      <c r="D1938" s="1036"/>
    </row>
    <row r="1939" spans="4:4">
      <c r="D1939" s="1036"/>
    </row>
    <row r="1940" spans="4:4">
      <c r="D1940" s="1036"/>
    </row>
    <row r="1941" spans="4:4">
      <c r="D1941" s="1036"/>
    </row>
    <row r="1942" spans="4:4">
      <c r="D1942" s="1036"/>
    </row>
    <row r="1943" spans="4:4">
      <c r="D1943" s="1036"/>
    </row>
    <row r="1944" spans="4:4">
      <c r="D1944" s="1036"/>
    </row>
    <row r="1945" spans="4:4">
      <c r="D1945" s="1036"/>
    </row>
    <row r="1946" spans="4:4">
      <c r="D1946" s="1036"/>
    </row>
    <row r="1947" spans="4:4">
      <c r="D1947" s="1036"/>
    </row>
    <row r="1948" spans="4:4">
      <c r="D1948" s="1036"/>
    </row>
    <row r="1949" spans="4:4">
      <c r="D1949" s="1036"/>
    </row>
    <row r="1950" spans="4:4">
      <c r="D1950" s="1036"/>
    </row>
    <row r="1951" spans="4:4">
      <c r="D1951" s="1036"/>
    </row>
    <row r="1952" spans="4:4">
      <c r="D1952" s="1036"/>
    </row>
    <row r="1953" spans="4:4">
      <c r="D1953" s="1036"/>
    </row>
    <row r="1954" spans="4:4">
      <c r="D1954" s="1036"/>
    </row>
    <row r="1955" spans="4:4">
      <c r="D1955" s="1036"/>
    </row>
    <row r="1956" spans="4:4">
      <c r="D1956" s="1036"/>
    </row>
    <row r="1957" spans="4:4">
      <c r="D1957" s="1036"/>
    </row>
    <row r="1958" spans="4:4">
      <c r="D1958" s="1036"/>
    </row>
    <row r="1959" spans="4:4">
      <c r="D1959" s="1036"/>
    </row>
    <row r="1960" spans="4:4">
      <c r="D1960" s="1036"/>
    </row>
    <row r="1961" spans="4:4">
      <c r="D1961" s="1036"/>
    </row>
    <row r="1962" spans="4:4">
      <c r="D1962" s="1036"/>
    </row>
    <row r="1963" spans="4:4">
      <c r="D1963" s="1036"/>
    </row>
    <row r="1964" spans="4:4">
      <c r="D1964" s="1036"/>
    </row>
    <row r="1965" spans="4:4">
      <c r="D1965" s="1036"/>
    </row>
    <row r="1966" spans="4:4">
      <c r="D1966" s="1036"/>
    </row>
    <row r="1967" spans="4:4">
      <c r="D1967" s="1036"/>
    </row>
    <row r="1968" spans="4:4">
      <c r="D1968" s="1036"/>
    </row>
    <row r="1969" spans="4:4">
      <c r="D1969" s="1036"/>
    </row>
    <row r="1970" spans="4:4">
      <c r="D1970" s="1036"/>
    </row>
    <row r="1971" spans="4:4">
      <c r="D1971" s="1036"/>
    </row>
    <row r="1972" spans="4:4">
      <c r="D1972" s="1036"/>
    </row>
    <row r="1973" spans="4:4">
      <c r="D1973" s="1036"/>
    </row>
    <row r="1974" spans="4:4">
      <c r="D1974" s="1036"/>
    </row>
    <row r="1975" spans="4:4">
      <c r="D1975" s="1036"/>
    </row>
    <row r="1976" spans="4:4">
      <c r="D1976" s="1036"/>
    </row>
    <row r="1977" spans="4:4">
      <c r="D1977" s="1036"/>
    </row>
    <row r="1978" spans="4:4">
      <c r="D1978" s="1036"/>
    </row>
    <row r="1979" spans="4:4">
      <c r="D1979" s="1036"/>
    </row>
    <row r="1980" spans="4:4">
      <c r="D1980" s="1036"/>
    </row>
    <row r="1981" spans="4:4">
      <c r="D1981" s="1036"/>
    </row>
    <row r="1982" spans="4:4">
      <c r="D1982" s="1036"/>
    </row>
    <row r="1983" spans="4:4">
      <c r="D1983" s="1036"/>
    </row>
    <row r="1984" spans="4:4">
      <c r="D1984" s="1036"/>
    </row>
    <row r="1985" spans="4:4">
      <c r="D1985" s="1036"/>
    </row>
    <row r="1986" spans="4:4">
      <c r="D1986" s="1036"/>
    </row>
    <row r="1987" spans="4:4">
      <c r="D1987" s="1036"/>
    </row>
    <row r="1988" spans="4:4">
      <c r="D1988" s="1036"/>
    </row>
    <row r="1989" spans="4:4">
      <c r="D1989" s="1036"/>
    </row>
    <row r="1990" spans="4:4">
      <c r="D1990" s="1036"/>
    </row>
    <row r="1991" spans="4:4">
      <c r="D1991" s="1036"/>
    </row>
    <row r="1992" spans="4:4">
      <c r="D1992" s="1036"/>
    </row>
    <row r="1993" spans="4:4">
      <c r="D1993" s="1036"/>
    </row>
    <row r="1994" spans="4:4">
      <c r="D1994" s="1036"/>
    </row>
    <row r="1995" spans="4:4">
      <c r="D1995" s="1036"/>
    </row>
    <row r="1996" spans="4:4">
      <c r="D1996" s="1036"/>
    </row>
    <row r="1997" spans="4:4">
      <c r="D1997" s="1036"/>
    </row>
    <row r="1998" spans="4:4">
      <c r="D1998" s="1036"/>
    </row>
    <row r="1999" spans="4:4">
      <c r="D1999" s="1036"/>
    </row>
    <row r="2000" spans="4:4">
      <c r="D2000" s="1036"/>
    </row>
    <row r="2001" spans="4:4">
      <c r="D2001" s="1036"/>
    </row>
    <row r="2002" spans="4:4">
      <c r="D2002" s="1036"/>
    </row>
    <row r="2003" spans="4:4">
      <c r="D2003" s="1036"/>
    </row>
    <row r="2004" spans="4:4">
      <c r="D2004" s="1036"/>
    </row>
    <row r="2005" spans="4:4">
      <c r="D2005" s="1036"/>
    </row>
    <row r="2006" spans="4:4">
      <c r="D2006" s="1036"/>
    </row>
    <row r="2007" spans="4:4">
      <c r="D2007" s="1036"/>
    </row>
    <row r="2008" spans="4:4">
      <c r="D2008" s="1036"/>
    </row>
    <row r="2009" spans="4:4">
      <c r="D2009" s="1036"/>
    </row>
    <row r="2010" spans="4:4">
      <c r="D2010" s="1036"/>
    </row>
    <row r="2011" spans="4:4">
      <c r="D2011" s="1036"/>
    </row>
    <row r="2012" spans="4:4">
      <c r="D2012" s="1036"/>
    </row>
    <row r="2013" spans="4:4">
      <c r="D2013" s="1036"/>
    </row>
    <row r="2014" spans="4:4">
      <c r="D2014" s="1036"/>
    </row>
    <row r="2015" spans="4:4">
      <c r="D2015" s="1036"/>
    </row>
    <row r="2016" spans="4:4">
      <c r="D2016" s="1036"/>
    </row>
    <row r="2017" spans="4:4">
      <c r="D2017" s="1036"/>
    </row>
    <row r="2018" spans="4:4">
      <c r="D2018" s="1036"/>
    </row>
    <row r="2019" spans="4:4">
      <c r="D2019" s="1036"/>
    </row>
    <row r="2020" spans="4:4">
      <c r="D2020" s="1036"/>
    </row>
    <row r="2021" spans="4:4">
      <c r="D2021" s="1036"/>
    </row>
    <row r="2022" spans="4:4">
      <c r="D2022" s="1036"/>
    </row>
    <row r="2023" spans="4:4">
      <c r="D2023" s="1036"/>
    </row>
    <row r="2024" spans="4:4">
      <c r="D2024" s="1036"/>
    </row>
    <row r="2025" spans="4:4">
      <c r="D2025" s="1036"/>
    </row>
    <row r="2026" spans="4:4">
      <c r="D2026" s="1036"/>
    </row>
    <row r="2027" spans="4:4">
      <c r="D2027" s="1036"/>
    </row>
    <row r="2028" spans="4:4">
      <c r="D2028" s="1036"/>
    </row>
    <row r="2029" spans="4:4">
      <c r="D2029" s="1036"/>
    </row>
    <row r="2030" spans="4:4">
      <c r="D2030" s="1036"/>
    </row>
    <row r="2031" spans="4:4">
      <c r="D2031" s="1036"/>
    </row>
    <row r="2032" spans="4:4">
      <c r="D2032" s="1036"/>
    </row>
    <row r="2033" spans="4:4">
      <c r="D2033" s="1036"/>
    </row>
    <row r="2034" spans="4:4">
      <c r="D2034" s="1036"/>
    </row>
    <row r="2035" spans="4:4">
      <c r="D2035" s="1036"/>
    </row>
    <row r="2036" spans="4:4">
      <c r="D2036" s="1036"/>
    </row>
    <row r="2037" spans="4:4">
      <c r="D2037" s="1036"/>
    </row>
    <row r="2038" spans="4:4">
      <c r="D2038" s="1036"/>
    </row>
    <row r="2039" spans="4:4">
      <c r="D2039" s="1036"/>
    </row>
    <row r="2040" spans="4:4">
      <c r="D2040" s="1036"/>
    </row>
    <row r="2041" spans="4:4">
      <c r="D2041" s="1036"/>
    </row>
    <row r="2042" spans="4:4">
      <c r="D2042" s="1036"/>
    </row>
    <row r="2043" spans="4:4">
      <c r="D2043" s="1036"/>
    </row>
    <row r="2044" spans="4:4">
      <c r="D2044" s="1036"/>
    </row>
    <row r="2045" spans="4:4">
      <c r="D2045" s="1036"/>
    </row>
    <row r="2046" spans="4:4">
      <c r="D2046" s="1036"/>
    </row>
    <row r="2047" spans="4:4">
      <c r="D2047" s="1036"/>
    </row>
    <row r="2048" spans="4:4">
      <c r="D2048" s="1036"/>
    </row>
    <row r="2049" spans="4:4">
      <c r="D2049" s="1036"/>
    </row>
    <row r="2050" spans="4:4">
      <c r="D2050" s="1036"/>
    </row>
    <row r="2051" spans="4:4">
      <c r="D2051" s="1036"/>
    </row>
    <row r="2052" spans="4:4">
      <c r="D2052" s="1036"/>
    </row>
    <row r="2053" spans="4:4">
      <c r="D2053" s="1036"/>
    </row>
    <row r="2054" spans="4:4">
      <c r="D2054" s="1036"/>
    </row>
    <row r="2055" spans="4:4">
      <c r="D2055" s="1036"/>
    </row>
    <row r="2056" spans="4:4">
      <c r="D2056" s="1036"/>
    </row>
    <row r="2057" spans="4:4">
      <c r="D2057" s="1036"/>
    </row>
    <row r="2058" spans="4:4">
      <c r="D2058" s="1036"/>
    </row>
    <row r="2059" spans="4:4">
      <c r="D2059" s="1036"/>
    </row>
    <row r="2060" spans="4:4">
      <c r="D2060" s="1036"/>
    </row>
    <row r="2061" spans="4:4">
      <c r="D2061" s="1036"/>
    </row>
    <row r="2062" spans="4:4">
      <c r="D2062" s="1036"/>
    </row>
    <row r="2063" spans="4:4">
      <c r="D2063" s="1036"/>
    </row>
    <row r="2064" spans="4:4">
      <c r="D2064" s="1036"/>
    </row>
    <row r="2065" spans="4:4">
      <c r="D2065" s="1036"/>
    </row>
    <row r="2066" spans="4:4">
      <c r="D2066" s="1036"/>
    </row>
    <row r="2067" spans="4:4">
      <c r="D2067" s="1036"/>
    </row>
    <row r="2068" spans="4:4">
      <c r="D2068" s="1036"/>
    </row>
    <row r="2069" spans="4:4">
      <c r="D2069" s="1036"/>
    </row>
    <row r="2070" spans="4:4">
      <c r="D2070" s="1036"/>
    </row>
    <row r="2071" spans="4:4">
      <c r="D2071" s="1036"/>
    </row>
    <row r="2072" spans="4:4">
      <c r="D2072" s="1036"/>
    </row>
    <row r="2073" spans="4:4">
      <c r="D2073" s="1036"/>
    </row>
    <row r="2074" spans="4:4">
      <c r="D2074" s="1036"/>
    </row>
    <row r="2075" spans="4:4">
      <c r="D2075" s="1036"/>
    </row>
    <row r="2076" spans="4:4">
      <c r="D2076" s="1036"/>
    </row>
    <row r="2077" spans="4:4">
      <c r="D2077" s="1036"/>
    </row>
    <row r="2078" spans="4:4">
      <c r="D2078" s="1036"/>
    </row>
    <row r="2079" spans="4:4">
      <c r="D2079" s="1036"/>
    </row>
    <row r="2080" spans="4:4">
      <c r="D2080" s="1036"/>
    </row>
    <row r="2081" spans="4:4">
      <c r="D2081" s="1036"/>
    </row>
    <row r="2082" spans="4:4">
      <c r="D2082" s="1036"/>
    </row>
    <row r="2083" spans="4:4">
      <c r="D2083" s="1036"/>
    </row>
    <row r="2084" spans="4:4">
      <c r="D2084" s="1036"/>
    </row>
    <row r="2085" spans="4:4">
      <c r="D2085" s="1036"/>
    </row>
    <row r="2086" spans="4:4">
      <c r="D2086" s="1036"/>
    </row>
    <row r="2087" spans="4:4">
      <c r="D2087" s="1036"/>
    </row>
    <row r="2088" spans="4:4">
      <c r="D2088" s="1036"/>
    </row>
    <row r="2089" spans="4:4">
      <c r="D2089" s="1036"/>
    </row>
    <row r="2090" spans="4:4">
      <c r="D2090" s="1036"/>
    </row>
    <row r="2091" spans="4:4">
      <c r="D2091" s="1036"/>
    </row>
    <row r="2092" spans="4:4">
      <c r="D2092" s="1036"/>
    </row>
    <row r="2093" spans="4:4">
      <c r="D2093" s="1036"/>
    </row>
    <row r="2094" spans="4:4">
      <c r="D2094" s="1036"/>
    </row>
    <row r="2095" spans="4:4">
      <c r="D2095" s="1036"/>
    </row>
    <row r="2096" spans="4:4">
      <c r="D2096" s="1036"/>
    </row>
    <row r="2097" spans="4:4">
      <c r="D2097" s="1036"/>
    </row>
    <row r="2098" spans="4:4">
      <c r="D2098" s="1036"/>
    </row>
    <row r="2099" spans="4:4">
      <c r="D2099" s="1036"/>
    </row>
    <row r="2100" spans="4:4">
      <c r="D2100" s="1036"/>
    </row>
    <row r="2101" spans="4:4">
      <c r="D2101" s="1036"/>
    </row>
    <row r="2102" spans="4:4">
      <c r="D2102" s="1036"/>
    </row>
    <row r="2103" spans="4:4">
      <c r="D2103" s="1036"/>
    </row>
    <row r="2104" spans="4:4">
      <c r="D2104" s="1036"/>
    </row>
    <row r="2105" spans="4:4">
      <c r="D2105" s="1036"/>
    </row>
    <row r="2106" spans="4:4">
      <c r="D2106" s="1036"/>
    </row>
    <row r="2107" spans="4:4">
      <c r="D2107" s="1036"/>
    </row>
    <row r="2108" spans="4:4">
      <c r="D2108" s="1036"/>
    </row>
    <row r="2109" spans="4:4">
      <c r="D2109" s="1036"/>
    </row>
    <row r="2110" spans="4:4">
      <c r="D2110" s="1036"/>
    </row>
    <row r="2111" spans="4:4">
      <c r="D2111" s="1036"/>
    </row>
    <row r="2112" spans="4:4">
      <c r="D2112" s="1036"/>
    </row>
    <row r="2113" spans="4:4">
      <c r="D2113" s="1036"/>
    </row>
    <row r="2114" spans="4:4">
      <c r="D2114" s="1036"/>
    </row>
    <row r="2115" spans="4:4">
      <c r="D2115" s="1036"/>
    </row>
    <row r="2116" spans="4:4">
      <c r="D2116" s="1036"/>
    </row>
    <row r="2117" spans="4:4">
      <c r="D2117" s="1036"/>
    </row>
    <row r="2118" spans="4:4">
      <c r="D2118" s="1036"/>
    </row>
    <row r="2119" spans="4:4">
      <c r="D2119" s="1036"/>
    </row>
    <row r="2120" spans="4:4">
      <c r="D2120" s="1036"/>
    </row>
    <row r="2121" spans="4:4">
      <c r="D2121" s="1036"/>
    </row>
    <row r="2122" spans="4:4">
      <c r="D2122" s="1036"/>
    </row>
    <row r="2123" spans="4:4">
      <c r="D2123" s="1036"/>
    </row>
    <row r="2124" spans="4:4">
      <c r="D2124" s="1036"/>
    </row>
    <row r="2125" spans="4:4">
      <c r="D2125" s="1036"/>
    </row>
    <row r="2126" spans="4:4">
      <c r="D2126" s="1036"/>
    </row>
    <row r="2127" spans="4:4">
      <c r="D2127" s="1036"/>
    </row>
    <row r="2128" spans="4:4">
      <c r="D2128" s="1036"/>
    </row>
    <row r="2129" spans="4:4">
      <c r="D2129" s="1036"/>
    </row>
    <row r="2130" spans="4:4">
      <c r="D2130" s="1036"/>
    </row>
    <row r="2131" spans="4:4">
      <c r="D2131" s="1036"/>
    </row>
    <row r="2132" spans="4:4">
      <c r="D2132" s="1036"/>
    </row>
    <row r="2133" spans="4:4">
      <c r="D2133" s="1036"/>
    </row>
    <row r="2134" spans="4:4">
      <c r="D2134" s="1036"/>
    </row>
    <row r="2135" spans="4:4">
      <c r="D2135" s="1036"/>
    </row>
    <row r="2136" spans="4:4">
      <c r="D2136" s="1036"/>
    </row>
    <row r="2137" spans="4:4">
      <c r="D2137" s="1036"/>
    </row>
    <row r="2138" spans="4:4">
      <c r="D2138" s="1036"/>
    </row>
    <row r="2139" spans="4:4">
      <c r="D2139" s="1036"/>
    </row>
    <row r="2140" spans="4:4">
      <c r="D2140" s="1036"/>
    </row>
    <row r="2141" spans="4:4">
      <c r="D2141" s="1036"/>
    </row>
    <row r="2142" spans="4:4">
      <c r="D2142" s="1036"/>
    </row>
    <row r="2143" spans="4:4">
      <c r="D2143" s="1036"/>
    </row>
    <row r="2144" spans="4:4">
      <c r="D2144" s="1036"/>
    </row>
    <row r="2145" spans="4:4">
      <c r="D2145" s="1036"/>
    </row>
    <row r="2146" spans="4:4">
      <c r="D2146" s="1036"/>
    </row>
    <row r="2147" spans="4:4">
      <c r="D2147" s="1036"/>
    </row>
    <row r="2148" spans="4:4">
      <c r="D2148" s="1036"/>
    </row>
    <row r="2149" spans="4:4">
      <c r="D2149" s="1036"/>
    </row>
    <row r="2150" spans="4:4">
      <c r="D2150" s="1036"/>
    </row>
    <row r="2151" spans="4:4">
      <c r="D2151" s="1036"/>
    </row>
    <row r="2152" spans="4:4">
      <c r="D2152" s="1036"/>
    </row>
    <row r="2153" spans="4:4">
      <c r="D2153" s="1036"/>
    </row>
    <row r="2154" spans="4:4">
      <c r="D2154" s="1036"/>
    </row>
    <row r="2155" spans="4:4">
      <c r="D2155" s="1036"/>
    </row>
    <row r="2156" spans="4:4">
      <c r="D2156" s="1036"/>
    </row>
    <row r="2157" spans="4:4">
      <c r="D2157" s="1036"/>
    </row>
    <row r="2158" spans="4:4">
      <c r="D2158" s="1036"/>
    </row>
    <row r="2159" spans="4:4">
      <c r="D2159" s="1036"/>
    </row>
    <row r="2160" spans="4:4">
      <c r="D2160" s="1036"/>
    </row>
    <row r="2161" spans="4:4">
      <c r="D2161" s="1036"/>
    </row>
    <row r="2162" spans="4:4">
      <c r="D2162" s="1036"/>
    </row>
    <row r="2163" spans="4:4">
      <c r="D2163" s="1036"/>
    </row>
    <row r="2164" spans="4:4">
      <c r="D2164" s="1036"/>
    </row>
    <row r="2165" spans="4:4">
      <c r="D2165" s="1036"/>
    </row>
    <row r="2166" spans="4:4">
      <c r="D2166" s="1036"/>
    </row>
    <row r="2167" spans="4:4">
      <c r="D2167" s="1036"/>
    </row>
    <row r="2168" spans="4:4">
      <c r="D2168" s="1036"/>
    </row>
    <row r="2169" spans="4:4">
      <c r="D2169" s="1036"/>
    </row>
    <row r="2170" spans="4:4">
      <c r="D2170" s="1036"/>
    </row>
    <row r="2171" spans="4:4">
      <c r="D2171" s="1036"/>
    </row>
    <row r="2172" spans="4:4">
      <c r="D2172" s="1036"/>
    </row>
    <row r="2173" spans="4:4">
      <c r="D2173" s="1036"/>
    </row>
    <row r="2174" spans="4:4">
      <c r="D2174" s="1036"/>
    </row>
    <row r="2175" spans="4:4">
      <c r="D2175" s="1036"/>
    </row>
    <row r="2176" spans="4:4">
      <c r="D2176" s="1036"/>
    </row>
    <row r="2177" spans="4:4">
      <c r="D2177" s="1036"/>
    </row>
    <row r="2178" spans="4:4">
      <c r="D2178" s="1036"/>
    </row>
    <row r="2179" spans="4:4">
      <c r="D2179" s="1036"/>
    </row>
    <row r="2180" spans="4:4">
      <c r="D2180" s="1036"/>
    </row>
    <row r="2181" spans="4:4">
      <c r="D2181" s="1036"/>
    </row>
    <row r="2182" spans="4:4">
      <c r="D2182" s="1036"/>
    </row>
    <row r="2183" spans="4:4">
      <c r="D2183" s="1036"/>
    </row>
    <row r="2184" spans="4:4">
      <c r="D2184" s="1036"/>
    </row>
    <row r="2185" spans="4:4">
      <c r="D2185" s="1036"/>
    </row>
    <row r="2186" spans="4:4">
      <c r="D2186" s="1036"/>
    </row>
    <row r="2187" spans="4:4">
      <c r="D2187" s="1036"/>
    </row>
    <row r="2188" spans="4:4">
      <c r="D2188" s="1036"/>
    </row>
  </sheetData>
  <sheetProtection password="C74A" sheet="1" objects="1" scenarios="1" formatCells="0" formatColumns="0" formatRows="0"/>
  <sortState columnSort="1" ref="E2:DS2719">
    <sortCondition ref="E2:DS2"/>
  </sortState>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69">
    <mergeCell ref="D1:E1"/>
    <mergeCell ref="A1:B1"/>
    <mergeCell ref="E301:E304"/>
    <mergeCell ref="E249:E253"/>
    <mergeCell ref="E255:E261"/>
    <mergeCell ref="E262:E266"/>
    <mergeCell ref="E267:E270"/>
    <mergeCell ref="E271:E275"/>
    <mergeCell ref="E276:E279"/>
    <mergeCell ref="E280:E286"/>
    <mergeCell ref="E287:E291"/>
    <mergeCell ref="E294:E300"/>
    <mergeCell ref="E206:E209"/>
    <mergeCell ref="E212:E217"/>
    <mergeCell ref="E218:E221"/>
    <mergeCell ref="E222:E226"/>
    <mergeCell ref="E227:E230"/>
    <mergeCell ref="E231:E234"/>
    <mergeCell ref="E235:E239"/>
    <mergeCell ref="E240:E245"/>
    <mergeCell ref="E246:E248"/>
    <mergeCell ref="E153:E156"/>
    <mergeCell ref="E157:E162"/>
    <mergeCell ref="E164:E170"/>
    <mergeCell ref="E171:E177"/>
    <mergeCell ref="E178:E183"/>
    <mergeCell ref="E184:E188"/>
    <mergeCell ref="E189:E192"/>
    <mergeCell ref="E194:E197"/>
    <mergeCell ref="E200:E205"/>
    <mergeCell ref="E99:E101"/>
    <mergeCell ref="E102:E107"/>
    <mergeCell ref="E108:E112"/>
    <mergeCell ref="E115:E121"/>
    <mergeCell ref="E122:E127"/>
    <mergeCell ref="E128:E133"/>
    <mergeCell ref="E134:E139"/>
    <mergeCell ref="E140:E145"/>
    <mergeCell ref="E147:E152"/>
    <mergeCell ref="E51:E56"/>
    <mergeCell ref="E57:E62"/>
    <mergeCell ref="E63:E66"/>
    <mergeCell ref="E67:E70"/>
    <mergeCell ref="E71:E76"/>
    <mergeCell ref="E77:E81"/>
    <mergeCell ref="E82:E87"/>
    <mergeCell ref="E88:E93"/>
    <mergeCell ref="E94:E98"/>
    <mergeCell ref="E4:E8"/>
    <mergeCell ref="E9:E13"/>
    <mergeCell ref="E14:E20"/>
    <mergeCell ref="E21:E29"/>
    <mergeCell ref="E30:E34"/>
    <mergeCell ref="E35:E38"/>
    <mergeCell ref="E39:E41"/>
    <mergeCell ref="E42:E44"/>
    <mergeCell ref="E45:E50"/>
    <mergeCell ref="A99:A101"/>
    <mergeCell ref="A102:A107"/>
    <mergeCell ref="A189:A192"/>
    <mergeCell ref="B189:B192"/>
    <mergeCell ref="A194:A197"/>
    <mergeCell ref="B194:B197"/>
    <mergeCell ref="B200:B205"/>
    <mergeCell ref="A147:A152"/>
    <mergeCell ref="B147:B152"/>
    <mergeCell ref="B178:B183"/>
    <mergeCell ref="B134:B139"/>
    <mergeCell ref="A140:A145"/>
    <mergeCell ref="B140:B145"/>
    <mergeCell ref="A184:A188"/>
    <mergeCell ref="B184:B188"/>
    <mergeCell ref="A146:C146"/>
    <mergeCell ref="B71:B76"/>
    <mergeCell ref="B77:B81"/>
    <mergeCell ref="A88:A93"/>
    <mergeCell ref="A153:A156"/>
    <mergeCell ref="B153:B156"/>
    <mergeCell ref="A164:A170"/>
    <mergeCell ref="B164:B170"/>
    <mergeCell ref="A171:A177"/>
    <mergeCell ref="B102:B107"/>
    <mergeCell ref="B171:B177"/>
    <mergeCell ref="B94:B98"/>
    <mergeCell ref="B99:B101"/>
    <mergeCell ref="B108:B112"/>
    <mergeCell ref="A115:A121"/>
    <mergeCell ref="B115:B121"/>
    <mergeCell ref="A122:A127"/>
    <mergeCell ref="B122:B127"/>
    <mergeCell ref="B128:B133"/>
    <mergeCell ref="A108:A112"/>
    <mergeCell ref="B88:B93"/>
    <mergeCell ref="A128:A133"/>
    <mergeCell ref="A134:A139"/>
    <mergeCell ref="B82:B87"/>
    <mergeCell ref="A157:A162"/>
    <mergeCell ref="B227:B230"/>
    <mergeCell ref="A235:A239"/>
    <mergeCell ref="B235:B239"/>
    <mergeCell ref="A21:A29"/>
    <mergeCell ref="A51:A56"/>
    <mergeCell ref="A77:A81"/>
    <mergeCell ref="A35:A38"/>
    <mergeCell ref="A39:A41"/>
    <mergeCell ref="A82:A87"/>
    <mergeCell ref="A42:A44"/>
    <mergeCell ref="A67:A70"/>
    <mergeCell ref="B30:B34"/>
    <mergeCell ref="B21:B29"/>
    <mergeCell ref="B35:B38"/>
    <mergeCell ref="B39:B41"/>
    <mergeCell ref="A45:A50"/>
    <mergeCell ref="A30:A34"/>
    <mergeCell ref="B42:B44"/>
    <mergeCell ref="B45:B50"/>
    <mergeCell ref="B51:B56"/>
    <mergeCell ref="B57:B62"/>
    <mergeCell ref="B63:B66"/>
    <mergeCell ref="B67:B70"/>
    <mergeCell ref="A71:A76"/>
    <mergeCell ref="A57:A62"/>
    <mergeCell ref="A63:A66"/>
    <mergeCell ref="A294:A300"/>
    <mergeCell ref="B294:B300"/>
    <mergeCell ref="A301:A304"/>
    <mergeCell ref="B301:B304"/>
    <mergeCell ref="A267:A270"/>
    <mergeCell ref="B267:B270"/>
    <mergeCell ref="A271:A275"/>
    <mergeCell ref="B271:B275"/>
    <mergeCell ref="A276:A279"/>
    <mergeCell ref="B276:B279"/>
    <mergeCell ref="A280:A286"/>
    <mergeCell ref="B280:B286"/>
    <mergeCell ref="A287:A291"/>
    <mergeCell ref="B287:B291"/>
    <mergeCell ref="A262:A266"/>
    <mergeCell ref="B262:B266"/>
    <mergeCell ref="B206:B209"/>
    <mergeCell ref="B212:B217"/>
    <mergeCell ref="A218:A221"/>
    <mergeCell ref="B218:B221"/>
    <mergeCell ref="A222:A226"/>
    <mergeCell ref="B222:B226"/>
    <mergeCell ref="A2:C2"/>
    <mergeCell ref="A9:A13"/>
    <mergeCell ref="A4:A8"/>
    <mergeCell ref="B4:B8"/>
    <mergeCell ref="B157:B162"/>
    <mergeCell ref="A178:A183"/>
    <mergeCell ref="A249:A253"/>
    <mergeCell ref="A246:A248"/>
    <mergeCell ref="A255:A261"/>
    <mergeCell ref="A200:A205"/>
    <mergeCell ref="A206:A209"/>
    <mergeCell ref="A212:A217"/>
    <mergeCell ref="A227:A230"/>
    <mergeCell ref="A240:A245"/>
    <mergeCell ref="B240:B245"/>
    <mergeCell ref="B231:B234"/>
    <mergeCell ref="A231:A234"/>
    <mergeCell ref="B246:B248"/>
    <mergeCell ref="B249:B253"/>
    <mergeCell ref="B255:B261"/>
    <mergeCell ref="B9:B13"/>
    <mergeCell ref="A14:A20"/>
    <mergeCell ref="B14:B20"/>
    <mergeCell ref="A94:A98"/>
  </mergeCells>
  <phoneticPr fontId="2" type="noConversion"/>
  <conditionalFormatting sqref="F186:DP190 F221:DP229">
    <cfRule type="cellIs" dxfId="2" priority="34" operator="greaterThan">
      <formula>1</formula>
    </cfRule>
  </conditionalFormatting>
  <dataValidations count="1">
    <dataValidation type="whole" allowBlank="1" showInputMessage="1" showErrorMessage="1" sqref="D147:D157 D222:D224 D227:D305 D162:D220 D5:D14 D21:D120 D122:D145">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rowBreaks count="4" manualBreakCount="4">
    <brk id="56" max="4" man="1"/>
    <brk id="99" max="4" man="1"/>
    <brk id="137" max="4" man="1"/>
    <brk id="202" max="4" man="1"/>
  </rowBreaks>
  <drawing r:id="rId3"/>
</worksheet>
</file>

<file path=xl/worksheets/sheet4.xml><?xml version="1.0" encoding="utf-8"?>
<worksheet xmlns="http://schemas.openxmlformats.org/spreadsheetml/2006/main" xmlns:r="http://schemas.openxmlformats.org/officeDocument/2006/relationships">
  <sheetPr codeName="Sheet41">
    <tabColor rgb="FFE6B9B8"/>
  </sheetPr>
  <dimension ref="A1:XFD148"/>
  <sheetViews>
    <sheetView zoomScaleNormal="100" workbookViewId="0">
      <selection sqref="A1:B1"/>
    </sheetView>
  </sheetViews>
  <sheetFormatPr defaultColWidth="9.33203125" defaultRowHeight="13.8"/>
  <cols>
    <col min="1" max="1" width="5.77734375" style="31" customWidth="1"/>
    <col min="2" max="2" width="52.77734375" style="1099" customWidth="1"/>
    <col min="3" max="5" width="45.77734375" style="1099" customWidth="1"/>
    <col min="6" max="6" width="5.33203125" style="34" customWidth="1"/>
    <col min="7" max="16384" width="9.33203125" style="34"/>
  </cols>
  <sheetData>
    <row r="1" spans="1:29" s="1528" customFormat="1" ht="27" customHeight="1" thickBot="1">
      <c r="A1" s="2282" t="s">
        <v>2614</v>
      </c>
      <c r="B1" s="2283"/>
      <c r="C1" s="2284" t="s">
        <v>2613</v>
      </c>
      <c r="D1" s="2285"/>
      <c r="E1" s="2086" t="s">
        <v>2129</v>
      </c>
      <c r="F1" s="2087"/>
    </row>
    <row r="2" spans="1:29" s="1047" customFormat="1" ht="36" customHeight="1" thickBot="1">
      <c r="A2" s="2277" t="s">
        <v>2859</v>
      </c>
      <c r="B2" s="2277"/>
      <c r="C2" s="2277"/>
      <c r="D2" s="2277"/>
      <c r="E2" s="2278"/>
      <c r="F2" s="2068" t="s">
        <v>64</v>
      </c>
    </row>
    <row r="3" spans="1:29" s="1047" customFormat="1" ht="24" customHeight="1" thickBot="1">
      <c r="A3" s="2279" t="s">
        <v>383</v>
      </c>
      <c r="B3" s="2286" t="s">
        <v>1527</v>
      </c>
      <c r="C3" s="2287"/>
      <c r="D3" s="2287"/>
      <c r="E3" s="2288"/>
      <c r="F3" s="1533"/>
      <c r="G3" s="409"/>
      <c r="H3" s="409"/>
      <c r="I3" s="409"/>
      <c r="J3" s="409"/>
      <c r="K3" s="409"/>
      <c r="L3" s="409"/>
      <c r="M3" s="409"/>
      <c r="N3" s="409"/>
      <c r="O3" s="409"/>
      <c r="P3" s="409"/>
      <c r="Q3" s="409"/>
      <c r="R3" s="409"/>
      <c r="S3" s="409"/>
      <c r="T3" s="409"/>
      <c r="U3" s="409"/>
      <c r="V3" s="409"/>
      <c r="W3" s="409"/>
      <c r="X3" s="409"/>
      <c r="Y3" s="409"/>
      <c r="Z3" s="409"/>
      <c r="AA3" s="409"/>
      <c r="AB3" s="409"/>
      <c r="AC3" s="409"/>
    </row>
    <row r="4" spans="1:29" s="408" customFormat="1" ht="45" customHeight="1" thickBot="1">
      <c r="A4" s="2280"/>
      <c r="B4" s="2292" t="s">
        <v>2853</v>
      </c>
      <c r="C4" s="2293"/>
      <c r="D4" s="2293"/>
      <c r="E4" s="2293"/>
      <c r="F4" s="1030"/>
      <c r="G4" s="409"/>
      <c r="H4" s="409"/>
      <c r="I4" s="409"/>
      <c r="J4" s="409"/>
      <c r="K4" s="409"/>
      <c r="L4" s="409"/>
      <c r="M4" s="409"/>
      <c r="N4" s="409"/>
      <c r="O4" s="409"/>
      <c r="P4" s="409"/>
      <c r="Q4" s="409"/>
      <c r="R4" s="409"/>
      <c r="S4" s="409"/>
      <c r="T4" s="409"/>
      <c r="U4" s="409"/>
      <c r="V4" s="409"/>
      <c r="W4" s="409"/>
      <c r="X4" s="409"/>
      <c r="Y4" s="409"/>
      <c r="Z4" s="409"/>
      <c r="AA4" s="409"/>
      <c r="AB4" s="409"/>
      <c r="AC4" s="409"/>
    </row>
    <row r="5" spans="1:29" s="409" customFormat="1" ht="18" customHeight="1">
      <c r="A5" s="2280"/>
      <c r="B5" s="2226" t="s">
        <v>1714</v>
      </c>
      <c r="C5" s="2261"/>
      <c r="D5" s="2261"/>
      <c r="E5" s="2262"/>
      <c r="F5" s="2060"/>
    </row>
    <row r="6" spans="1:29" s="409" customFormat="1" ht="18" customHeight="1">
      <c r="A6" s="2280"/>
      <c r="B6" s="2221" t="s">
        <v>1715</v>
      </c>
      <c r="C6" s="2222"/>
      <c r="D6" s="2222"/>
      <c r="E6" s="2223"/>
      <c r="F6" s="2060"/>
    </row>
    <row r="7" spans="1:29" s="409" customFormat="1" ht="18" customHeight="1">
      <c r="A7" s="2280"/>
      <c r="B7" s="2221" t="s">
        <v>1716</v>
      </c>
      <c r="C7" s="2222"/>
      <c r="D7" s="2222"/>
      <c r="E7" s="2223"/>
      <c r="F7" s="2060"/>
    </row>
    <row r="8" spans="1:29" s="409" customFormat="1" ht="18" customHeight="1">
      <c r="A8" s="2280"/>
      <c r="B8" s="2221" t="s">
        <v>1717</v>
      </c>
      <c r="C8" s="2222"/>
      <c r="D8" s="2222"/>
      <c r="E8" s="2223"/>
      <c r="F8" s="2060"/>
    </row>
    <row r="9" spans="1:29" s="409" customFormat="1" ht="18" customHeight="1">
      <c r="A9" s="2280"/>
      <c r="B9" s="2221" t="s">
        <v>2388</v>
      </c>
      <c r="C9" s="2222"/>
      <c r="D9" s="2222"/>
      <c r="E9" s="2223"/>
      <c r="F9" s="2060"/>
    </row>
    <row r="10" spans="1:29" s="409" customFormat="1" ht="18" customHeight="1" thickBot="1">
      <c r="A10" s="2280"/>
      <c r="B10" s="2233" t="s">
        <v>1718</v>
      </c>
      <c r="C10" s="2234"/>
      <c r="D10" s="2234"/>
      <c r="E10" s="2235"/>
      <c r="F10" s="2060"/>
    </row>
    <row r="11" spans="1:29" s="409" customFormat="1" ht="30" customHeight="1" thickBot="1">
      <c r="A11" s="2280"/>
      <c r="B11" s="2292" t="s">
        <v>1798</v>
      </c>
      <c r="C11" s="2293"/>
      <c r="D11" s="2293"/>
      <c r="E11" s="2293"/>
      <c r="F11" s="1030"/>
    </row>
    <row r="12" spans="1:29" s="409" customFormat="1" ht="21" customHeight="1" thickBot="1">
      <c r="A12" s="2280"/>
      <c r="B12" s="1550"/>
      <c r="C12" s="1542" t="s">
        <v>21</v>
      </c>
      <c r="D12" s="1545" t="s">
        <v>22</v>
      </c>
      <c r="E12" s="1546" t="s">
        <v>23</v>
      </c>
      <c r="F12" s="1030"/>
    </row>
    <row r="13" spans="1:29" s="409" customFormat="1" ht="18" customHeight="1">
      <c r="A13" s="2280"/>
      <c r="B13" s="1549" t="s">
        <v>155</v>
      </c>
      <c r="C13" s="1534" t="s">
        <v>1093</v>
      </c>
      <c r="D13" s="1535" t="s">
        <v>1094</v>
      </c>
      <c r="E13" s="1090" t="s">
        <v>1095</v>
      </c>
      <c r="F13" s="1031">
        <v>0</v>
      </c>
    </row>
    <row r="14" spans="1:29" s="409" customFormat="1" ht="18" customHeight="1">
      <c r="A14" s="2280"/>
      <c r="B14" s="1543" t="s">
        <v>1096</v>
      </c>
      <c r="C14" s="1089" t="s">
        <v>131</v>
      </c>
      <c r="D14" s="1089" t="s">
        <v>132</v>
      </c>
      <c r="E14" s="1092" t="s">
        <v>133</v>
      </c>
      <c r="F14" s="1031">
        <v>0</v>
      </c>
    </row>
    <row r="15" spans="1:29" s="409" customFormat="1" ht="15" customHeight="1" thickBot="1">
      <c r="A15" s="2280"/>
      <c r="B15" s="2273" t="s">
        <v>1097</v>
      </c>
      <c r="C15" s="2274"/>
      <c r="D15" s="2273"/>
      <c r="E15" s="2273"/>
      <c r="F15" s="1030"/>
    </row>
    <row r="16" spans="1:29" s="409" customFormat="1" ht="18" customHeight="1">
      <c r="A16" s="2280"/>
      <c r="B16" s="1543" t="s">
        <v>136</v>
      </c>
      <c r="C16" s="1097" t="s">
        <v>78</v>
      </c>
      <c r="D16" s="1093" t="s">
        <v>79</v>
      </c>
      <c r="E16" s="1094" t="s">
        <v>80</v>
      </c>
      <c r="F16" s="1031">
        <v>0</v>
      </c>
    </row>
    <row r="17" spans="1:44" s="409" customFormat="1" ht="18" customHeight="1">
      <c r="A17" s="2280"/>
      <c r="B17" s="1544" t="s">
        <v>137</v>
      </c>
      <c r="C17" s="1536" t="s">
        <v>1707</v>
      </c>
      <c r="D17" s="1537" t="s">
        <v>1708</v>
      </c>
      <c r="E17" s="1538" t="s">
        <v>1709</v>
      </c>
      <c r="F17" s="1031">
        <v>0</v>
      </c>
      <c r="G17" s="1530"/>
      <c r="H17" s="1530"/>
      <c r="I17" s="1530"/>
      <c r="J17" s="1530"/>
      <c r="K17" s="1530"/>
      <c r="L17" s="1530"/>
      <c r="M17" s="1530"/>
      <c r="N17" s="1530"/>
      <c r="O17" s="1530"/>
      <c r="P17" s="1530"/>
      <c r="Q17" s="1530"/>
      <c r="R17" s="1530"/>
      <c r="S17" s="1530"/>
      <c r="T17" s="1530"/>
      <c r="U17" s="1530"/>
      <c r="V17" s="1530"/>
      <c r="W17" s="1530"/>
      <c r="X17" s="1530"/>
      <c r="Y17" s="1530"/>
      <c r="Z17" s="1530"/>
      <c r="AA17" s="1530"/>
      <c r="AB17" s="1530"/>
      <c r="AC17" s="1530"/>
    </row>
    <row r="18" spans="1:44" s="409" customFormat="1" ht="18" customHeight="1" thickBot="1">
      <c r="A18" s="2280"/>
      <c r="B18" s="2239" t="s">
        <v>1420</v>
      </c>
      <c r="C18" s="2231"/>
      <c r="D18" s="2231"/>
      <c r="E18" s="2240"/>
      <c r="F18" s="2061">
        <f>SUM(F13:F17)</f>
        <v>0</v>
      </c>
    </row>
    <row r="19" spans="1:44" s="1041" customFormat="1" ht="21" customHeight="1" thickBot="1">
      <c r="A19" s="2281"/>
      <c r="B19" s="2248"/>
      <c r="C19" s="2249"/>
      <c r="D19" s="2249"/>
      <c r="E19" s="1552" t="s">
        <v>1304</v>
      </c>
      <c r="F19" s="2067">
        <f>F18/12</f>
        <v>0</v>
      </c>
      <c r="G19" s="135"/>
      <c r="H19" s="135"/>
      <c r="I19" s="135"/>
      <c r="J19" s="135"/>
      <c r="K19" s="135"/>
      <c r="L19" s="135"/>
      <c r="M19" s="135"/>
      <c r="N19" s="135"/>
      <c r="O19" s="135"/>
      <c r="P19" s="135"/>
      <c r="Q19" s="135"/>
      <c r="R19" s="135"/>
      <c r="S19" s="135"/>
      <c r="T19" s="135"/>
      <c r="U19" s="135"/>
      <c r="V19" s="135"/>
      <c r="W19" s="135"/>
      <c r="X19" s="135"/>
      <c r="Y19" s="135"/>
      <c r="Z19" s="135"/>
      <c r="AA19" s="135"/>
      <c r="AB19" s="135"/>
      <c r="AC19" s="135"/>
      <c r="AD19" s="1530"/>
      <c r="AE19" s="1530"/>
      <c r="AF19" s="1530"/>
      <c r="AG19" s="1530"/>
      <c r="AH19" s="1530"/>
      <c r="AI19" s="1530"/>
      <c r="AJ19" s="1530"/>
      <c r="AK19" s="1530"/>
      <c r="AL19" s="1530"/>
      <c r="AM19" s="1530"/>
      <c r="AN19" s="1530"/>
      <c r="AO19" s="1530"/>
      <c r="AP19" s="1530"/>
      <c r="AQ19" s="1530"/>
      <c r="AR19" s="1530"/>
    </row>
    <row r="20" spans="1:44" s="408" customFormat="1" ht="24" customHeight="1" thickBot="1">
      <c r="A20" s="2263" t="s">
        <v>153</v>
      </c>
      <c r="B20" s="2266" t="s">
        <v>19</v>
      </c>
      <c r="C20" s="2230"/>
      <c r="D20" s="2230"/>
      <c r="E20" s="2267"/>
      <c r="F20" s="2062"/>
      <c r="G20" s="135"/>
      <c r="H20" s="135"/>
      <c r="I20" s="135"/>
      <c r="J20" s="135"/>
      <c r="K20" s="135"/>
      <c r="L20" s="135"/>
      <c r="M20" s="135"/>
      <c r="N20" s="135"/>
      <c r="O20" s="135"/>
      <c r="P20" s="135"/>
      <c r="Q20" s="135"/>
      <c r="R20" s="135"/>
      <c r="S20" s="135"/>
      <c r="T20" s="135"/>
      <c r="U20" s="135"/>
      <c r="V20" s="135"/>
      <c r="W20" s="135"/>
      <c r="X20" s="135"/>
      <c r="Y20" s="135"/>
      <c r="Z20" s="135"/>
      <c r="AA20" s="135"/>
      <c r="AB20" s="135"/>
      <c r="AC20" s="135"/>
      <c r="AD20" s="409"/>
      <c r="AE20" s="409"/>
      <c r="AF20" s="409"/>
      <c r="AG20" s="409"/>
      <c r="AH20" s="409"/>
      <c r="AI20" s="409"/>
      <c r="AJ20" s="409"/>
      <c r="AK20" s="409"/>
      <c r="AL20" s="409"/>
      <c r="AM20" s="409"/>
      <c r="AN20" s="409"/>
      <c r="AO20" s="409"/>
      <c r="AP20" s="409"/>
      <c r="AQ20" s="409"/>
      <c r="AR20" s="409"/>
    </row>
    <row r="21" spans="1:44" s="135" customFormat="1" ht="30" customHeight="1" thickBot="1">
      <c r="A21" s="2264"/>
      <c r="B21" s="2268" t="s">
        <v>1799</v>
      </c>
      <c r="C21" s="2269"/>
      <c r="D21" s="2269"/>
      <c r="E21" s="2270"/>
      <c r="F21" s="1030"/>
    </row>
    <row r="22" spans="1:44" s="135" customFormat="1" ht="18" customHeight="1">
      <c r="A22" s="2264"/>
      <c r="B22" s="2289" t="s">
        <v>1719</v>
      </c>
      <c r="C22" s="2290"/>
      <c r="D22" s="2290"/>
      <c r="E22" s="2291"/>
      <c r="F22" s="2063"/>
    </row>
    <row r="23" spans="1:44" s="135" customFormat="1" ht="18" customHeight="1">
      <c r="A23" s="2264"/>
      <c r="B23" s="2250" t="s">
        <v>1720</v>
      </c>
      <c r="C23" s="2271"/>
      <c r="D23" s="2271"/>
      <c r="E23" s="2272"/>
      <c r="F23" s="2063"/>
    </row>
    <row r="24" spans="1:44" s="135" customFormat="1" ht="18" customHeight="1">
      <c r="A24" s="2264"/>
      <c r="B24" s="2250" t="s">
        <v>1721</v>
      </c>
      <c r="C24" s="2251"/>
      <c r="D24" s="2251"/>
      <c r="E24" s="2252"/>
      <c r="F24" s="2063"/>
    </row>
    <row r="25" spans="1:44" s="135" customFormat="1" ht="18" customHeight="1" thickBot="1">
      <c r="A25" s="2264"/>
      <c r="B25" s="2294" t="s">
        <v>1722</v>
      </c>
      <c r="C25" s="2295"/>
      <c r="D25" s="2295"/>
      <c r="E25" s="2295"/>
      <c r="F25" s="2063"/>
      <c r="G25" s="409"/>
      <c r="H25" s="409"/>
      <c r="I25" s="409"/>
      <c r="J25" s="409"/>
      <c r="K25" s="409"/>
      <c r="L25" s="409"/>
      <c r="M25" s="409"/>
      <c r="N25" s="409"/>
      <c r="O25" s="409"/>
      <c r="P25" s="409"/>
      <c r="Q25" s="409"/>
      <c r="R25" s="409"/>
      <c r="S25" s="409"/>
      <c r="T25" s="409"/>
      <c r="U25" s="409"/>
      <c r="V25" s="409"/>
      <c r="W25" s="409"/>
      <c r="X25" s="409"/>
      <c r="Y25" s="409"/>
      <c r="Z25" s="409"/>
      <c r="AA25" s="409"/>
      <c r="AB25" s="409"/>
      <c r="AC25" s="409"/>
    </row>
    <row r="26" spans="1:44" s="135" customFormat="1" ht="30" customHeight="1" thickBot="1">
      <c r="A26" s="2264"/>
      <c r="B26" s="2224" t="s">
        <v>1800</v>
      </c>
      <c r="C26" s="2225"/>
      <c r="D26" s="2225"/>
      <c r="E26" s="2225"/>
      <c r="F26" s="1030"/>
      <c r="G26" s="409"/>
      <c r="H26" s="409"/>
      <c r="I26" s="409"/>
      <c r="J26" s="409"/>
      <c r="K26" s="409"/>
      <c r="L26" s="409"/>
      <c r="M26" s="409"/>
      <c r="N26" s="409"/>
      <c r="O26" s="409"/>
      <c r="P26" s="409"/>
      <c r="Q26" s="409"/>
      <c r="R26" s="409"/>
      <c r="S26" s="409"/>
      <c r="T26" s="409"/>
      <c r="U26" s="409"/>
      <c r="V26" s="409"/>
      <c r="W26" s="409"/>
      <c r="X26" s="409"/>
      <c r="Y26" s="409"/>
      <c r="Z26" s="409"/>
      <c r="AA26" s="409"/>
      <c r="AB26" s="409"/>
      <c r="AC26" s="409"/>
    </row>
    <row r="27" spans="1:44" s="409" customFormat="1" ht="18" customHeight="1" thickBot="1">
      <c r="A27" s="2264"/>
      <c r="B27" s="1550"/>
      <c r="C27" s="1542" t="s">
        <v>21</v>
      </c>
      <c r="D27" s="1545" t="s">
        <v>22</v>
      </c>
      <c r="E27" s="1546" t="s">
        <v>23</v>
      </c>
      <c r="F27" s="1030"/>
    </row>
    <row r="28" spans="1:44" s="409" customFormat="1" ht="18" customHeight="1">
      <c r="A28" s="2264"/>
      <c r="B28" s="1551" t="s">
        <v>155</v>
      </c>
      <c r="C28" s="1089" t="s">
        <v>1098</v>
      </c>
      <c r="D28" s="1089" t="s">
        <v>1099</v>
      </c>
      <c r="E28" s="1096" t="s">
        <v>1100</v>
      </c>
      <c r="F28" s="1031">
        <v>0</v>
      </c>
    </row>
    <row r="29" spans="1:44" s="409" customFormat="1" ht="18" customHeight="1">
      <c r="A29" s="2264"/>
      <c r="B29" s="1547" t="s">
        <v>1096</v>
      </c>
      <c r="C29" s="1091" t="s">
        <v>131</v>
      </c>
      <c r="D29" s="1091" t="s">
        <v>134</v>
      </c>
      <c r="E29" s="1090" t="s">
        <v>133</v>
      </c>
      <c r="F29" s="1031">
        <v>0</v>
      </c>
    </row>
    <row r="30" spans="1:44" s="409" customFormat="1" ht="15" customHeight="1">
      <c r="A30" s="2264"/>
      <c r="B30" s="2260" t="s">
        <v>1097</v>
      </c>
      <c r="C30" s="2260"/>
      <c r="D30" s="2260"/>
      <c r="E30" s="2260"/>
      <c r="F30" s="1030"/>
    </row>
    <row r="31" spans="1:44" s="409" customFormat="1" ht="18" customHeight="1">
      <c r="A31" s="2264"/>
      <c r="B31" s="1547" t="s">
        <v>136</v>
      </c>
      <c r="C31" s="1093" t="s">
        <v>78</v>
      </c>
      <c r="D31" s="1093" t="s">
        <v>79</v>
      </c>
      <c r="E31" s="1094" t="s">
        <v>80</v>
      </c>
      <c r="F31" s="1031">
        <v>0</v>
      </c>
    </row>
    <row r="32" spans="1:44" s="409" customFormat="1" ht="18" customHeight="1">
      <c r="A32" s="2264"/>
      <c r="B32" s="1547" t="s">
        <v>137</v>
      </c>
      <c r="C32" s="1539" t="s">
        <v>1707</v>
      </c>
      <c r="D32" s="1537" t="s">
        <v>1708</v>
      </c>
      <c r="E32" s="1537" t="s">
        <v>1709</v>
      </c>
      <c r="F32" s="1031">
        <v>0</v>
      </c>
      <c r="G32" s="1532"/>
      <c r="H32" s="1532"/>
      <c r="I32" s="1532"/>
      <c r="J32" s="1532"/>
      <c r="K32" s="1532"/>
      <c r="L32" s="1532"/>
      <c r="M32" s="1532"/>
      <c r="N32" s="1532"/>
      <c r="O32" s="1532"/>
      <c r="P32" s="1532"/>
      <c r="Q32" s="1532"/>
      <c r="R32" s="1532"/>
      <c r="S32" s="1532"/>
      <c r="T32" s="1532"/>
      <c r="U32" s="1532"/>
      <c r="V32" s="1532"/>
      <c r="W32" s="1532"/>
      <c r="X32" s="1532"/>
      <c r="Y32" s="1532"/>
      <c r="Z32" s="1532"/>
      <c r="AA32" s="1532"/>
      <c r="AB32" s="1532"/>
      <c r="AC32" s="1532"/>
    </row>
    <row r="33" spans="1:44" s="409" customFormat="1" ht="18" customHeight="1" thickBot="1">
      <c r="A33" s="2264"/>
      <c r="B33" s="2231" t="s">
        <v>1420</v>
      </c>
      <c r="C33" s="2241"/>
      <c r="D33" s="2241"/>
      <c r="E33" s="2242"/>
      <c r="F33" s="2061">
        <f>SUM(F28:F32)</f>
        <v>0</v>
      </c>
    </row>
    <row r="34" spans="1:44" s="1042" customFormat="1" ht="21" customHeight="1" thickBot="1">
      <c r="A34" s="2265"/>
      <c r="B34" s="2275"/>
      <c r="C34" s="2276"/>
      <c r="D34" s="2276"/>
      <c r="E34" s="1095" t="s">
        <v>1304</v>
      </c>
      <c r="F34" s="2067">
        <f>F33/12</f>
        <v>0</v>
      </c>
      <c r="G34" s="409"/>
      <c r="H34" s="409"/>
      <c r="I34" s="409"/>
      <c r="J34" s="409"/>
      <c r="K34" s="409"/>
      <c r="L34" s="409"/>
      <c r="M34" s="409"/>
      <c r="N34" s="409"/>
      <c r="O34" s="409"/>
      <c r="P34" s="409"/>
      <c r="Q34" s="409"/>
      <c r="R34" s="409"/>
      <c r="S34" s="409"/>
      <c r="T34" s="409"/>
      <c r="U34" s="409"/>
      <c r="V34" s="409"/>
      <c r="W34" s="409"/>
      <c r="X34" s="409"/>
      <c r="Y34" s="409"/>
      <c r="Z34" s="409"/>
      <c r="AA34" s="409"/>
      <c r="AB34" s="409"/>
      <c r="AC34" s="409"/>
      <c r="AD34" s="1532"/>
      <c r="AE34" s="1532"/>
      <c r="AF34" s="1532"/>
      <c r="AG34" s="1532"/>
      <c r="AH34" s="1532"/>
      <c r="AI34" s="1532"/>
      <c r="AJ34" s="1532"/>
      <c r="AK34" s="1532"/>
      <c r="AL34" s="1532"/>
      <c r="AM34" s="1532"/>
      <c r="AN34" s="1532"/>
      <c r="AO34" s="1532"/>
      <c r="AP34" s="1532"/>
      <c r="AQ34" s="1532"/>
      <c r="AR34" s="1532"/>
    </row>
    <row r="35" spans="1:44" s="408" customFormat="1" ht="24" customHeight="1" thickBot="1">
      <c r="A35" s="2236" t="s">
        <v>152</v>
      </c>
      <c r="B35" s="2243" t="s">
        <v>17</v>
      </c>
      <c r="C35" s="2243"/>
      <c r="D35" s="2243"/>
      <c r="E35" s="2243"/>
      <c r="F35" s="2064"/>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row>
    <row r="36" spans="1:44" s="409" customFormat="1" ht="30" customHeight="1" thickBot="1">
      <c r="A36" s="2237"/>
      <c r="B36" s="2224" t="s">
        <v>1801</v>
      </c>
      <c r="C36" s="2225"/>
      <c r="D36" s="2225"/>
      <c r="E36" s="2225"/>
      <c r="F36" s="2064"/>
    </row>
    <row r="37" spans="1:44" s="409" customFormat="1" ht="18" customHeight="1">
      <c r="A37" s="2237"/>
      <c r="B37" s="2226" t="s">
        <v>1723</v>
      </c>
      <c r="C37" s="2227"/>
      <c r="D37" s="2227"/>
      <c r="E37" s="2228"/>
      <c r="F37" s="2060"/>
    </row>
    <row r="38" spans="1:44" s="409" customFormat="1" ht="18" customHeight="1">
      <c r="A38" s="2237"/>
      <c r="B38" s="2221" t="s">
        <v>1724</v>
      </c>
      <c r="C38" s="2222"/>
      <c r="D38" s="2222"/>
      <c r="E38" s="2223"/>
      <c r="F38" s="2060"/>
    </row>
    <row r="39" spans="1:44" s="409" customFormat="1" ht="18" customHeight="1">
      <c r="A39" s="2237"/>
      <c r="B39" s="2221" t="s">
        <v>1725</v>
      </c>
      <c r="C39" s="2222"/>
      <c r="D39" s="2222"/>
      <c r="E39" s="2223"/>
      <c r="F39" s="2060"/>
    </row>
    <row r="40" spans="1:44" s="409" customFormat="1" ht="18" customHeight="1">
      <c r="A40" s="2237"/>
      <c r="B40" s="2221" t="s">
        <v>1726</v>
      </c>
      <c r="C40" s="2222"/>
      <c r="D40" s="2222"/>
      <c r="E40" s="2223"/>
      <c r="F40" s="2060"/>
    </row>
    <row r="41" spans="1:44" s="409" customFormat="1" ht="18" customHeight="1" thickBot="1">
      <c r="A41" s="2237"/>
      <c r="B41" s="2233" t="s">
        <v>1727</v>
      </c>
      <c r="C41" s="2234"/>
      <c r="D41" s="2234"/>
      <c r="E41" s="2235"/>
      <c r="F41" s="2060"/>
    </row>
    <row r="42" spans="1:44" s="409" customFormat="1" ht="30" customHeight="1" thickBot="1">
      <c r="A42" s="2237"/>
      <c r="B42" s="2224" t="s">
        <v>1802</v>
      </c>
      <c r="C42" s="2225"/>
      <c r="D42" s="2225"/>
      <c r="E42" s="2225"/>
      <c r="F42" s="1030"/>
    </row>
    <row r="43" spans="1:44" s="409" customFormat="1" ht="18" customHeight="1" thickBot="1">
      <c r="A43" s="2237"/>
      <c r="B43" s="1550"/>
      <c r="C43" s="1542" t="s">
        <v>21</v>
      </c>
      <c r="D43" s="1545" t="s">
        <v>22</v>
      </c>
      <c r="E43" s="1546" t="s">
        <v>23</v>
      </c>
      <c r="F43" s="1030"/>
    </row>
    <row r="44" spans="1:44" s="409" customFormat="1" ht="18" customHeight="1">
      <c r="A44" s="2237"/>
      <c r="B44" s="1551" t="s">
        <v>1101</v>
      </c>
      <c r="C44" s="1089" t="s">
        <v>1093</v>
      </c>
      <c r="D44" s="1089" t="s">
        <v>1094</v>
      </c>
      <c r="E44" s="1090" t="s">
        <v>1095</v>
      </c>
      <c r="F44" s="1031">
        <v>0</v>
      </c>
    </row>
    <row r="45" spans="1:44" s="409" customFormat="1" ht="18" customHeight="1">
      <c r="A45" s="2237"/>
      <c r="B45" s="1547" t="s">
        <v>1102</v>
      </c>
      <c r="C45" s="1091" t="s">
        <v>131</v>
      </c>
      <c r="D45" s="1091" t="s">
        <v>134</v>
      </c>
      <c r="E45" s="1092" t="s">
        <v>133</v>
      </c>
      <c r="F45" s="1031">
        <v>0</v>
      </c>
    </row>
    <row r="46" spans="1:44" s="409" customFormat="1" ht="15" customHeight="1">
      <c r="A46" s="2237"/>
      <c r="B46" s="2260" t="s">
        <v>1103</v>
      </c>
      <c r="C46" s="2260"/>
      <c r="D46" s="2260"/>
      <c r="E46" s="2260"/>
      <c r="F46" s="1030"/>
    </row>
    <row r="47" spans="1:44" s="409" customFormat="1" ht="18" customHeight="1">
      <c r="A47" s="2237"/>
      <c r="B47" s="1547" t="s">
        <v>136</v>
      </c>
      <c r="C47" s="1093" t="s">
        <v>81</v>
      </c>
      <c r="D47" s="1093" t="s">
        <v>82</v>
      </c>
      <c r="E47" s="1094" t="s">
        <v>83</v>
      </c>
      <c r="F47" s="1031">
        <v>0</v>
      </c>
    </row>
    <row r="48" spans="1:44" s="409" customFormat="1" ht="18" customHeight="1">
      <c r="A48" s="2237"/>
      <c r="B48" s="1548" t="s">
        <v>135</v>
      </c>
      <c r="C48" s="1540" t="s">
        <v>1707</v>
      </c>
      <c r="D48" s="1540" t="s">
        <v>1708</v>
      </c>
      <c r="E48" s="1538" t="s">
        <v>1709</v>
      </c>
      <c r="F48" s="1031">
        <v>0</v>
      </c>
      <c r="G48" s="1530"/>
      <c r="H48" s="1530"/>
      <c r="I48" s="1530"/>
      <c r="J48" s="1530"/>
      <c r="K48" s="1530"/>
      <c r="L48" s="1530"/>
      <c r="M48" s="1530"/>
      <c r="N48" s="1530"/>
      <c r="O48" s="1530"/>
      <c r="P48" s="1530"/>
      <c r="Q48" s="1530"/>
      <c r="R48" s="1530"/>
      <c r="S48" s="1530"/>
      <c r="T48" s="1530"/>
      <c r="U48" s="1530"/>
      <c r="V48" s="1530"/>
      <c r="W48" s="1530"/>
      <c r="X48" s="1530"/>
      <c r="Y48" s="1530"/>
      <c r="Z48" s="1530"/>
      <c r="AA48" s="1530"/>
      <c r="AB48" s="1530"/>
      <c r="AC48" s="1530"/>
    </row>
    <row r="49" spans="1:43" s="409" customFormat="1" ht="18" customHeight="1" thickBot="1">
      <c r="A49" s="2237"/>
      <c r="B49" s="2239" t="s">
        <v>1420</v>
      </c>
      <c r="C49" s="2231"/>
      <c r="D49" s="2231"/>
      <c r="E49" s="2240"/>
      <c r="F49" s="2061">
        <f>SUM(F44:F48)</f>
        <v>0</v>
      </c>
      <c r="G49" s="1531"/>
    </row>
    <row r="50" spans="1:43" s="1041" customFormat="1" ht="21" customHeight="1" thickBot="1">
      <c r="A50" s="2238"/>
      <c r="B50" s="2219"/>
      <c r="C50" s="2220"/>
      <c r="D50" s="2220"/>
      <c r="E50" s="1095" t="s">
        <v>1304</v>
      </c>
      <c r="F50" s="2067">
        <f>F49/12</f>
        <v>0</v>
      </c>
      <c r="G50" s="409"/>
      <c r="H50" s="409"/>
      <c r="I50" s="409"/>
      <c r="J50" s="409"/>
      <c r="K50" s="409"/>
      <c r="L50" s="409"/>
      <c r="M50" s="409"/>
      <c r="N50" s="409"/>
      <c r="O50" s="409"/>
      <c r="P50" s="409"/>
      <c r="Q50" s="409"/>
      <c r="R50" s="409"/>
      <c r="S50" s="409"/>
      <c r="T50" s="409"/>
      <c r="U50" s="409"/>
      <c r="V50" s="409"/>
      <c r="W50" s="409"/>
      <c r="X50" s="409"/>
      <c r="Y50" s="409"/>
      <c r="Z50" s="409"/>
      <c r="AA50" s="409"/>
      <c r="AB50" s="409"/>
      <c r="AC50" s="409"/>
      <c r="AD50" s="1530"/>
      <c r="AE50" s="1530"/>
      <c r="AF50" s="1530"/>
      <c r="AG50" s="1530"/>
      <c r="AH50" s="1530"/>
      <c r="AI50" s="1530"/>
      <c r="AJ50" s="1530"/>
      <c r="AK50" s="1530"/>
      <c r="AL50" s="1530"/>
      <c r="AM50" s="1530"/>
      <c r="AN50" s="1530"/>
      <c r="AO50" s="1530"/>
      <c r="AP50" s="1530"/>
      <c r="AQ50" s="1530"/>
    </row>
    <row r="51" spans="1:43" s="408" customFormat="1" ht="24" customHeight="1" thickBot="1">
      <c r="A51" s="2236" t="s">
        <v>358</v>
      </c>
      <c r="B51" s="2229" t="s">
        <v>18</v>
      </c>
      <c r="C51" s="2230"/>
      <c r="D51" s="2230"/>
      <c r="E51" s="2230"/>
      <c r="F51" s="1030"/>
      <c r="G51" s="409"/>
      <c r="H51" s="409"/>
      <c r="I51" s="409"/>
      <c r="J51" s="409"/>
      <c r="K51" s="409"/>
      <c r="L51" s="409"/>
      <c r="M51" s="409"/>
      <c r="N51" s="409"/>
      <c r="O51" s="409"/>
      <c r="P51" s="409"/>
      <c r="Q51" s="409"/>
      <c r="R51" s="409"/>
      <c r="S51" s="409"/>
      <c r="T51" s="409"/>
      <c r="U51" s="409"/>
      <c r="V51" s="409"/>
      <c r="W51" s="409"/>
      <c r="X51" s="409"/>
      <c r="Y51" s="409"/>
      <c r="Z51" s="409"/>
      <c r="AA51" s="409"/>
      <c r="AB51" s="409"/>
      <c r="AC51" s="409"/>
      <c r="AD51" s="409"/>
      <c r="AE51" s="409"/>
      <c r="AF51" s="409"/>
      <c r="AG51" s="409"/>
      <c r="AH51" s="409"/>
      <c r="AI51" s="409"/>
      <c r="AJ51" s="409"/>
      <c r="AK51" s="409"/>
      <c r="AL51" s="409"/>
      <c r="AM51" s="409"/>
      <c r="AN51" s="409"/>
      <c r="AO51" s="409"/>
      <c r="AP51" s="409"/>
      <c r="AQ51" s="409"/>
    </row>
    <row r="52" spans="1:43" s="409" customFormat="1" ht="30" customHeight="1" thickBot="1">
      <c r="A52" s="2237"/>
      <c r="B52" s="2224" t="s">
        <v>1803</v>
      </c>
      <c r="C52" s="2225"/>
      <c r="D52" s="2225"/>
      <c r="E52" s="2225"/>
      <c r="F52" s="1030"/>
    </row>
    <row r="53" spans="1:43" s="409" customFormat="1" ht="18" customHeight="1">
      <c r="A53" s="2237"/>
      <c r="B53" s="2253" t="s">
        <v>1728</v>
      </c>
      <c r="C53" s="2254"/>
      <c r="D53" s="2254"/>
      <c r="E53" s="2254"/>
      <c r="F53" s="2060"/>
    </row>
    <row r="54" spans="1:43" s="409" customFormat="1" ht="18" customHeight="1">
      <c r="A54" s="2237"/>
      <c r="B54" s="2221" t="s">
        <v>1729</v>
      </c>
      <c r="C54" s="2222"/>
      <c r="D54" s="2222"/>
      <c r="E54" s="2223"/>
      <c r="F54" s="2060"/>
    </row>
    <row r="55" spans="1:43" s="409" customFormat="1" ht="18" customHeight="1">
      <c r="A55" s="2237"/>
      <c r="B55" s="2221" t="s">
        <v>1730</v>
      </c>
      <c r="C55" s="2222"/>
      <c r="D55" s="2222"/>
      <c r="E55" s="2223"/>
      <c r="F55" s="2060"/>
    </row>
    <row r="56" spans="1:43" s="409" customFormat="1" ht="18" customHeight="1" thickBot="1">
      <c r="A56" s="2237"/>
      <c r="B56" s="2233" t="s">
        <v>1731</v>
      </c>
      <c r="C56" s="2234"/>
      <c r="D56" s="2234"/>
      <c r="E56" s="2235"/>
      <c r="F56" s="2060"/>
    </row>
    <row r="57" spans="1:43" s="409" customFormat="1" ht="30" customHeight="1" thickBot="1">
      <c r="A57" s="2237"/>
      <c r="B57" s="2255" t="s">
        <v>1804</v>
      </c>
      <c r="C57" s="2256"/>
      <c r="D57" s="2256"/>
      <c r="E57" s="2256"/>
      <c r="F57" s="1030"/>
    </row>
    <row r="58" spans="1:43" s="409" customFormat="1" ht="18" customHeight="1" thickBot="1">
      <c r="A58" s="2237"/>
      <c r="B58" s="1550"/>
      <c r="C58" s="1542" t="s">
        <v>21</v>
      </c>
      <c r="D58" s="1545" t="s">
        <v>22</v>
      </c>
      <c r="E58" s="1546" t="s">
        <v>23</v>
      </c>
      <c r="F58" s="1030"/>
    </row>
    <row r="59" spans="1:43" s="409" customFormat="1" ht="18" customHeight="1">
      <c r="A59" s="2237"/>
      <c r="B59" s="1551" t="s">
        <v>1101</v>
      </c>
      <c r="C59" s="1089" t="s">
        <v>1098</v>
      </c>
      <c r="D59" s="1089" t="s">
        <v>1099</v>
      </c>
      <c r="E59" s="1090" t="s">
        <v>1100</v>
      </c>
      <c r="F59" s="1031">
        <v>0</v>
      </c>
    </row>
    <row r="60" spans="1:43" s="409" customFormat="1" ht="18" customHeight="1">
      <c r="A60" s="2237"/>
      <c r="B60" s="1547" t="s">
        <v>1102</v>
      </c>
      <c r="C60" s="1091" t="s">
        <v>131</v>
      </c>
      <c r="D60" s="1091" t="s">
        <v>134</v>
      </c>
      <c r="E60" s="1092" t="s">
        <v>133</v>
      </c>
      <c r="F60" s="1031">
        <v>0</v>
      </c>
    </row>
    <row r="61" spans="1:43" s="409" customFormat="1" ht="15" customHeight="1">
      <c r="A61" s="2237"/>
      <c r="B61" s="2260" t="s">
        <v>1103</v>
      </c>
      <c r="C61" s="2260"/>
      <c r="D61" s="2260"/>
      <c r="E61" s="2260"/>
      <c r="F61" s="1030"/>
    </row>
    <row r="62" spans="1:43" s="409" customFormat="1" ht="18" customHeight="1">
      <c r="A62" s="2237"/>
      <c r="B62" s="1547" t="s">
        <v>136</v>
      </c>
      <c r="C62" s="1093" t="s">
        <v>81</v>
      </c>
      <c r="D62" s="1093" t="s">
        <v>82</v>
      </c>
      <c r="E62" s="1094" t="s">
        <v>83</v>
      </c>
      <c r="F62" s="1031">
        <v>0</v>
      </c>
    </row>
    <row r="63" spans="1:43" s="409" customFormat="1" ht="18" customHeight="1">
      <c r="A63" s="2237"/>
      <c r="B63" s="1548" t="s">
        <v>135</v>
      </c>
      <c r="C63" s="1538" t="s">
        <v>1707</v>
      </c>
      <c r="D63" s="1537" t="s">
        <v>1708</v>
      </c>
      <c r="E63" s="1537" t="s">
        <v>1709</v>
      </c>
      <c r="F63" s="1031">
        <v>0</v>
      </c>
      <c r="G63" s="1530"/>
      <c r="H63" s="1530"/>
      <c r="I63" s="1530"/>
      <c r="J63" s="1530"/>
      <c r="K63" s="1530"/>
      <c r="L63" s="1530"/>
      <c r="M63" s="1530"/>
      <c r="N63" s="1530"/>
      <c r="O63" s="1530"/>
      <c r="P63" s="1530"/>
      <c r="Q63" s="1530"/>
      <c r="R63" s="1530"/>
      <c r="S63" s="1530"/>
      <c r="T63" s="1530"/>
      <c r="U63" s="1530"/>
      <c r="V63" s="1530"/>
      <c r="W63" s="1530"/>
      <c r="X63" s="1530"/>
      <c r="Y63" s="1530"/>
      <c r="Z63" s="1530"/>
      <c r="AA63" s="1530"/>
      <c r="AB63" s="1530"/>
      <c r="AC63" s="1530"/>
    </row>
    <row r="64" spans="1:43" s="409" customFormat="1" ht="18" customHeight="1" thickBot="1">
      <c r="A64" s="2237"/>
      <c r="B64" s="2239" t="s">
        <v>1420</v>
      </c>
      <c r="C64" s="2231"/>
      <c r="D64" s="2231"/>
      <c r="E64" s="2240"/>
      <c r="F64" s="2061">
        <f>SUM(F59:F63)</f>
        <v>0</v>
      </c>
    </row>
    <row r="65" spans="1:58" s="1041" customFormat="1" ht="21" customHeight="1" thickBot="1">
      <c r="A65" s="2238"/>
      <c r="B65" s="2219"/>
      <c r="C65" s="2220"/>
      <c r="D65" s="2220"/>
      <c r="E65" s="1095" t="s">
        <v>1304</v>
      </c>
      <c r="F65" s="2067">
        <f>F64/12</f>
        <v>0</v>
      </c>
      <c r="G65" s="409"/>
      <c r="H65" s="409"/>
      <c r="I65" s="409"/>
      <c r="J65" s="409"/>
      <c r="K65" s="409"/>
      <c r="L65" s="409"/>
      <c r="M65" s="409"/>
      <c r="N65" s="409"/>
      <c r="O65" s="409"/>
      <c r="P65" s="409"/>
      <c r="Q65" s="409"/>
      <c r="R65" s="409"/>
      <c r="S65" s="409"/>
      <c r="T65" s="409"/>
      <c r="U65" s="409"/>
      <c r="V65" s="409"/>
      <c r="W65" s="409"/>
      <c r="X65" s="409"/>
      <c r="Y65" s="409"/>
      <c r="Z65" s="409"/>
      <c r="AA65" s="409"/>
      <c r="AB65" s="409"/>
      <c r="AC65" s="409"/>
      <c r="AD65" s="1530"/>
      <c r="AE65" s="1530"/>
      <c r="AF65" s="1530"/>
      <c r="AG65" s="1530"/>
      <c r="AH65" s="1530"/>
      <c r="AI65" s="1530"/>
      <c r="AJ65" s="1530"/>
      <c r="AK65" s="1530"/>
      <c r="AL65" s="1530"/>
      <c r="AM65" s="1530"/>
      <c r="AN65" s="1530"/>
      <c r="AO65" s="1530"/>
      <c r="AP65" s="1530"/>
      <c r="AQ65" s="1530"/>
      <c r="AR65" s="1530"/>
      <c r="AS65" s="1530"/>
      <c r="AT65" s="1530"/>
      <c r="AU65" s="1530"/>
      <c r="AV65" s="1530"/>
      <c r="AW65" s="1530"/>
      <c r="AX65" s="1530"/>
      <c r="AY65" s="1530"/>
      <c r="AZ65" s="1530"/>
      <c r="BA65" s="1530"/>
      <c r="BB65" s="1530"/>
      <c r="BC65" s="1530"/>
      <c r="BD65" s="1530"/>
      <c r="BE65" s="1530"/>
    </row>
    <row r="66" spans="1:58" s="408" customFormat="1" ht="24" customHeight="1" thickBot="1">
      <c r="A66" s="2236" t="s">
        <v>3</v>
      </c>
      <c r="B66" s="2243" t="s">
        <v>38</v>
      </c>
      <c r="C66" s="2243"/>
      <c r="D66" s="2243"/>
      <c r="E66" s="2243"/>
      <c r="F66" s="2064"/>
      <c r="G66" s="409"/>
      <c r="H66" s="409"/>
      <c r="I66" s="409"/>
      <c r="J66" s="409"/>
      <c r="K66" s="409"/>
      <c r="L66" s="409"/>
      <c r="M66" s="409"/>
      <c r="N66" s="409"/>
      <c r="O66" s="409"/>
      <c r="P66" s="409"/>
      <c r="Q66" s="409"/>
      <c r="R66" s="409"/>
      <c r="S66" s="409"/>
      <c r="T66" s="409"/>
      <c r="U66" s="409"/>
      <c r="V66" s="409"/>
      <c r="W66" s="409"/>
      <c r="X66" s="409"/>
      <c r="Y66" s="409"/>
      <c r="Z66" s="409"/>
      <c r="AA66" s="409"/>
      <c r="AB66" s="409"/>
      <c r="AC66" s="409"/>
      <c r="AD66" s="409"/>
      <c r="AE66" s="409"/>
      <c r="AF66" s="409"/>
      <c r="AG66" s="409"/>
      <c r="AH66" s="409"/>
      <c r="AI66" s="409"/>
      <c r="AJ66" s="409"/>
      <c r="AK66" s="409"/>
      <c r="AL66" s="409"/>
      <c r="AM66" s="409"/>
      <c r="AN66" s="409"/>
      <c r="AO66" s="409"/>
      <c r="AP66" s="409"/>
      <c r="AQ66" s="409"/>
      <c r="AR66" s="409"/>
      <c r="AS66" s="409"/>
      <c r="AT66" s="409"/>
      <c r="AU66" s="409"/>
      <c r="AV66" s="409"/>
      <c r="AW66" s="409"/>
      <c r="AX66" s="409"/>
      <c r="AY66" s="409"/>
      <c r="AZ66" s="409"/>
      <c r="BA66" s="409"/>
      <c r="BB66" s="409"/>
      <c r="BC66" s="409"/>
      <c r="BD66" s="409"/>
      <c r="BE66" s="409"/>
    </row>
    <row r="67" spans="1:58" s="409" customFormat="1" ht="30" customHeight="1" thickBot="1">
      <c r="A67" s="2237"/>
      <c r="B67" s="2224" t="s">
        <v>1805</v>
      </c>
      <c r="C67" s="2247"/>
      <c r="D67" s="2247"/>
      <c r="E67" s="2247"/>
      <c r="F67" s="1030"/>
    </row>
    <row r="68" spans="1:58" s="409" customFormat="1" ht="18" customHeight="1">
      <c r="A68" s="2237"/>
      <c r="B68" s="2226" t="s">
        <v>1732</v>
      </c>
      <c r="C68" s="2227"/>
      <c r="D68" s="2227"/>
      <c r="E68" s="2228"/>
      <c r="F68" s="2060"/>
    </row>
    <row r="69" spans="1:58" s="409" customFormat="1" ht="18" customHeight="1">
      <c r="A69" s="2237"/>
      <c r="B69" s="2257" t="s">
        <v>1733</v>
      </c>
      <c r="C69" s="2258"/>
      <c r="D69" s="2258"/>
      <c r="E69" s="2259"/>
      <c r="F69" s="2060"/>
    </row>
    <row r="70" spans="1:58" s="409" customFormat="1" ht="18" customHeight="1">
      <c r="A70" s="2237"/>
      <c r="B70" s="2221" t="s">
        <v>1734</v>
      </c>
      <c r="C70" s="2222"/>
      <c r="D70" s="2222"/>
      <c r="E70" s="2223"/>
      <c r="F70" s="2060"/>
    </row>
    <row r="71" spans="1:58" s="409" customFormat="1" ht="18" customHeight="1" thickBot="1">
      <c r="A71" s="2237"/>
      <c r="B71" s="2233" t="s">
        <v>1735</v>
      </c>
      <c r="C71" s="2234"/>
      <c r="D71" s="2234"/>
      <c r="E71" s="2235"/>
      <c r="F71" s="2060"/>
    </row>
    <row r="72" spans="1:58" s="409" customFormat="1" ht="30" customHeight="1" thickBot="1">
      <c r="A72" s="2237"/>
      <c r="B72" s="2224" t="s">
        <v>1806</v>
      </c>
      <c r="C72" s="2225"/>
      <c r="D72" s="2225"/>
      <c r="E72" s="2225"/>
      <c r="F72" s="1030"/>
    </row>
    <row r="73" spans="1:58" s="409" customFormat="1" ht="18" customHeight="1" thickBot="1">
      <c r="A73" s="2237"/>
      <c r="B73" s="1550"/>
      <c r="C73" s="1542" t="s">
        <v>21</v>
      </c>
      <c r="D73" s="1545" t="s">
        <v>22</v>
      </c>
      <c r="E73" s="1546" t="s">
        <v>23</v>
      </c>
      <c r="F73" s="1030"/>
    </row>
    <row r="74" spans="1:58" s="409" customFormat="1" ht="18" customHeight="1">
      <c r="A74" s="2237"/>
      <c r="B74" s="1551" t="s">
        <v>1104</v>
      </c>
      <c r="C74" s="1089" t="s">
        <v>1105</v>
      </c>
      <c r="D74" s="1089" t="s">
        <v>1106</v>
      </c>
      <c r="E74" s="1096" t="s">
        <v>1107</v>
      </c>
      <c r="F74" s="1031">
        <v>0</v>
      </c>
    </row>
    <row r="75" spans="1:58" s="409" customFormat="1" ht="18" customHeight="1">
      <c r="A75" s="2237"/>
      <c r="B75" s="1547" t="s">
        <v>156</v>
      </c>
      <c r="C75" s="1091" t="s">
        <v>131</v>
      </c>
      <c r="D75" s="1091" t="s">
        <v>132</v>
      </c>
      <c r="E75" s="1092" t="s">
        <v>133</v>
      </c>
      <c r="F75" s="1031">
        <v>0</v>
      </c>
    </row>
    <row r="76" spans="1:58" s="409" customFormat="1" ht="15" customHeight="1">
      <c r="A76" s="2237"/>
      <c r="B76" s="2260" t="s">
        <v>1108</v>
      </c>
      <c r="C76" s="2260"/>
      <c r="D76" s="2260"/>
      <c r="E76" s="2260"/>
      <c r="F76" s="1030"/>
    </row>
    <row r="77" spans="1:58" s="409" customFormat="1" ht="18" customHeight="1">
      <c r="A77" s="2237"/>
      <c r="B77" s="1547" t="s">
        <v>363</v>
      </c>
      <c r="C77" s="1093" t="s">
        <v>157</v>
      </c>
      <c r="D77" s="1093" t="s">
        <v>158</v>
      </c>
      <c r="E77" s="1094" t="s">
        <v>159</v>
      </c>
      <c r="F77" s="1031">
        <v>0</v>
      </c>
    </row>
    <row r="78" spans="1:58" s="409" customFormat="1" ht="18" customHeight="1">
      <c r="A78" s="2237"/>
      <c r="B78" s="1547" t="s">
        <v>364</v>
      </c>
      <c r="C78" s="1093" t="s">
        <v>84</v>
      </c>
      <c r="D78" s="1093" t="s">
        <v>160</v>
      </c>
      <c r="E78" s="1094" t="s">
        <v>85</v>
      </c>
      <c r="F78" s="1031">
        <v>0</v>
      </c>
      <c r="G78" s="1529"/>
      <c r="H78" s="1530"/>
      <c r="I78" s="1530"/>
      <c r="J78" s="1530"/>
      <c r="K78" s="1530"/>
      <c r="L78" s="1530"/>
      <c r="M78" s="1530"/>
      <c r="N78" s="1530"/>
      <c r="O78" s="1530"/>
      <c r="P78" s="1530"/>
      <c r="Q78" s="1530"/>
      <c r="R78" s="1530"/>
      <c r="S78" s="1530"/>
      <c r="T78" s="1530"/>
      <c r="U78" s="1530"/>
      <c r="V78" s="1530"/>
      <c r="W78" s="1530"/>
      <c r="X78" s="1530"/>
      <c r="Y78" s="1530"/>
      <c r="Z78" s="1530"/>
      <c r="AA78" s="1530"/>
      <c r="AB78" s="1530"/>
      <c r="AC78" s="1530"/>
    </row>
    <row r="79" spans="1:58" s="409" customFormat="1" ht="18" customHeight="1" thickBot="1">
      <c r="A79" s="2237"/>
      <c r="B79" s="2239" t="s">
        <v>1420</v>
      </c>
      <c r="C79" s="2231"/>
      <c r="D79" s="2231"/>
      <c r="E79" s="2240"/>
      <c r="F79" s="2061">
        <f>SUM(F74:F78)</f>
        <v>0</v>
      </c>
    </row>
    <row r="80" spans="1:58" s="1041" customFormat="1" ht="21" customHeight="1" thickBot="1">
      <c r="A80" s="2238"/>
      <c r="B80" s="2219"/>
      <c r="C80" s="2220"/>
      <c r="D80" s="2220"/>
      <c r="E80" s="1095" t="s">
        <v>1304</v>
      </c>
      <c r="F80" s="2067">
        <f>F79/12</f>
        <v>0</v>
      </c>
      <c r="G80" s="409"/>
      <c r="H80" s="409"/>
      <c r="I80" s="409"/>
      <c r="J80" s="409"/>
      <c r="K80" s="409"/>
      <c r="L80" s="409"/>
      <c r="M80" s="409"/>
      <c r="N80" s="409"/>
      <c r="O80" s="409"/>
      <c r="P80" s="409"/>
      <c r="Q80" s="409"/>
      <c r="R80" s="409"/>
      <c r="S80" s="409"/>
      <c r="T80" s="409"/>
      <c r="U80" s="409"/>
      <c r="V80" s="409"/>
      <c r="W80" s="409"/>
      <c r="X80" s="409"/>
      <c r="Y80" s="409"/>
      <c r="Z80" s="409"/>
      <c r="AA80" s="409"/>
      <c r="AB80" s="409"/>
      <c r="AC80" s="409"/>
      <c r="AD80" s="1530"/>
      <c r="AE80" s="1530"/>
      <c r="AF80" s="1530"/>
      <c r="AG80" s="1530"/>
      <c r="AH80" s="1530"/>
      <c r="AI80" s="1530"/>
      <c r="AJ80" s="1530"/>
      <c r="AK80" s="1530"/>
      <c r="AL80" s="1530"/>
      <c r="AM80" s="1530"/>
      <c r="AN80" s="1530"/>
      <c r="AO80" s="1530"/>
      <c r="AP80" s="1530"/>
      <c r="AQ80" s="1530"/>
      <c r="AR80" s="1530"/>
      <c r="AS80" s="1530"/>
      <c r="AT80" s="1530"/>
      <c r="AU80" s="1530"/>
      <c r="AV80" s="1530"/>
      <c r="AW80" s="1530"/>
      <c r="AX80" s="1530"/>
      <c r="AY80" s="1530"/>
      <c r="AZ80" s="1530"/>
      <c r="BA80" s="1530"/>
      <c r="BB80" s="1530"/>
      <c r="BC80" s="1530"/>
      <c r="BD80" s="1530"/>
      <c r="BE80" s="1530"/>
      <c r="BF80" s="1530"/>
    </row>
    <row r="81" spans="1:58" s="408" customFormat="1" ht="24" customHeight="1" thickBot="1">
      <c r="A81" s="2279" t="s">
        <v>118</v>
      </c>
      <c r="B81" s="2229" t="s">
        <v>1119</v>
      </c>
      <c r="C81" s="2246"/>
      <c r="D81" s="2246"/>
      <c r="E81" s="2246"/>
      <c r="F81" s="1030"/>
      <c r="G81" s="409"/>
      <c r="H81" s="409"/>
      <c r="I81" s="409"/>
      <c r="J81" s="409"/>
      <c r="K81" s="409"/>
      <c r="L81" s="409"/>
      <c r="M81" s="409"/>
      <c r="N81" s="409"/>
      <c r="O81" s="409"/>
      <c r="P81" s="409"/>
      <c r="Q81" s="409"/>
      <c r="R81" s="409"/>
      <c r="S81" s="409"/>
      <c r="T81" s="409"/>
      <c r="U81" s="409"/>
      <c r="V81" s="409"/>
      <c r="W81" s="409"/>
      <c r="X81" s="409"/>
      <c r="Y81" s="409"/>
      <c r="Z81" s="409"/>
      <c r="AA81" s="409"/>
      <c r="AB81" s="409"/>
      <c r="AC81" s="409"/>
      <c r="AD81" s="409"/>
      <c r="AE81" s="409"/>
      <c r="AF81" s="409"/>
      <c r="AG81" s="409"/>
      <c r="AH81" s="409"/>
      <c r="AI81" s="409"/>
      <c r="AJ81" s="409"/>
      <c r="AK81" s="409"/>
      <c r="AL81" s="409"/>
      <c r="AM81" s="409"/>
      <c r="AN81" s="409"/>
      <c r="AO81" s="409"/>
      <c r="AP81" s="409"/>
      <c r="AQ81" s="409"/>
      <c r="AR81" s="409"/>
      <c r="AS81" s="409"/>
      <c r="AT81" s="409"/>
      <c r="AU81" s="409"/>
      <c r="AV81" s="409"/>
      <c r="AW81" s="409"/>
      <c r="AX81" s="409"/>
      <c r="AY81" s="409"/>
      <c r="AZ81" s="409"/>
      <c r="BA81" s="409"/>
      <c r="BB81" s="409"/>
      <c r="BC81" s="409"/>
      <c r="BD81" s="409"/>
      <c r="BE81" s="409"/>
      <c r="BF81" s="409"/>
    </row>
    <row r="82" spans="1:58" s="409" customFormat="1" ht="21" customHeight="1" thickBot="1">
      <c r="A82" s="2280"/>
      <c r="B82" s="2224" t="s">
        <v>2854</v>
      </c>
      <c r="C82" s="2225"/>
      <c r="D82" s="2225"/>
      <c r="E82" s="2225"/>
      <c r="F82" s="1030"/>
    </row>
    <row r="83" spans="1:58" s="409" customFormat="1" ht="18" customHeight="1">
      <c r="A83" s="2280"/>
      <c r="B83" s="2226" t="s">
        <v>1736</v>
      </c>
      <c r="C83" s="2227"/>
      <c r="D83" s="2227"/>
      <c r="E83" s="2228"/>
      <c r="F83" s="2060"/>
    </row>
    <row r="84" spans="1:58" s="409" customFormat="1" ht="34.799999999999997" customHeight="1">
      <c r="A84" s="2280"/>
      <c r="B84" s="2221" t="s">
        <v>2425</v>
      </c>
      <c r="C84" s="2222"/>
      <c r="D84" s="2222"/>
      <c r="E84" s="2223"/>
      <c r="F84" s="2060"/>
    </row>
    <row r="85" spans="1:58" s="409" customFormat="1" ht="18" customHeight="1">
      <c r="A85" s="2280"/>
      <c r="B85" s="2221" t="s">
        <v>2236</v>
      </c>
      <c r="C85" s="2222"/>
      <c r="D85" s="2222"/>
      <c r="E85" s="2223"/>
      <c r="F85" s="2060"/>
    </row>
    <row r="86" spans="1:58" s="409" customFormat="1" ht="18" customHeight="1" thickBot="1">
      <c r="A86" s="2280"/>
      <c r="B86" s="2233" t="s">
        <v>1737</v>
      </c>
      <c r="C86" s="2234"/>
      <c r="D86" s="2234"/>
      <c r="E86" s="2235"/>
      <c r="F86" s="2060"/>
    </row>
    <row r="87" spans="1:58" s="409" customFormat="1" ht="30" customHeight="1" thickBot="1">
      <c r="A87" s="2280"/>
      <c r="B87" s="2224" t="s">
        <v>1807</v>
      </c>
      <c r="C87" s="2225"/>
      <c r="D87" s="2225"/>
      <c r="E87" s="2225"/>
      <c r="F87" s="1030"/>
      <c r="G87" s="410"/>
      <c r="H87" s="410"/>
      <c r="I87" s="410"/>
      <c r="J87" s="410"/>
      <c r="K87" s="410"/>
      <c r="L87" s="410"/>
      <c r="M87" s="410"/>
      <c r="N87" s="410"/>
      <c r="O87" s="410"/>
      <c r="P87" s="410"/>
      <c r="Q87" s="410"/>
      <c r="R87" s="410"/>
      <c r="S87" s="410"/>
      <c r="T87" s="410"/>
      <c r="U87" s="410"/>
      <c r="V87" s="410"/>
      <c r="W87" s="410"/>
      <c r="X87" s="410"/>
      <c r="Y87" s="410"/>
      <c r="Z87" s="410"/>
      <c r="AA87" s="410"/>
      <c r="AB87" s="410"/>
      <c r="AC87" s="410"/>
    </row>
    <row r="88" spans="1:58" s="409" customFormat="1" ht="18" customHeight="1" thickBot="1">
      <c r="A88" s="2280"/>
      <c r="B88" s="1550"/>
      <c r="C88" s="1542" t="s">
        <v>21</v>
      </c>
      <c r="D88" s="1545" t="s">
        <v>22</v>
      </c>
      <c r="E88" s="1546" t="s">
        <v>23</v>
      </c>
      <c r="F88" s="1030"/>
      <c r="G88" s="410"/>
      <c r="H88" s="410"/>
      <c r="I88" s="410"/>
      <c r="J88" s="410"/>
      <c r="K88" s="410"/>
      <c r="L88" s="410"/>
      <c r="M88" s="410"/>
      <c r="N88" s="410"/>
      <c r="O88" s="410"/>
      <c r="P88" s="410"/>
      <c r="Q88" s="410"/>
      <c r="R88" s="410"/>
      <c r="S88" s="410"/>
      <c r="T88" s="410"/>
      <c r="U88" s="410"/>
      <c r="V88" s="410"/>
      <c r="W88" s="410"/>
      <c r="X88" s="410"/>
      <c r="Y88" s="410"/>
      <c r="Z88" s="410"/>
      <c r="AA88" s="410"/>
      <c r="AB88" s="410"/>
      <c r="AC88" s="410"/>
    </row>
    <row r="89" spans="1:58" s="410" customFormat="1" ht="18" customHeight="1">
      <c r="A89" s="2280"/>
      <c r="B89" s="1551" t="s">
        <v>86</v>
      </c>
      <c r="C89" s="1093" t="s">
        <v>144</v>
      </c>
      <c r="D89" s="1093" t="s">
        <v>87</v>
      </c>
      <c r="E89" s="1094" t="s">
        <v>88</v>
      </c>
      <c r="F89" s="2065">
        <v>0</v>
      </c>
    </row>
    <row r="90" spans="1:58" s="410" customFormat="1" ht="18" customHeight="1">
      <c r="A90" s="2280"/>
      <c r="B90" s="1547" t="s">
        <v>89</v>
      </c>
      <c r="C90" s="1093" t="s">
        <v>146</v>
      </c>
      <c r="D90" s="1093" t="s">
        <v>145</v>
      </c>
      <c r="E90" s="1094" t="s">
        <v>147</v>
      </c>
      <c r="F90" s="2065">
        <v>0</v>
      </c>
    </row>
    <row r="91" spans="1:58" s="410" customFormat="1" ht="18" customHeight="1">
      <c r="A91" s="2280"/>
      <c r="B91" s="1548" t="s">
        <v>90</v>
      </c>
      <c r="C91" s="1540" t="s">
        <v>1710</v>
      </c>
      <c r="D91" s="1538" t="s">
        <v>1711</v>
      </c>
      <c r="E91" s="1537" t="s">
        <v>1712</v>
      </c>
      <c r="F91" s="2065">
        <v>0</v>
      </c>
      <c r="G91" s="1530"/>
      <c r="H91" s="1530"/>
      <c r="I91" s="1530"/>
      <c r="J91" s="1530"/>
      <c r="K91" s="1530"/>
      <c r="L91" s="1530"/>
      <c r="M91" s="1530"/>
      <c r="N91" s="1530"/>
      <c r="O91" s="1530"/>
      <c r="P91" s="1530"/>
      <c r="Q91" s="1530"/>
      <c r="R91" s="1530"/>
      <c r="S91" s="1530"/>
      <c r="T91" s="1530"/>
      <c r="U91" s="1530"/>
      <c r="V91" s="1530"/>
      <c r="W91" s="1530"/>
      <c r="X91" s="1530"/>
      <c r="Y91" s="1530"/>
      <c r="Z91" s="1530"/>
      <c r="AA91" s="1530"/>
      <c r="AB91" s="1530"/>
      <c r="AC91" s="1530"/>
    </row>
    <row r="92" spans="1:58" s="410" customFormat="1" ht="18" customHeight="1" thickBot="1">
      <c r="A92" s="2280"/>
      <c r="B92" s="2239" t="s">
        <v>1420</v>
      </c>
      <c r="C92" s="2231"/>
      <c r="D92" s="2231"/>
      <c r="E92" s="2240"/>
      <c r="F92" s="2061">
        <f>SUM(F89:F91)</f>
        <v>0</v>
      </c>
      <c r="G92" s="409"/>
      <c r="H92" s="409"/>
      <c r="I92" s="409"/>
      <c r="J92" s="409"/>
      <c r="K92" s="409"/>
      <c r="L92" s="409"/>
      <c r="M92" s="409"/>
      <c r="N92" s="409"/>
      <c r="O92" s="409"/>
      <c r="P92" s="409"/>
      <c r="Q92" s="409"/>
      <c r="R92" s="409"/>
      <c r="S92" s="409"/>
      <c r="T92" s="409"/>
      <c r="U92" s="409"/>
      <c r="V92" s="409"/>
      <c r="W92" s="409"/>
      <c r="X92" s="409"/>
      <c r="Y92" s="409"/>
      <c r="Z92" s="409"/>
      <c r="AA92" s="409"/>
      <c r="AB92" s="409"/>
      <c r="AC92" s="409"/>
    </row>
    <row r="93" spans="1:58" s="1041" customFormat="1" ht="21" customHeight="1" thickBot="1">
      <c r="A93" s="2281"/>
      <c r="B93" s="2219"/>
      <c r="C93" s="2220"/>
      <c r="D93" s="2220"/>
      <c r="E93" s="1095" t="s">
        <v>1304</v>
      </c>
      <c r="F93" s="2067">
        <f>F92/9</f>
        <v>0</v>
      </c>
      <c r="G93" s="409"/>
      <c r="H93" s="409"/>
      <c r="I93" s="409"/>
      <c r="J93" s="409"/>
      <c r="K93" s="409"/>
      <c r="L93" s="409"/>
      <c r="M93" s="409"/>
      <c r="N93" s="409"/>
      <c r="O93" s="409"/>
      <c r="P93" s="409"/>
      <c r="Q93" s="409"/>
      <c r="R93" s="409"/>
      <c r="S93" s="409"/>
      <c r="T93" s="409"/>
      <c r="U93" s="409"/>
      <c r="V93" s="409"/>
      <c r="W93" s="409"/>
      <c r="X93" s="409"/>
      <c r="Y93" s="409"/>
      <c r="Z93" s="409"/>
      <c r="AA93" s="409"/>
      <c r="AB93" s="409"/>
      <c r="AC93" s="409"/>
      <c r="AD93" s="1530"/>
      <c r="AE93" s="1530"/>
      <c r="AF93" s="1530"/>
      <c r="AG93" s="1530"/>
      <c r="AH93" s="1530"/>
      <c r="AI93" s="1530"/>
      <c r="AJ93" s="1530"/>
      <c r="AK93" s="1530"/>
      <c r="AL93" s="1530"/>
      <c r="AM93" s="1530"/>
      <c r="AN93" s="1530"/>
      <c r="AO93" s="1530"/>
      <c r="AP93" s="1530"/>
      <c r="AQ93" s="1530"/>
      <c r="AR93" s="1530"/>
      <c r="AS93" s="1530"/>
      <c r="AT93" s="1530"/>
      <c r="AU93" s="1530"/>
      <c r="AV93" s="1530"/>
      <c r="AW93" s="1530"/>
      <c r="AX93" s="1530"/>
      <c r="AY93" s="1530"/>
      <c r="AZ93" s="1530"/>
      <c r="BA93" s="1530"/>
    </row>
    <row r="94" spans="1:58" s="408" customFormat="1" ht="24" customHeight="1" thickBot="1">
      <c r="A94" s="2236" t="s">
        <v>119</v>
      </c>
      <c r="B94" s="2229" t="s">
        <v>1120</v>
      </c>
      <c r="C94" s="2246"/>
      <c r="D94" s="2246"/>
      <c r="E94" s="2246"/>
      <c r="F94" s="2064"/>
      <c r="G94" s="409"/>
      <c r="H94" s="409"/>
      <c r="I94" s="409"/>
      <c r="J94" s="409"/>
      <c r="K94" s="409"/>
      <c r="L94" s="409"/>
      <c r="M94" s="409"/>
      <c r="N94" s="409"/>
      <c r="O94" s="409"/>
      <c r="P94" s="409"/>
      <c r="Q94" s="409"/>
      <c r="R94" s="409"/>
      <c r="S94" s="409"/>
      <c r="T94" s="409"/>
      <c r="U94" s="409"/>
      <c r="V94" s="409"/>
      <c r="W94" s="409"/>
      <c r="X94" s="409"/>
      <c r="Y94" s="409"/>
      <c r="Z94" s="409"/>
      <c r="AA94" s="409"/>
      <c r="AB94" s="409"/>
      <c r="AC94" s="409"/>
      <c r="AD94" s="409"/>
      <c r="AE94" s="409"/>
      <c r="AF94" s="409"/>
      <c r="AG94" s="409"/>
      <c r="AH94" s="409"/>
      <c r="AI94" s="409"/>
      <c r="AJ94" s="409"/>
      <c r="AK94" s="409"/>
      <c r="AL94" s="409"/>
      <c r="AM94" s="409"/>
      <c r="AN94" s="409"/>
      <c r="AO94" s="409"/>
      <c r="AP94" s="409"/>
      <c r="AQ94" s="409"/>
      <c r="AR94" s="409"/>
      <c r="AS94" s="409"/>
      <c r="AT94" s="409"/>
      <c r="AU94" s="409"/>
      <c r="AV94" s="409"/>
      <c r="AW94" s="409"/>
      <c r="AX94" s="409"/>
      <c r="AY94" s="409"/>
      <c r="AZ94" s="409"/>
      <c r="BA94" s="409"/>
    </row>
    <row r="95" spans="1:58" s="409" customFormat="1" ht="21" customHeight="1" thickBot="1">
      <c r="A95" s="2237"/>
      <c r="B95" s="2224" t="s">
        <v>2855</v>
      </c>
      <c r="C95" s="2225"/>
      <c r="D95" s="2225"/>
      <c r="E95" s="2225"/>
      <c r="F95" s="1030"/>
    </row>
    <row r="96" spans="1:58" s="409" customFormat="1" ht="18" customHeight="1">
      <c r="A96" s="2237"/>
      <c r="B96" s="2226" t="s">
        <v>1738</v>
      </c>
      <c r="C96" s="2227"/>
      <c r="D96" s="2227"/>
      <c r="E96" s="2228"/>
      <c r="F96" s="2060"/>
    </row>
    <row r="97" spans="1:32" s="409" customFormat="1" ht="18" customHeight="1">
      <c r="A97" s="2237"/>
      <c r="B97" s="2221" t="s">
        <v>1739</v>
      </c>
      <c r="C97" s="2222"/>
      <c r="D97" s="2222"/>
      <c r="E97" s="2223"/>
      <c r="F97" s="2060"/>
    </row>
    <row r="98" spans="1:32" s="409" customFormat="1" ht="18" customHeight="1">
      <c r="A98" s="2237"/>
      <c r="B98" s="2221" t="s">
        <v>1740</v>
      </c>
      <c r="C98" s="2222"/>
      <c r="D98" s="2222"/>
      <c r="E98" s="2223"/>
      <c r="F98" s="2060"/>
    </row>
    <row r="99" spans="1:32" s="409" customFormat="1" ht="18" customHeight="1" thickBot="1">
      <c r="A99" s="2237"/>
      <c r="B99" s="2233" t="s">
        <v>1741</v>
      </c>
      <c r="C99" s="2234"/>
      <c r="D99" s="2234"/>
      <c r="E99" s="2235"/>
      <c r="F99" s="2060"/>
    </row>
    <row r="100" spans="1:32" s="409" customFormat="1" ht="30" customHeight="1" thickBot="1">
      <c r="A100" s="2237"/>
      <c r="B100" s="2224" t="s">
        <v>1808</v>
      </c>
      <c r="C100" s="2225"/>
      <c r="D100" s="2225"/>
      <c r="E100" s="2225"/>
      <c r="F100" s="1030"/>
    </row>
    <row r="101" spans="1:32" s="409" customFormat="1" ht="18" customHeight="1" thickBot="1">
      <c r="A101" s="2237"/>
      <c r="B101" s="1550"/>
      <c r="C101" s="1542" t="s">
        <v>21</v>
      </c>
      <c r="D101" s="1545" t="s">
        <v>22</v>
      </c>
      <c r="E101" s="1546" t="s">
        <v>23</v>
      </c>
      <c r="F101" s="1030"/>
    </row>
    <row r="102" spans="1:32" s="409" customFormat="1" ht="30" customHeight="1">
      <c r="A102" s="2237"/>
      <c r="B102" s="1551" t="s">
        <v>1121</v>
      </c>
      <c r="C102" s="1089" t="s">
        <v>1122</v>
      </c>
      <c r="D102" s="1089" t="s">
        <v>1123</v>
      </c>
      <c r="E102" s="1096" t="s">
        <v>1124</v>
      </c>
      <c r="F102" s="2065">
        <v>0</v>
      </c>
    </row>
    <row r="103" spans="1:32" s="409" customFormat="1" ht="18" customHeight="1">
      <c r="A103" s="2237"/>
      <c r="B103" s="1547" t="s">
        <v>89</v>
      </c>
      <c r="C103" s="1093" t="s">
        <v>146</v>
      </c>
      <c r="D103" s="1093" t="s">
        <v>145</v>
      </c>
      <c r="E103" s="1094" t="s">
        <v>147</v>
      </c>
      <c r="F103" s="2065">
        <v>0</v>
      </c>
    </row>
    <row r="104" spans="1:32" s="409" customFormat="1" ht="18" customHeight="1">
      <c r="A104" s="2237"/>
      <c r="B104" s="1547" t="s">
        <v>90</v>
      </c>
      <c r="C104" s="1537" t="s">
        <v>1710</v>
      </c>
      <c r="D104" s="1537" t="s">
        <v>1711</v>
      </c>
      <c r="E104" s="1537" t="s">
        <v>1712</v>
      </c>
      <c r="F104" s="2065">
        <v>0</v>
      </c>
      <c r="G104" s="1529"/>
      <c r="H104" s="1530"/>
      <c r="I104" s="1530"/>
      <c r="J104" s="1530"/>
      <c r="K104" s="1530"/>
      <c r="L104" s="1530"/>
      <c r="M104" s="1530"/>
      <c r="N104" s="1530"/>
      <c r="O104" s="1530"/>
      <c r="P104" s="1530"/>
      <c r="Q104" s="1530"/>
      <c r="R104" s="1530"/>
      <c r="S104" s="1530"/>
      <c r="T104" s="1530"/>
      <c r="U104" s="1530"/>
      <c r="V104" s="1530"/>
      <c r="W104" s="1530"/>
      <c r="X104" s="1530"/>
      <c r="Y104" s="1530"/>
      <c r="Z104" s="1530"/>
      <c r="AA104" s="1530"/>
      <c r="AB104" s="1530"/>
      <c r="AC104" s="1530"/>
    </row>
    <row r="105" spans="1:32" s="409" customFormat="1" ht="18" customHeight="1" thickBot="1">
      <c r="A105" s="2237"/>
      <c r="B105" s="2231" t="s">
        <v>1420</v>
      </c>
      <c r="C105" s="2241"/>
      <c r="D105" s="2241"/>
      <c r="E105" s="2242"/>
      <c r="F105" s="2061">
        <f>SUM(F102:F104)</f>
        <v>0</v>
      </c>
    </row>
    <row r="106" spans="1:32" s="1041" customFormat="1" ht="21" customHeight="1" thickBot="1">
      <c r="A106" s="2238"/>
      <c r="B106" s="2219"/>
      <c r="C106" s="2220"/>
      <c r="D106" s="2220"/>
      <c r="E106" s="1095" t="s">
        <v>1304</v>
      </c>
      <c r="F106" s="2067">
        <f>F105/9</f>
        <v>0</v>
      </c>
      <c r="G106" s="409"/>
      <c r="H106" s="409"/>
      <c r="I106" s="409"/>
      <c r="J106" s="409"/>
      <c r="K106" s="409"/>
      <c r="L106" s="409"/>
      <c r="M106" s="409"/>
      <c r="N106" s="409"/>
      <c r="O106" s="409"/>
      <c r="P106" s="409"/>
      <c r="Q106" s="409"/>
      <c r="R106" s="409"/>
      <c r="S106" s="409"/>
      <c r="T106" s="409"/>
      <c r="U106" s="409"/>
      <c r="V106" s="409"/>
      <c r="W106" s="409"/>
      <c r="X106" s="409"/>
      <c r="Y106" s="409"/>
      <c r="Z106" s="409"/>
      <c r="AA106" s="409"/>
      <c r="AB106" s="409"/>
      <c r="AC106" s="409"/>
      <c r="AD106" s="1530"/>
      <c r="AE106" s="1530"/>
      <c r="AF106" s="1530"/>
    </row>
    <row r="107" spans="1:32" s="408" customFormat="1" ht="24" customHeight="1" thickBot="1">
      <c r="A107" s="2236" t="s">
        <v>77</v>
      </c>
      <c r="B107" s="2229" t="s">
        <v>564</v>
      </c>
      <c r="C107" s="2230"/>
      <c r="D107" s="2230"/>
      <c r="E107" s="2230"/>
      <c r="F107" s="1030"/>
      <c r="G107" s="409"/>
      <c r="H107" s="409"/>
      <c r="I107" s="409"/>
      <c r="J107" s="409"/>
      <c r="K107" s="409"/>
      <c r="L107" s="409"/>
      <c r="M107" s="409"/>
      <c r="N107" s="409"/>
      <c r="O107" s="409"/>
      <c r="P107" s="409"/>
      <c r="Q107" s="409"/>
      <c r="R107" s="409"/>
      <c r="S107" s="409"/>
      <c r="T107" s="409"/>
      <c r="U107" s="409"/>
      <c r="V107" s="409"/>
      <c r="W107" s="409"/>
      <c r="X107" s="409"/>
      <c r="Y107" s="409"/>
      <c r="Z107" s="409"/>
      <c r="AA107" s="409"/>
      <c r="AB107" s="409"/>
      <c r="AC107" s="409"/>
      <c r="AD107" s="409"/>
      <c r="AE107" s="409"/>
      <c r="AF107" s="409"/>
    </row>
    <row r="108" spans="1:32" s="409" customFormat="1" ht="21" customHeight="1" thickBot="1">
      <c r="A108" s="2237"/>
      <c r="B108" s="2224" t="s">
        <v>2856</v>
      </c>
      <c r="C108" s="2225"/>
      <c r="D108" s="2225"/>
      <c r="E108" s="2225"/>
      <c r="F108" s="1030"/>
    </row>
    <row r="109" spans="1:32" s="409" customFormat="1" ht="18" customHeight="1">
      <c r="A109" s="2237"/>
      <c r="B109" s="2226" t="s">
        <v>1742</v>
      </c>
      <c r="C109" s="2227"/>
      <c r="D109" s="2227"/>
      <c r="E109" s="2228"/>
      <c r="F109" s="2060"/>
    </row>
    <row r="110" spans="1:32" s="409" customFormat="1" ht="18" customHeight="1">
      <c r="A110" s="2237"/>
      <c r="B110" s="2221" t="s">
        <v>1743</v>
      </c>
      <c r="C110" s="2222"/>
      <c r="D110" s="2222"/>
      <c r="E110" s="2223"/>
      <c r="F110" s="2060"/>
    </row>
    <row r="111" spans="1:32" s="409" customFormat="1" ht="18" customHeight="1">
      <c r="A111" s="2237"/>
      <c r="B111" s="2221" t="s">
        <v>1744</v>
      </c>
      <c r="C111" s="2222"/>
      <c r="D111" s="2222"/>
      <c r="E111" s="2223"/>
      <c r="F111" s="2060"/>
    </row>
    <row r="112" spans="1:32" s="409" customFormat="1" ht="18" customHeight="1">
      <c r="A112" s="2237"/>
      <c r="B112" s="2221" t="s">
        <v>1745</v>
      </c>
      <c r="C112" s="2222"/>
      <c r="D112" s="2222"/>
      <c r="E112" s="2223"/>
      <c r="F112" s="2060"/>
    </row>
    <row r="113" spans="1:29" s="409" customFormat="1" ht="18" customHeight="1">
      <c r="A113" s="2237"/>
      <c r="B113" s="2221" t="s">
        <v>1746</v>
      </c>
      <c r="C113" s="2222"/>
      <c r="D113" s="2222"/>
      <c r="E113" s="2223"/>
      <c r="F113" s="2060"/>
    </row>
    <row r="114" spans="1:29" s="409" customFormat="1" ht="18" customHeight="1">
      <c r="A114" s="2237"/>
      <c r="B114" s="2221" t="s">
        <v>1747</v>
      </c>
      <c r="C114" s="2222"/>
      <c r="D114" s="2222"/>
      <c r="E114" s="2223"/>
      <c r="F114" s="2060"/>
    </row>
    <row r="115" spans="1:29" s="409" customFormat="1" ht="18" customHeight="1">
      <c r="A115" s="2237"/>
      <c r="B115" s="2221" t="s">
        <v>1748</v>
      </c>
      <c r="C115" s="2222"/>
      <c r="D115" s="2222"/>
      <c r="E115" s="2223"/>
      <c r="F115" s="2060"/>
    </row>
    <row r="116" spans="1:29" s="409" customFormat="1" ht="18" customHeight="1" thickBot="1">
      <c r="A116" s="2237"/>
      <c r="B116" s="2233" t="s">
        <v>1749</v>
      </c>
      <c r="C116" s="2234"/>
      <c r="D116" s="2234"/>
      <c r="E116" s="2235"/>
      <c r="F116" s="2060"/>
    </row>
    <row r="117" spans="1:29" s="409" customFormat="1" ht="30" customHeight="1" thickBot="1">
      <c r="A117" s="2237"/>
      <c r="B117" s="2224" t="s">
        <v>1809</v>
      </c>
      <c r="C117" s="2230"/>
      <c r="D117" s="2230"/>
      <c r="E117" s="2230"/>
      <c r="F117" s="1030"/>
    </row>
    <row r="118" spans="1:29" s="409" customFormat="1" ht="18" customHeight="1" thickBot="1">
      <c r="A118" s="2237"/>
      <c r="B118" s="1550"/>
      <c r="C118" s="1542" t="s">
        <v>21</v>
      </c>
      <c r="D118" s="1545" t="s">
        <v>22</v>
      </c>
      <c r="E118" s="1546" t="s">
        <v>23</v>
      </c>
      <c r="F118" s="1030"/>
    </row>
    <row r="119" spans="1:29" s="409" customFormat="1" ht="30" customHeight="1">
      <c r="A119" s="2237"/>
      <c r="B119" s="1551" t="s">
        <v>91</v>
      </c>
      <c r="C119" s="1093" t="s">
        <v>12</v>
      </c>
      <c r="D119" s="1093" t="s">
        <v>13</v>
      </c>
      <c r="E119" s="1097" t="s">
        <v>14</v>
      </c>
      <c r="F119" s="1031">
        <v>0</v>
      </c>
    </row>
    <row r="120" spans="1:29" s="409" customFormat="1" ht="18" customHeight="1">
      <c r="A120" s="2237"/>
      <c r="B120" s="1547" t="s">
        <v>92</v>
      </c>
      <c r="C120" s="1093" t="s">
        <v>93</v>
      </c>
      <c r="D120" s="1093" t="s">
        <v>94</v>
      </c>
      <c r="E120" s="1094" t="s">
        <v>95</v>
      </c>
      <c r="F120" s="1031">
        <v>0</v>
      </c>
    </row>
    <row r="121" spans="1:29" s="409" customFormat="1" ht="18" customHeight="1">
      <c r="A121" s="2237"/>
      <c r="B121" s="1547" t="s">
        <v>1109</v>
      </c>
      <c r="C121" s="1093" t="s">
        <v>146</v>
      </c>
      <c r="D121" s="1093" t="s">
        <v>145</v>
      </c>
      <c r="E121" s="1094" t="s">
        <v>147</v>
      </c>
      <c r="F121" s="1031">
        <v>0</v>
      </c>
    </row>
    <row r="122" spans="1:29" s="409" customFormat="1" ht="18" customHeight="1" thickBot="1">
      <c r="A122" s="2237"/>
      <c r="B122" s="1548" t="s">
        <v>96</v>
      </c>
      <c r="C122" s="1538" t="s">
        <v>1710</v>
      </c>
      <c r="D122" s="1537" t="s">
        <v>2238</v>
      </c>
      <c r="E122" s="1538" t="s">
        <v>1712</v>
      </c>
      <c r="F122" s="1031">
        <v>0</v>
      </c>
      <c r="G122" s="1530"/>
      <c r="H122" s="1530"/>
      <c r="I122" s="1530"/>
      <c r="J122" s="1530"/>
      <c r="K122" s="1530"/>
      <c r="L122" s="1530"/>
      <c r="M122" s="1530"/>
      <c r="N122" s="1530"/>
      <c r="O122" s="1530"/>
      <c r="P122" s="1530"/>
      <c r="Q122" s="1530"/>
      <c r="R122" s="1530"/>
      <c r="S122" s="1530"/>
      <c r="T122" s="1530"/>
      <c r="U122" s="1530"/>
      <c r="V122" s="1530"/>
      <c r="W122" s="1041"/>
      <c r="X122" s="1041"/>
      <c r="Y122" s="1041"/>
      <c r="Z122" s="1041"/>
      <c r="AA122" s="1041"/>
      <c r="AB122" s="1041"/>
      <c r="AC122" s="1041"/>
    </row>
    <row r="123" spans="1:29" s="409" customFormat="1" ht="30" customHeight="1" thickBot="1">
      <c r="A123" s="2237"/>
      <c r="B123" s="2221" t="s">
        <v>1125</v>
      </c>
      <c r="C123" s="2222"/>
      <c r="D123" s="2223"/>
      <c r="E123" s="1541" t="s">
        <v>1420</v>
      </c>
      <c r="F123" s="2061">
        <f>SUM(F119:F122)</f>
        <v>0</v>
      </c>
      <c r="W123" s="408"/>
      <c r="X123" s="408"/>
      <c r="Y123" s="408"/>
      <c r="Z123" s="408"/>
      <c r="AA123" s="408"/>
      <c r="AB123" s="408"/>
      <c r="AC123" s="408"/>
    </row>
    <row r="124" spans="1:29" s="1041" customFormat="1" ht="21" customHeight="1" thickBot="1">
      <c r="A124" s="2238"/>
      <c r="B124" s="2244"/>
      <c r="C124" s="2245"/>
      <c r="D124" s="2245"/>
      <c r="E124" s="1095" t="s">
        <v>1304</v>
      </c>
      <c r="F124" s="2067">
        <f>F123/12</f>
        <v>0</v>
      </c>
      <c r="G124" s="409"/>
      <c r="H124" s="409"/>
      <c r="I124" s="409"/>
      <c r="J124" s="409"/>
      <c r="K124" s="409"/>
      <c r="L124" s="409"/>
      <c r="M124" s="409"/>
      <c r="N124" s="409"/>
      <c r="O124" s="409"/>
      <c r="P124" s="409"/>
      <c r="Q124" s="409"/>
      <c r="R124" s="409"/>
      <c r="S124" s="409"/>
      <c r="T124" s="409"/>
      <c r="U124" s="409"/>
      <c r="V124" s="409"/>
      <c r="W124" s="409"/>
      <c r="X124" s="409"/>
      <c r="Y124" s="409"/>
      <c r="Z124" s="409"/>
      <c r="AA124" s="409"/>
      <c r="AB124" s="409"/>
      <c r="AC124" s="409"/>
    </row>
    <row r="125" spans="1:29" s="408" customFormat="1" ht="24" customHeight="1" thickBot="1">
      <c r="A125" s="2236" t="s">
        <v>20</v>
      </c>
      <c r="B125" s="2229" t="s">
        <v>386</v>
      </c>
      <c r="C125" s="2230"/>
      <c r="D125" s="2230"/>
      <c r="E125" s="2230"/>
      <c r="F125" s="1030"/>
      <c r="G125" s="409"/>
      <c r="H125" s="409"/>
      <c r="I125" s="409"/>
      <c r="J125" s="409"/>
      <c r="K125" s="409"/>
      <c r="L125" s="409"/>
      <c r="M125" s="409"/>
      <c r="N125" s="409"/>
      <c r="O125" s="409"/>
      <c r="P125" s="409"/>
      <c r="Q125" s="409"/>
      <c r="R125" s="409"/>
      <c r="S125" s="409"/>
      <c r="T125" s="409"/>
      <c r="U125" s="409"/>
      <c r="V125" s="409"/>
      <c r="W125" s="409"/>
      <c r="X125" s="409"/>
      <c r="Y125" s="409"/>
      <c r="Z125" s="409"/>
      <c r="AA125" s="409"/>
      <c r="AB125" s="409"/>
      <c r="AC125" s="409"/>
    </row>
    <row r="126" spans="1:29" s="409" customFormat="1" ht="30" customHeight="1" thickBot="1">
      <c r="A126" s="2237"/>
      <c r="B126" s="2224" t="s">
        <v>2857</v>
      </c>
      <c r="C126" s="2225"/>
      <c r="D126" s="2225"/>
      <c r="E126" s="2225"/>
      <c r="F126" s="1030"/>
    </row>
    <row r="127" spans="1:29" s="409" customFormat="1" ht="18" customHeight="1">
      <c r="A127" s="2237"/>
      <c r="B127" s="2226" t="s">
        <v>1750</v>
      </c>
      <c r="C127" s="2227"/>
      <c r="D127" s="2227"/>
      <c r="E127" s="2228"/>
      <c r="F127" s="2066"/>
    </row>
    <row r="128" spans="1:29" s="409" customFormat="1" ht="18" customHeight="1">
      <c r="A128" s="2237"/>
      <c r="B128" s="2221" t="s">
        <v>1751</v>
      </c>
      <c r="C128" s="2222"/>
      <c r="D128" s="2222"/>
      <c r="E128" s="2223"/>
      <c r="F128" s="2060"/>
    </row>
    <row r="129" spans="1:16384" s="409" customFormat="1" ht="18" customHeight="1">
      <c r="A129" s="2237"/>
      <c r="B129" s="2221" t="s">
        <v>1752</v>
      </c>
      <c r="C129" s="2222"/>
      <c r="D129" s="2222"/>
      <c r="E129" s="2223"/>
      <c r="F129" s="2060"/>
    </row>
    <row r="130" spans="1:16384" s="409" customFormat="1" ht="18" customHeight="1">
      <c r="A130" s="2237"/>
      <c r="B130" s="2221" t="s">
        <v>1753</v>
      </c>
      <c r="C130" s="2222"/>
      <c r="D130" s="2222"/>
      <c r="E130" s="2223"/>
      <c r="F130" s="2060"/>
    </row>
    <row r="131" spans="1:16384" s="409" customFormat="1" ht="18" customHeight="1">
      <c r="A131" s="2237"/>
      <c r="B131" s="2221" t="s">
        <v>1754</v>
      </c>
      <c r="C131" s="2222"/>
      <c r="D131" s="2222"/>
      <c r="E131" s="2223"/>
      <c r="F131" s="2060"/>
    </row>
    <row r="132" spans="1:16384" s="409" customFormat="1" ht="18" customHeight="1">
      <c r="A132" s="2237"/>
      <c r="B132" s="2221" t="s">
        <v>1755</v>
      </c>
      <c r="C132" s="2222"/>
      <c r="D132" s="2222"/>
      <c r="E132" s="2223"/>
      <c r="F132" s="2060"/>
    </row>
    <row r="133" spans="1:16384" s="409" customFormat="1" ht="18" customHeight="1">
      <c r="A133" s="2237"/>
      <c r="B133" s="2221" t="s">
        <v>1756</v>
      </c>
      <c r="C133" s="2222"/>
      <c r="D133" s="2222"/>
      <c r="E133" s="2223"/>
      <c r="F133" s="2060"/>
    </row>
    <row r="134" spans="1:16384" s="409" customFormat="1" ht="18" customHeight="1" thickBot="1">
      <c r="A134" s="2237"/>
      <c r="B134" s="2233" t="s">
        <v>1757</v>
      </c>
      <c r="C134" s="2234"/>
      <c r="D134" s="2234"/>
      <c r="E134" s="2235"/>
      <c r="F134" s="2060"/>
    </row>
    <row r="135" spans="1:16384" s="409" customFormat="1" ht="30" customHeight="1" thickBot="1">
      <c r="A135" s="2237"/>
      <c r="B135" s="2224" t="s">
        <v>1810</v>
      </c>
      <c r="C135" s="2225"/>
      <c r="D135" s="2225"/>
      <c r="E135" s="2225"/>
      <c r="F135" s="1030"/>
    </row>
    <row r="136" spans="1:16384" s="409" customFormat="1" ht="18" customHeight="1" thickBot="1">
      <c r="A136" s="2237"/>
      <c r="B136" s="1550"/>
      <c r="C136" s="1542" t="s">
        <v>21</v>
      </c>
      <c r="D136" s="1545" t="s">
        <v>22</v>
      </c>
      <c r="E136" s="1546" t="s">
        <v>23</v>
      </c>
      <c r="F136" s="1030"/>
    </row>
    <row r="137" spans="1:16384" s="409" customFormat="1" ht="18" customHeight="1">
      <c r="A137" s="2237"/>
      <c r="B137" s="1551" t="s">
        <v>385</v>
      </c>
      <c r="C137" s="1098" t="s">
        <v>1093</v>
      </c>
      <c r="D137" s="1089" t="s">
        <v>1094</v>
      </c>
      <c r="E137" s="1096" t="s">
        <v>1095</v>
      </c>
      <c r="F137" s="1031">
        <v>0</v>
      </c>
    </row>
    <row r="138" spans="1:16384" s="409" customFormat="1" ht="18" customHeight="1">
      <c r="A138" s="2237"/>
      <c r="B138" s="1547" t="s">
        <v>1110</v>
      </c>
      <c r="C138" s="1098" t="s">
        <v>93</v>
      </c>
      <c r="D138" s="1089" t="s">
        <v>94</v>
      </c>
      <c r="E138" s="1090" t="s">
        <v>95</v>
      </c>
      <c r="F138" s="1031">
        <v>0</v>
      </c>
    </row>
    <row r="139" spans="1:16384" s="409" customFormat="1" ht="18" customHeight="1">
      <c r="A139" s="2237"/>
      <c r="B139" s="1547" t="s">
        <v>163</v>
      </c>
      <c r="C139" s="1098" t="s">
        <v>593</v>
      </c>
      <c r="D139" s="1089" t="s">
        <v>594</v>
      </c>
      <c r="E139" s="1090" t="s">
        <v>595</v>
      </c>
      <c r="F139" s="1031">
        <v>0</v>
      </c>
    </row>
    <row r="140" spans="1:16384" s="409" customFormat="1" ht="18" customHeight="1">
      <c r="A140" s="2237"/>
      <c r="B140" s="1547" t="s">
        <v>164</v>
      </c>
      <c r="C140" s="1098" t="s">
        <v>146</v>
      </c>
      <c r="D140" s="1089" t="s">
        <v>145</v>
      </c>
      <c r="E140" s="1090" t="s">
        <v>141</v>
      </c>
      <c r="F140" s="1031">
        <v>0</v>
      </c>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c r="IW140" s="34"/>
      <c r="IX140" s="34"/>
      <c r="IY140" s="34"/>
      <c r="IZ140" s="34"/>
      <c r="JA140" s="34"/>
      <c r="JB140" s="34"/>
      <c r="JC140" s="34"/>
      <c r="JD140" s="34"/>
      <c r="JE140" s="34"/>
      <c r="JF140" s="34"/>
      <c r="JG140" s="34"/>
      <c r="JH140" s="34"/>
      <c r="JI140" s="34"/>
      <c r="JJ140" s="34"/>
      <c r="JK140" s="34"/>
      <c r="JL140" s="34"/>
      <c r="JM140" s="34"/>
      <c r="JN140" s="34"/>
      <c r="JO140" s="34"/>
      <c r="JP140" s="34"/>
      <c r="JQ140" s="34"/>
      <c r="JR140" s="34"/>
      <c r="JS140" s="34"/>
      <c r="JT140" s="34"/>
      <c r="JU140" s="34"/>
      <c r="JV140" s="34"/>
      <c r="JW140" s="34"/>
      <c r="JX140" s="34"/>
      <c r="JY140" s="34"/>
      <c r="JZ140" s="34"/>
      <c r="KA140" s="34"/>
      <c r="KB140" s="34"/>
      <c r="KC140" s="34"/>
      <c r="KD140" s="34"/>
      <c r="KE140" s="34"/>
      <c r="KF140" s="34"/>
      <c r="KG140" s="34"/>
      <c r="KH140" s="34"/>
      <c r="KI140" s="34"/>
      <c r="KJ140" s="34"/>
      <c r="KK140" s="34"/>
      <c r="KL140" s="34"/>
      <c r="KM140" s="34"/>
      <c r="KN140" s="34"/>
      <c r="KO140" s="34"/>
      <c r="KP140" s="34"/>
      <c r="KQ140" s="34"/>
      <c r="KR140" s="34"/>
      <c r="KS140" s="34"/>
      <c r="KT140" s="34"/>
      <c r="KU140" s="34"/>
      <c r="KV140" s="34"/>
      <c r="KW140" s="34"/>
      <c r="KX140" s="34"/>
      <c r="KY140" s="34"/>
      <c r="KZ140" s="34"/>
      <c r="LA140" s="34"/>
      <c r="LB140" s="34"/>
      <c r="LC140" s="34"/>
      <c r="LD140" s="34"/>
      <c r="LE140" s="34"/>
      <c r="LF140" s="34"/>
      <c r="LG140" s="34"/>
      <c r="LH140" s="34"/>
      <c r="LI140" s="34"/>
      <c r="LJ140" s="34"/>
      <c r="LK140" s="34"/>
      <c r="LL140" s="34"/>
      <c r="LM140" s="34"/>
      <c r="LN140" s="34"/>
      <c r="LO140" s="34"/>
      <c r="LP140" s="34"/>
      <c r="LQ140" s="34"/>
      <c r="LR140" s="34"/>
      <c r="LS140" s="34"/>
      <c r="LT140" s="34"/>
      <c r="LU140" s="34"/>
      <c r="LV140" s="34"/>
      <c r="LW140" s="34"/>
      <c r="LX140" s="34"/>
      <c r="LY140" s="34"/>
      <c r="LZ140" s="34"/>
      <c r="MA140" s="34"/>
      <c r="MB140" s="34"/>
      <c r="MC140" s="34"/>
      <c r="MD140" s="34"/>
      <c r="ME140" s="34"/>
      <c r="MF140" s="34"/>
      <c r="MG140" s="34"/>
      <c r="MH140" s="34"/>
      <c r="MI140" s="34"/>
      <c r="MJ140" s="34"/>
      <c r="MK140" s="34"/>
      <c r="ML140" s="34"/>
      <c r="MM140" s="34"/>
      <c r="MN140" s="34"/>
      <c r="MO140" s="34"/>
      <c r="MP140" s="34"/>
      <c r="MQ140" s="34"/>
      <c r="MR140" s="34"/>
      <c r="MS140" s="34"/>
      <c r="MT140" s="34"/>
      <c r="MU140" s="34"/>
      <c r="MV140" s="34"/>
      <c r="MW140" s="34"/>
      <c r="MX140" s="34"/>
      <c r="MY140" s="34"/>
      <c r="MZ140" s="34"/>
      <c r="NA140" s="34"/>
      <c r="NB140" s="34"/>
      <c r="NC140" s="34"/>
      <c r="ND140" s="34"/>
      <c r="NE140" s="34"/>
      <c r="NF140" s="34"/>
      <c r="NG140" s="34"/>
      <c r="NH140" s="34"/>
      <c r="NI140" s="34"/>
      <c r="NJ140" s="34"/>
      <c r="NK140" s="34"/>
      <c r="NL140" s="34"/>
      <c r="NM140" s="34"/>
      <c r="NN140" s="34"/>
      <c r="NO140" s="34"/>
      <c r="NP140" s="34"/>
      <c r="NQ140" s="34"/>
      <c r="NR140" s="34"/>
      <c r="NS140" s="34"/>
      <c r="NT140" s="34"/>
      <c r="NU140" s="34"/>
      <c r="NV140" s="34"/>
      <c r="NW140" s="34"/>
      <c r="NX140" s="34"/>
      <c r="NY140" s="34"/>
      <c r="NZ140" s="34"/>
      <c r="OA140" s="34"/>
      <c r="OB140" s="34"/>
      <c r="OC140" s="34"/>
      <c r="OD140" s="34"/>
      <c r="OE140" s="34"/>
      <c r="OF140" s="34"/>
      <c r="OG140" s="34"/>
      <c r="OH140" s="34"/>
      <c r="OI140" s="34"/>
      <c r="OJ140" s="34"/>
      <c r="OK140" s="34"/>
      <c r="OL140" s="34"/>
      <c r="OM140" s="34"/>
      <c r="ON140" s="34"/>
      <c r="OO140" s="34"/>
      <c r="OP140" s="34"/>
      <c r="OQ140" s="34"/>
      <c r="OR140" s="34"/>
      <c r="OS140" s="34"/>
      <c r="OT140" s="34"/>
      <c r="OU140" s="34"/>
      <c r="OV140" s="34"/>
      <c r="OW140" s="34"/>
      <c r="OX140" s="34"/>
      <c r="OY140" s="34"/>
      <c r="OZ140" s="34"/>
      <c r="PA140" s="34"/>
      <c r="PB140" s="34"/>
      <c r="PC140" s="34"/>
      <c r="PD140" s="34"/>
      <c r="PE140" s="34"/>
      <c r="PF140" s="34"/>
      <c r="PG140" s="34"/>
      <c r="PH140" s="34"/>
      <c r="PI140" s="34"/>
      <c r="PJ140" s="34"/>
      <c r="PK140" s="34"/>
      <c r="PL140" s="34"/>
      <c r="PM140" s="34"/>
      <c r="PN140" s="34"/>
      <c r="PO140" s="34"/>
      <c r="PP140" s="34"/>
      <c r="PQ140" s="34"/>
      <c r="PR140" s="34"/>
      <c r="PS140" s="34"/>
      <c r="PT140" s="34"/>
      <c r="PU140" s="34"/>
      <c r="PV140" s="34"/>
      <c r="PW140" s="34"/>
      <c r="PX140" s="34"/>
      <c r="PY140" s="34"/>
      <c r="PZ140" s="34"/>
      <c r="QA140" s="34"/>
      <c r="QB140" s="34"/>
      <c r="QC140" s="34"/>
      <c r="QD140" s="34"/>
      <c r="QE140" s="34"/>
      <c r="QF140" s="34"/>
      <c r="QG140" s="34"/>
      <c r="QH140" s="34"/>
      <c r="QI140" s="34"/>
      <c r="QJ140" s="34"/>
      <c r="QK140" s="34"/>
      <c r="QL140" s="34"/>
      <c r="QM140" s="34"/>
      <c r="QN140" s="34"/>
      <c r="QO140" s="34"/>
      <c r="QP140" s="34"/>
      <c r="QQ140" s="34"/>
      <c r="QR140" s="34"/>
      <c r="QS140" s="34"/>
      <c r="QT140" s="34"/>
      <c r="QU140" s="34"/>
      <c r="QV140" s="34"/>
      <c r="QW140" s="34"/>
      <c r="QX140" s="34"/>
      <c r="QY140" s="34"/>
      <c r="QZ140" s="34"/>
      <c r="RA140" s="34"/>
      <c r="RB140" s="34"/>
      <c r="RC140" s="34"/>
      <c r="RD140" s="34"/>
      <c r="RE140" s="34"/>
      <c r="RF140" s="34"/>
      <c r="RG140" s="34"/>
      <c r="RH140" s="34"/>
      <c r="RI140" s="34"/>
      <c r="RJ140" s="34"/>
      <c r="RK140" s="34"/>
      <c r="RL140" s="34"/>
      <c r="RM140" s="34"/>
      <c r="RN140" s="34"/>
      <c r="RO140" s="34"/>
      <c r="RP140" s="34"/>
      <c r="RQ140" s="34"/>
      <c r="RR140" s="34"/>
      <c r="RS140" s="34"/>
      <c r="RT140" s="34"/>
      <c r="RU140" s="34"/>
      <c r="RV140" s="34"/>
      <c r="RW140" s="34"/>
      <c r="RX140" s="34"/>
      <c r="RY140" s="34"/>
      <c r="RZ140" s="34"/>
      <c r="SA140" s="34"/>
      <c r="SB140" s="34"/>
      <c r="SC140" s="34"/>
      <c r="SD140" s="34"/>
      <c r="SE140" s="34"/>
      <c r="SF140" s="34"/>
      <c r="SG140" s="34"/>
      <c r="SH140" s="34"/>
      <c r="SI140" s="34"/>
      <c r="SJ140" s="34"/>
      <c r="SK140" s="34"/>
      <c r="SL140" s="34"/>
      <c r="SM140" s="34"/>
      <c r="SN140" s="34"/>
      <c r="SO140" s="34"/>
      <c r="SP140" s="34"/>
      <c r="SQ140" s="34"/>
      <c r="SR140" s="34"/>
      <c r="SS140" s="34"/>
      <c r="ST140" s="34"/>
      <c r="SU140" s="34"/>
      <c r="SV140" s="34"/>
      <c r="SW140" s="34"/>
      <c r="SX140" s="34"/>
      <c r="SY140" s="34"/>
      <c r="SZ140" s="34"/>
      <c r="TA140" s="34"/>
      <c r="TB140" s="34"/>
      <c r="TC140" s="34"/>
      <c r="TD140" s="34"/>
      <c r="TE140" s="34"/>
      <c r="TF140" s="34"/>
      <c r="TG140" s="34"/>
      <c r="TH140" s="34"/>
      <c r="TI140" s="34"/>
      <c r="TJ140" s="34"/>
      <c r="TK140" s="34"/>
      <c r="TL140" s="34"/>
      <c r="TM140" s="34"/>
      <c r="TN140" s="34"/>
      <c r="TO140" s="34"/>
      <c r="TP140" s="34"/>
      <c r="TQ140" s="34"/>
      <c r="TR140" s="34"/>
      <c r="TS140" s="34"/>
      <c r="TT140" s="34"/>
      <c r="TU140" s="34"/>
      <c r="TV140" s="34"/>
      <c r="TW140" s="34"/>
      <c r="TX140" s="34"/>
      <c r="TY140" s="34"/>
      <c r="TZ140" s="34"/>
      <c r="UA140" s="34"/>
      <c r="UB140" s="34"/>
      <c r="UC140" s="34"/>
      <c r="UD140" s="34"/>
      <c r="UE140" s="34"/>
      <c r="UF140" s="34"/>
      <c r="UG140" s="34"/>
      <c r="UH140" s="34"/>
      <c r="UI140" s="34"/>
      <c r="UJ140" s="34"/>
      <c r="UK140" s="34"/>
      <c r="UL140" s="34"/>
      <c r="UM140" s="34"/>
      <c r="UN140" s="34"/>
      <c r="UO140" s="34"/>
      <c r="UP140" s="34"/>
      <c r="UQ140" s="34"/>
      <c r="UR140" s="34"/>
      <c r="US140" s="34"/>
      <c r="UT140" s="34"/>
      <c r="UU140" s="34"/>
      <c r="UV140" s="34"/>
      <c r="UW140" s="34"/>
      <c r="UX140" s="34"/>
      <c r="UY140" s="34"/>
      <c r="UZ140" s="34"/>
      <c r="VA140" s="34"/>
      <c r="VB140" s="34"/>
      <c r="VC140" s="34"/>
      <c r="VD140" s="34"/>
      <c r="VE140" s="34"/>
      <c r="VF140" s="34"/>
      <c r="VG140" s="34"/>
      <c r="VH140" s="34"/>
      <c r="VI140" s="34"/>
      <c r="VJ140" s="34"/>
      <c r="VK140" s="34"/>
      <c r="VL140" s="34"/>
      <c r="VM140" s="34"/>
      <c r="VN140" s="34"/>
      <c r="VO140" s="34"/>
      <c r="VP140" s="34"/>
      <c r="VQ140" s="34"/>
      <c r="VR140" s="34"/>
      <c r="VS140" s="34"/>
      <c r="VT140" s="34"/>
      <c r="VU140" s="34"/>
      <c r="VV140" s="34"/>
      <c r="VW140" s="34"/>
      <c r="VX140" s="34"/>
      <c r="VY140" s="34"/>
      <c r="VZ140" s="34"/>
      <c r="WA140" s="34"/>
      <c r="WB140" s="34"/>
      <c r="WC140" s="34"/>
      <c r="WD140" s="34"/>
      <c r="WE140" s="34"/>
      <c r="WF140" s="34"/>
      <c r="WG140" s="34"/>
      <c r="WH140" s="34"/>
      <c r="WI140" s="34"/>
      <c r="WJ140" s="34"/>
      <c r="WK140" s="34"/>
      <c r="WL140" s="34"/>
      <c r="WM140" s="34"/>
      <c r="WN140" s="34"/>
      <c r="WO140" s="34"/>
      <c r="WP140" s="34"/>
      <c r="WQ140" s="34"/>
      <c r="WR140" s="34"/>
      <c r="WS140" s="34"/>
      <c r="WT140" s="34"/>
      <c r="WU140" s="34"/>
      <c r="WV140" s="34"/>
      <c r="WW140" s="34"/>
      <c r="WX140" s="34"/>
      <c r="WY140" s="34"/>
      <c r="WZ140" s="34"/>
      <c r="XA140" s="34"/>
      <c r="XB140" s="34"/>
      <c r="XC140" s="34"/>
      <c r="XD140" s="34"/>
      <c r="XE140" s="34"/>
      <c r="XF140" s="34"/>
      <c r="XG140" s="34"/>
      <c r="XH140" s="34"/>
      <c r="XI140" s="34"/>
      <c r="XJ140" s="34"/>
      <c r="XK140" s="34"/>
      <c r="XL140" s="34"/>
      <c r="XM140" s="34"/>
      <c r="XN140" s="34"/>
      <c r="XO140" s="34"/>
      <c r="XP140" s="34"/>
      <c r="XQ140" s="34"/>
      <c r="XR140" s="34"/>
      <c r="XS140" s="34"/>
      <c r="XT140" s="34"/>
      <c r="XU140" s="34"/>
      <c r="XV140" s="34"/>
      <c r="XW140" s="34"/>
      <c r="XX140" s="34"/>
      <c r="XY140" s="34"/>
      <c r="XZ140" s="34"/>
      <c r="YA140" s="34"/>
      <c r="YB140" s="34"/>
      <c r="YC140" s="34"/>
      <c r="YD140" s="34"/>
      <c r="YE140" s="34"/>
      <c r="YF140" s="34"/>
      <c r="YG140" s="34"/>
      <c r="YH140" s="34"/>
      <c r="YI140" s="34"/>
      <c r="YJ140" s="34"/>
      <c r="YK140" s="34"/>
      <c r="YL140" s="34"/>
      <c r="YM140" s="34"/>
      <c r="YN140" s="34"/>
      <c r="YO140" s="34"/>
      <c r="YP140" s="34"/>
      <c r="YQ140" s="34"/>
      <c r="YR140" s="34"/>
      <c r="YS140" s="34"/>
      <c r="YT140" s="34"/>
      <c r="YU140" s="34"/>
      <c r="YV140" s="34"/>
      <c r="YW140" s="34"/>
      <c r="YX140" s="34"/>
      <c r="YY140" s="34"/>
      <c r="YZ140" s="34"/>
      <c r="ZA140" s="34"/>
      <c r="ZB140" s="34"/>
      <c r="ZC140" s="34"/>
      <c r="ZD140" s="34"/>
      <c r="ZE140" s="34"/>
      <c r="ZF140" s="34"/>
      <c r="ZG140" s="34"/>
      <c r="ZH140" s="34"/>
      <c r="ZI140" s="34"/>
      <c r="ZJ140" s="34"/>
      <c r="ZK140" s="34"/>
      <c r="ZL140" s="34"/>
      <c r="ZM140" s="34"/>
      <c r="ZN140" s="34"/>
      <c r="ZO140" s="34"/>
      <c r="ZP140" s="34"/>
      <c r="ZQ140" s="34"/>
      <c r="ZR140" s="34"/>
      <c r="ZS140" s="34"/>
      <c r="ZT140" s="34"/>
      <c r="ZU140" s="34"/>
      <c r="ZV140" s="34"/>
      <c r="ZW140" s="34"/>
      <c r="ZX140" s="34"/>
      <c r="ZY140" s="34"/>
      <c r="ZZ140" s="34"/>
      <c r="AAA140" s="34"/>
      <c r="AAB140" s="34"/>
      <c r="AAC140" s="34"/>
      <c r="AAD140" s="34"/>
      <c r="AAE140" s="34"/>
      <c r="AAF140" s="34"/>
      <c r="AAG140" s="34"/>
      <c r="AAH140" s="34"/>
      <c r="AAI140" s="34"/>
      <c r="AAJ140" s="34"/>
      <c r="AAK140" s="34"/>
      <c r="AAL140" s="34"/>
      <c r="AAM140" s="34"/>
      <c r="AAN140" s="34"/>
      <c r="AAO140" s="34"/>
      <c r="AAP140" s="34"/>
      <c r="AAQ140" s="34"/>
      <c r="AAR140" s="34"/>
      <c r="AAS140" s="34"/>
      <c r="AAT140" s="34"/>
      <c r="AAU140" s="34"/>
      <c r="AAV140" s="34"/>
      <c r="AAW140" s="34"/>
      <c r="AAX140" s="34"/>
      <c r="AAY140" s="34"/>
      <c r="AAZ140" s="34"/>
      <c r="ABA140" s="34"/>
      <c r="ABB140" s="34"/>
      <c r="ABC140" s="34"/>
      <c r="ABD140" s="34"/>
      <c r="ABE140" s="34"/>
      <c r="ABF140" s="34"/>
      <c r="ABG140" s="34"/>
      <c r="ABH140" s="34"/>
      <c r="ABI140" s="34"/>
      <c r="ABJ140" s="34"/>
      <c r="ABK140" s="34"/>
      <c r="ABL140" s="34"/>
      <c r="ABM140" s="34"/>
      <c r="ABN140" s="34"/>
      <c r="ABO140" s="34"/>
      <c r="ABP140" s="34"/>
      <c r="ABQ140" s="34"/>
      <c r="ABR140" s="34"/>
      <c r="ABS140" s="34"/>
      <c r="ABT140" s="34"/>
      <c r="ABU140" s="34"/>
      <c r="ABV140" s="34"/>
      <c r="ABW140" s="34"/>
      <c r="ABX140" s="34"/>
      <c r="ABY140" s="34"/>
      <c r="ABZ140" s="34"/>
      <c r="ACA140" s="34"/>
      <c r="ACB140" s="34"/>
      <c r="ACC140" s="34"/>
      <c r="ACD140" s="34"/>
      <c r="ACE140" s="34"/>
      <c r="ACF140" s="34"/>
      <c r="ACG140" s="34"/>
      <c r="ACH140" s="34"/>
      <c r="ACI140" s="34"/>
      <c r="ACJ140" s="34"/>
      <c r="ACK140" s="34"/>
      <c r="ACL140" s="34"/>
      <c r="ACM140" s="34"/>
      <c r="ACN140" s="34"/>
      <c r="ACO140" s="34"/>
      <c r="ACP140" s="34"/>
      <c r="ACQ140" s="34"/>
      <c r="ACR140" s="34"/>
      <c r="ACS140" s="34"/>
      <c r="ACT140" s="34"/>
      <c r="ACU140" s="34"/>
      <c r="ACV140" s="34"/>
      <c r="ACW140" s="34"/>
      <c r="ACX140" s="34"/>
      <c r="ACY140" s="34"/>
      <c r="ACZ140" s="34"/>
      <c r="ADA140" s="34"/>
      <c r="ADB140" s="34"/>
      <c r="ADC140" s="34"/>
      <c r="ADD140" s="34"/>
      <c r="ADE140" s="34"/>
      <c r="ADF140" s="34"/>
      <c r="ADG140" s="34"/>
      <c r="ADH140" s="34"/>
      <c r="ADI140" s="34"/>
      <c r="ADJ140" s="34"/>
      <c r="ADK140" s="34"/>
      <c r="ADL140" s="34"/>
      <c r="ADM140" s="34"/>
      <c r="ADN140" s="34"/>
      <c r="ADO140" s="34"/>
      <c r="ADP140" s="34"/>
      <c r="ADQ140" s="34"/>
      <c r="ADR140" s="34"/>
      <c r="ADS140" s="34"/>
      <c r="ADT140" s="34"/>
      <c r="ADU140" s="34"/>
      <c r="ADV140" s="34"/>
      <c r="ADW140" s="34"/>
      <c r="ADX140" s="34"/>
      <c r="ADY140" s="34"/>
      <c r="ADZ140" s="34"/>
      <c r="AEA140" s="34"/>
      <c r="AEB140" s="34"/>
      <c r="AEC140" s="34"/>
      <c r="AED140" s="34"/>
      <c r="AEE140" s="34"/>
      <c r="AEF140" s="34"/>
      <c r="AEG140" s="34"/>
      <c r="AEH140" s="34"/>
      <c r="AEI140" s="34"/>
      <c r="AEJ140" s="34"/>
      <c r="AEK140" s="34"/>
      <c r="AEL140" s="34"/>
      <c r="AEM140" s="34"/>
      <c r="AEN140" s="34"/>
      <c r="AEO140" s="34"/>
      <c r="AEP140" s="34"/>
      <c r="AEQ140" s="34"/>
      <c r="AER140" s="34"/>
      <c r="AES140" s="34"/>
      <c r="AET140" s="34"/>
      <c r="AEU140" s="34"/>
      <c r="AEV140" s="34"/>
      <c r="AEW140" s="34"/>
      <c r="AEX140" s="34"/>
      <c r="AEY140" s="34"/>
      <c r="AEZ140" s="34"/>
      <c r="AFA140" s="34"/>
      <c r="AFB140" s="34"/>
      <c r="AFC140" s="34"/>
      <c r="AFD140" s="34"/>
      <c r="AFE140" s="34"/>
      <c r="AFF140" s="34"/>
      <c r="AFG140" s="34"/>
      <c r="AFH140" s="34"/>
      <c r="AFI140" s="34"/>
      <c r="AFJ140" s="34"/>
      <c r="AFK140" s="34"/>
      <c r="AFL140" s="34"/>
      <c r="AFM140" s="34"/>
      <c r="AFN140" s="34"/>
      <c r="AFO140" s="34"/>
      <c r="AFP140" s="34"/>
      <c r="AFQ140" s="34"/>
      <c r="AFR140" s="34"/>
      <c r="AFS140" s="34"/>
      <c r="AFT140" s="34"/>
      <c r="AFU140" s="34"/>
      <c r="AFV140" s="34"/>
      <c r="AFW140" s="34"/>
      <c r="AFX140" s="34"/>
      <c r="AFY140" s="34"/>
      <c r="AFZ140" s="34"/>
      <c r="AGA140" s="34"/>
      <c r="AGB140" s="34"/>
      <c r="AGC140" s="34"/>
      <c r="AGD140" s="34"/>
      <c r="AGE140" s="34"/>
      <c r="AGF140" s="34"/>
      <c r="AGG140" s="34"/>
      <c r="AGH140" s="34"/>
      <c r="AGI140" s="34"/>
      <c r="AGJ140" s="34"/>
      <c r="AGK140" s="34"/>
      <c r="AGL140" s="34"/>
      <c r="AGM140" s="34"/>
      <c r="AGN140" s="34"/>
      <c r="AGO140" s="34"/>
      <c r="AGP140" s="34"/>
      <c r="AGQ140" s="34"/>
      <c r="AGR140" s="34"/>
      <c r="AGS140" s="34"/>
      <c r="AGT140" s="34"/>
      <c r="AGU140" s="34"/>
      <c r="AGV140" s="34"/>
      <c r="AGW140" s="34"/>
      <c r="AGX140" s="34"/>
      <c r="AGY140" s="34"/>
      <c r="AGZ140" s="34"/>
      <c r="AHA140" s="34"/>
      <c r="AHB140" s="34"/>
      <c r="AHC140" s="34"/>
      <c r="AHD140" s="34"/>
      <c r="AHE140" s="34"/>
      <c r="AHF140" s="34"/>
      <c r="AHG140" s="34"/>
      <c r="AHH140" s="34"/>
      <c r="AHI140" s="34"/>
      <c r="AHJ140" s="34"/>
      <c r="AHK140" s="34"/>
      <c r="AHL140" s="34"/>
      <c r="AHM140" s="34"/>
      <c r="AHN140" s="34"/>
      <c r="AHO140" s="34"/>
      <c r="AHP140" s="34"/>
      <c r="AHQ140" s="34"/>
      <c r="AHR140" s="34"/>
      <c r="AHS140" s="34"/>
      <c r="AHT140" s="34"/>
      <c r="AHU140" s="34"/>
      <c r="AHV140" s="34"/>
      <c r="AHW140" s="34"/>
      <c r="AHX140" s="34"/>
      <c r="AHY140" s="34"/>
      <c r="AHZ140" s="34"/>
      <c r="AIA140" s="34"/>
      <c r="AIB140" s="34"/>
      <c r="AIC140" s="34"/>
      <c r="AID140" s="34"/>
      <c r="AIE140" s="34"/>
      <c r="AIF140" s="34"/>
      <c r="AIG140" s="34"/>
      <c r="AIH140" s="34"/>
      <c r="AII140" s="34"/>
      <c r="AIJ140" s="34"/>
      <c r="AIK140" s="34"/>
      <c r="AIL140" s="34"/>
      <c r="AIM140" s="34"/>
      <c r="AIN140" s="34"/>
      <c r="AIO140" s="34"/>
      <c r="AIP140" s="34"/>
      <c r="AIQ140" s="34"/>
      <c r="AIR140" s="34"/>
      <c r="AIS140" s="34"/>
      <c r="AIT140" s="34"/>
      <c r="AIU140" s="34"/>
      <c r="AIV140" s="34"/>
      <c r="AIW140" s="34"/>
      <c r="AIX140" s="34"/>
      <c r="AIY140" s="34"/>
      <c r="AIZ140" s="34"/>
      <c r="AJA140" s="34"/>
      <c r="AJB140" s="34"/>
      <c r="AJC140" s="34"/>
      <c r="AJD140" s="34"/>
      <c r="AJE140" s="34"/>
      <c r="AJF140" s="34"/>
      <c r="AJG140" s="34"/>
      <c r="AJH140" s="34"/>
      <c r="AJI140" s="34"/>
      <c r="AJJ140" s="34"/>
      <c r="AJK140" s="34"/>
      <c r="AJL140" s="34"/>
      <c r="AJM140" s="34"/>
      <c r="AJN140" s="34"/>
      <c r="AJO140" s="34"/>
      <c r="AJP140" s="34"/>
      <c r="AJQ140" s="34"/>
      <c r="AJR140" s="34"/>
      <c r="AJS140" s="34"/>
      <c r="AJT140" s="34"/>
      <c r="AJU140" s="34"/>
      <c r="AJV140" s="34"/>
      <c r="AJW140" s="34"/>
      <c r="AJX140" s="34"/>
      <c r="AJY140" s="34"/>
      <c r="AJZ140" s="34"/>
      <c r="AKA140" s="34"/>
      <c r="AKB140" s="34"/>
      <c r="AKC140" s="34"/>
      <c r="AKD140" s="34"/>
      <c r="AKE140" s="34"/>
      <c r="AKF140" s="34"/>
      <c r="AKG140" s="34"/>
      <c r="AKH140" s="34"/>
      <c r="AKI140" s="34"/>
      <c r="AKJ140" s="34"/>
      <c r="AKK140" s="34"/>
      <c r="AKL140" s="34"/>
      <c r="AKM140" s="34"/>
      <c r="AKN140" s="34"/>
      <c r="AKO140" s="34"/>
      <c r="AKP140" s="34"/>
      <c r="AKQ140" s="34"/>
      <c r="AKR140" s="34"/>
      <c r="AKS140" s="34"/>
      <c r="AKT140" s="34"/>
      <c r="AKU140" s="34"/>
      <c r="AKV140" s="34"/>
      <c r="AKW140" s="34"/>
      <c r="AKX140" s="34"/>
      <c r="AKY140" s="34"/>
      <c r="AKZ140" s="34"/>
      <c r="ALA140" s="34"/>
      <c r="ALB140" s="34"/>
      <c r="ALC140" s="34"/>
      <c r="ALD140" s="34"/>
      <c r="ALE140" s="34"/>
      <c r="ALF140" s="34"/>
      <c r="ALG140" s="34"/>
      <c r="ALH140" s="34"/>
      <c r="ALI140" s="34"/>
      <c r="ALJ140" s="34"/>
      <c r="ALK140" s="34"/>
      <c r="ALL140" s="34"/>
      <c r="ALM140" s="34"/>
      <c r="ALN140" s="34"/>
      <c r="ALO140" s="34"/>
      <c r="ALP140" s="34"/>
      <c r="ALQ140" s="34"/>
      <c r="ALR140" s="34"/>
      <c r="ALS140" s="34"/>
      <c r="ALT140" s="34"/>
      <c r="ALU140" s="34"/>
      <c r="ALV140" s="34"/>
      <c r="ALW140" s="34"/>
      <c r="ALX140" s="34"/>
      <c r="ALY140" s="34"/>
      <c r="ALZ140" s="34"/>
      <c r="AMA140" s="34"/>
      <c r="AMB140" s="34"/>
      <c r="AMC140" s="34"/>
      <c r="AMD140" s="34"/>
      <c r="AME140" s="34"/>
      <c r="AMF140" s="34"/>
      <c r="AMG140" s="34"/>
      <c r="AMH140" s="34"/>
      <c r="AMI140" s="34"/>
      <c r="AMJ140" s="34"/>
      <c r="AMK140" s="34"/>
      <c r="AML140" s="34"/>
      <c r="AMM140" s="34"/>
      <c r="AMN140" s="34"/>
      <c r="AMO140" s="34"/>
      <c r="AMP140" s="34"/>
      <c r="AMQ140" s="34"/>
      <c r="AMR140" s="34"/>
      <c r="AMS140" s="34"/>
      <c r="AMT140" s="34"/>
      <c r="AMU140" s="34"/>
      <c r="AMV140" s="34"/>
      <c r="AMW140" s="34"/>
      <c r="AMX140" s="34"/>
      <c r="AMY140" s="34"/>
      <c r="AMZ140" s="34"/>
      <c r="ANA140" s="34"/>
      <c r="ANB140" s="34"/>
      <c r="ANC140" s="34"/>
      <c r="AND140" s="34"/>
      <c r="ANE140" s="34"/>
      <c r="ANF140" s="34"/>
      <c r="ANG140" s="34"/>
      <c r="ANH140" s="34"/>
      <c r="ANI140" s="34"/>
      <c r="ANJ140" s="34"/>
      <c r="ANK140" s="34"/>
      <c r="ANL140" s="34"/>
      <c r="ANM140" s="34"/>
      <c r="ANN140" s="34"/>
      <c r="ANO140" s="34"/>
      <c r="ANP140" s="34"/>
      <c r="ANQ140" s="34"/>
      <c r="ANR140" s="34"/>
      <c r="ANS140" s="34"/>
      <c r="ANT140" s="34"/>
      <c r="ANU140" s="34"/>
      <c r="ANV140" s="34"/>
      <c r="ANW140" s="34"/>
      <c r="ANX140" s="34"/>
      <c r="ANY140" s="34"/>
      <c r="ANZ140" s="34"/>
      <c r="AOA140" s="34"/>
      <c r="AOB140" s="34"/>
      <c r="AOC140" s="34"/>
      <c r="AOD140" s="34"/>
      <c r="AOE140" s="34"/>
      <c r="AOF140" s="34"/>
      <c r="AOG140" s="34"/>
      <c r="AOH140" s="34"/>
      <c r="AOI140" s="34"/>
      <c r="AOJ140" s="34"/>
      <c r="AOK140" s="34"/>
      <c r="AOL140" s="34"/>
      <c r="AOM140" s="34"/>
      <c r="AON140" s="34"/>
      <c r="AOO140" s="34"/>
      <c r="AOP140" s="34"/>
      <c r="AOQ140" s="34"/>
      <c r="AOR140" s="34"/>
      <c r="AOS140" s="34"/>
      <c r="AOT140" s="34"/>
      <c r="AOU140" s="34"/>
      <c r="AOV140" s="34"/>
      <c r="AOW140" s="34"/>
      <c r="AOX140" s="34"/>
      <c r="AOY140" s="34"/>
      <c r="AOZ140" s="34"/>
      <c r="APA140" s="34"/>
      <c r="APB140" s="34"/>
      <c r="APC140" s="34"/>
      <c r="APD140" s="34"/>
      <c r="APE140" s="34"/>
      <c r="APF140" s="34"/>
      <c r="APG140" s="34"/>
      <c r="APH140" s="34"/>
      <c r="API140" s="34"/>
      <c r="APJ140" s="34"/>
      <c r="APK140" s="34"/>
      <c r="APL140" s="34"/>
      <c r="APM140" s="34"/>
      <c r="APN140" s="34"/>
      <c r="APO140" s="34"/>
      <c r="APP140" s="34"/>
      <c r="APQ140" s="34"/>
      <c r="APR140" s="34"/>
      <c r="APS140" s="34"/>
      <c r="APT140" s="34"/>
      <c r="APU140" s="34"/>
      <c r="APV140" s="34"/>
      <c r="APW140" s="34"/>
      <c r="APX140" s="34"/>
      <c r="APY140" s="34"/>
      <c r="APZ140" s="34"/>
      <c r="AQA140" s="34"/>
      <c r="AQB140" s="34"/>
      <c r="AQC140" s="34"/>
      <c r="AQD140" s="34"/>
      <c r="AQE140" s="34"/>
      <c r="AQF140" s="34"/>
      <c r="AQG140" s="34"/>
      <c r="AQH140" s="34"/>
      <c r="AQI140" s="34"/>
      <c r="AQJ140" s="34"/>
      <c r="AQK140" s="34"/>
      <c r="AQL140" s="34"/>
      <c r="AQM140" s="34"/>
      <c r="AQN140" s="34"/>
      <c r="AQO140" s="34"/>
      <c r="AQP140" s="34"/>
      <c r="AQQ140" s="34"/>
      <c r="AQR140" s="34"/>
      <c r="AQS140" s="34"/>
      <c r="AQT140" s="34"/>
      <c r="AQU140" s="34"/>
      <c r="AQV140" s="34"/>
      <c r="AQW140" s="34"/>
      <c r="AQX140" s="34"/>
      <c r="AQY140" s="34"/>
      <c r="AQZ140" s="34"/>
      <c r="ARA140" s="34"/>
      <c r="ARB140" s="34"/>
      <c r="ARC140" s="34"/>
      <c r="ARD140" s="34"/>
      <c r="ARE140" s="34"/>
      <c r="ARF140" s="34"/>
      <c r="ARG140" s="34"/>
      <c r="ARH140" s="34"/>
      <c r="ARI140" s="34"/>
      <c r="ARJ140" s="34"/>
      <c r="ARK140" s="34"/>
      <c r="ARL140" s="34"/>
      <c r="ARM140" s="34"/>
      <c r="ARN140" s="34"/>
      <c r="ARO140" s="34"/>
      <c r="ARP140" s="34"/>
      <c r="ARQ140" s="34"/>
      <c r="ARR140" s="34"/>
      <c r="ARS140" s="34"/>
      <c r="ART140" s="34"/>
      <c r="ARU140" s="34"/>
      <c r="ARV140" s="34"/>
      <c r="ARW140" s="34"/>
      <c r="ARX140" s="34"/>
      <c r="ARY140" s="34"/>
      <c r="ARZ140" s="34"/>
      <c r="ASA140" s="34"/>
      <c r="ASB140" s="34"/>
      <c r="ASC140" s="34"/>
      <c r="ASD140" s="34"/>
      <c r="ASE140" s="34"/>
      <c r="ASF140" s="34"/>
      <c r="ASG140" s="34"/>
      <c r="ASH140" s="34"/>
      <c r="ASI140" s="34"/>
      <c r="ASJ140" s="34"/>
      <c r="ASK140" s="34"/>
      <c r="ASL140" s="34"/>
      <c r="ASM140" s="34"/>
      <c r="ASN140" s="34"/>
      <c r="ASO140" s="34"/>
      <c r="ASP140" s="34"/>
      <c r="ASQ140" s="34"/>
      <c r="ASR140" s="34"/>
      <c r="ASS140" s="34"/>
      <c r="AST140" s="34"/>
      <c r="ASU140" s="34"/>
      <c r="ASV140" s="34"/>
      <c r="ASW140" s="34"/>
      <c r="ASX140" s="34"/>
      <c r="ASY140" s="34"/>
      <c r="ASZ140" s="34"/>
      <c r="ATA140" s="34"/>
      <c r="ATB140" s="34"/>
      <c r="ATC140" s="34"/>
      <c r="ATD140" s="34"/>
      <c r="ATE140" s="34"/>
      <c r="ATF140" s="34"/>
      <c r="ATG140" s="34"/>
      <c r="ATH140" s="34"/>
      <c r="ATI140" s="34"/>
      <c r="ATJ140" s="34"/>
      <c r="ATK140" s="34"/>
      <c r="ATL140" s="34"/>
      <c r="ATM140" s="34"/>
      <c r="ATN140" s="34"/>
      <c r="ATO140" s="34"/>
      <c r="ATP140" s="34"/>
      <c r="ATQ140" s="34"/>
      <c r="ATR140" s="34"/>
      <c r="ATS140" s="34"/>
      <c r="ATT140" s="34"/>
      <c r="ATU140" s="34"/>
      <c r="ATV140" s="34"/>
      <c r="ATW140" s="34"/>
      <c r="ATX140" s="34"/>
      <c r="ATY140" s="34"/>
      <c r="ATZ140" s="34"/>
      <c r="AUA140" s="34"/>
      <c r="AUB140" s="34"/>
      <c r="AUC140" s="34"/>
      <c r="AUD140" s="34"/>
      <c r="AUE140" s="34"/>
      <c r="AUF140" s="34"/>
      <c r="AUG140" s="34"/>
      <c r="AUH140" s="34"/>
      <c r="AUI140" s="34"/>
      <c r="AUJ140" s="34"/>
      <c r="AUK140" s="34"/>
      <c r="AUL140" s="34"/>
      <c r="AUM140" s="34"/>
      <c r="AUN140" s="34"/>
      <c r="AUO140" s="34"/>
      <c r="AUP140" s="34"/>
      <c r="AUQ140" s="34"/>
      <c r="AUR140" s="34"/>
      <c r="AUS140" s="34"/>
      <c r="AUT140" s="34"/>
      <c r="AUU140" s="34"/>
      <c r="AUV140" s="34"/>
      <c r="AUW140" s="34"/>
      <c r="AUX140" s="34"/>
      <c r="AUY140" s="34"/>
      <c r="AUZ140" s="34"/>
      <c r="AVA140" s="34"/>
      <c r="AVB140" s="34"/>
      <c r="AVC140" s="34"/>
      <c r="AVD140" s="34"/>
      <c r="AVE140" s="34"/>
      <c r="AVF140" s="34"/>
      <c r="AVG140" s="34"/>
      <c r="AVH140" s="34"/>
      <c r="AVI140" s="34"/>
      <c r="AVJ140" s="34"/>
      <c r="AVK140" s="34"/>
      <c r="AVL140" s="34"/>
      <c r="AVM140" s="34"/>
      <c r="AVN140" s="34"/>
      <c r="AVO140" s="34"/>
      <c r="AVP140" s="34"/>
      <c r="AVQ140" s="34"/>
      <c r="AVR140" s="34"/>
      <c r="AVS140" s="34"/>
      <c r="AVT140" s="34"/>
      <c r="AVU140" s="34"/>
      <c r="AVV140" s="34"/>
      <c r="AVW140" s="34"/>
      <c r="AVX140" s="34"/>
      <c r="AVY140" s="34"/>
      <c r="AVZ140" s="34"/>
      <c r="AWA140" s="34"/>
      <c r="AWB140" s="34"/>
      <c r="AWC140" s="34"/>
      <c r="AWD140" s="34"/>
      <c r="AWE140" s="34"/>
      <c r="AWF140" s="34"/>
      <c r="AWG140" s="34"/>
      <c r="AWH140" s="34"/>
      <c r="AWI140" s="34"/>
      <c r="AWJ140" s="34"/>
      <c r="AWK140" s="34"/>
      <c r="AWL140" s="34"/>
      <c r="AWM140" s="34"/>
      <c r="AWN140" s="34"/>
      <c r="AWO140" s="34"/>
      <c r="AWP140" s="34"/>
      <c r="AWQ140" s="34"/>
      <c r="AWR140" s="34"/>
      <c r="AWS140" s="34"/>
      <c r="AWT140" s="34"/>
      <c r="AWU140" s="34"/>
      <c r="AWV140" s="34"/>
      <c r="AWW140" s="34"/>
      <c r="AWX140" s="34"/>
      <c r="AWY140" s="34"/>
      <c r="AWZ140" s="34"/>
      <c r="AXA140" s="34"/>
      <c r="AXB140" s="34"/>
      <c r="AXC140" s="34"/>
      <c r="AXD140" s="34"/>
      <c r="AXE140" s="34"/>
      <c r="AXF140" s="34"/>
      <c r="AXG140" s="34"/>
      <c r="AXH140" s="34"/>
      <c r="AXI140" s="34"/>
      <c r="AXJ140" s="34"/>
      <c r="AXK140" s="34"/>
      <c r="AXL140" s="34"/>
      <c r="AXM140" s="34"/>
      <c r="AXN140" s="34"/>
      <c r="AXO140" s="34"/>
      <c r="AXP140" s="34"/>
      <c r="AXQ140" s="34"/>
      <c r="AXR140" s="34"/>
      <c r="AXS140" s="34"/>
      <c r="AXT140" s="34"/>
      <c r="AXU140" s="34"/>
      <c r="AXV140" s="34"/>
      <c r="AXW140" s="34"/>
      <c r="AXX140" s="34"/>
      <c r="AXY140" s="34"/>
      <c r="AXZ140" s="34"/>
      <c r="AYA140" s="34"/>
      <c r="AYB140" s="34"/>
      <c r="AYC140" s="34"/>
      <c r="AYD140" s="34"/>
      <c r="AYE140" s="34"/>
      <c r="AYF140" s="34"/>
      <c r="AYG140" s="34"/>
      <c r="AYH140" s="34"/>
      <c r="AYI140" s="34"/>
      <c r="AYJ140" s="34"/>
      <c r="AYK140" s="34"/>
      <c r="AYL140" s="34"/>
      <c r="AYM140" s="34"/>
      <c r="AYN140" s="34"/>
      <c r="AYO140" s="34"/>
      <c r="AYP140" s="34"/>
      <c r="AYQ140" s="34"/>
      <c r="AYR140" s="34"/>
      <c r="AYS140" s="34"/>
      <c r="AYT140" s="34"/>
      <c r="AYU140" s="34"/>
      <c r="AYV140" s="34"/>
      <c r="AYW140" s="34"/>
      <c r="AYX140" s="34"/>
      <c r="AYY140" s="34"/>
      <c r="AYZ140" s="34"/>
      <c r="AZA140" s="34"/>
      <c r="AZB140" s="34"/>
      <c r="AZC140" s="34"/>
      <c r="AZD140" s="34"/>
      <c r="AZE140" s="34"/>
      <c r="AZF140" s="34"/>
      <c r="AZG140" s="34"/>
      <c r="AZH140" s="34"/>
      <c r="AZI140" s="34"/>
      <c r="AZJ140" s="34"/>
      <c r="AZK140" s="34"/>
      <c r="AZL140" s="34"/>
      <c r="AZM140" s="34"/>
      <c r="AZN140" s="34"/>
      <c r="AZO140" s="34"/>
      <c r="AZP140" s="34"/>
      <c r="AZQ140" s="34"/>
      <c r="AZR140" s="34"/>
      <c r="AZS140" s="34"/>
      <c r="AZT140" s="34"/>
      <c r="AZU140" s="34"/>
      <c r="AZV140" s="34"/>
      <c r="AZW140" s="34"/>
      <c r="AZX140" s="34"/>
      <c r="AZY140" s="34"/>
      <c r="AZZ140" s="34"/>
      <c r="BAA140" s="34"/>
      <c r="BAB140" s="34"/>
      <c r="BAC140" s="34"/>
      <c r="BAD140" s="34"/>
      <c r="BAE140" s="34"/>
      <c r="BAF140" s="34"/>
      <c r="BAG140" s="34"/>
      <c r="BAH140" s="34"/>
      <c r="BAI140" s="34"/>
      <c r="BAJ140" s="34"/>
      <c r="BAK140" s="34"/>
      <c r="BAL140" s="34"/>
      <c r="BAM140" s="34"/>
      <c r="BAN140" s="34"/>
      <c r="BAO140" s="34"/>
      <c r="BAP140" s="34"/>
      <c r="BAQ140" s="34"/>
      <c r="BAR140" s="34"/>
      <c r="BAS140" s="34"/>
      <c r="BAT140" s="34"/>
      <c r="BAU140" s="34"/>
      <c r="BAV140" s="34"/>
      <c r="BAW140" s="34"/>
      <c r="BAX140" s="34"/>
      <c r="BAY140" s="34"/>
      <c r="BAZ140" s="34"/>
      <c r="BBA140" s="34"/>
      <c r="BBB140" s="34"/>
      <c r="BBC140" s="34"/>
      <c r="BBD140" s="34"/>
      <c r="BBE140" s="34"/>
      <c r="BBF140" s="34"/>
      <c r="BBG140" s="34"/>
      <c r="BBH140" s="34"/>
      <c r="BBI140" s="34"/>
      <c r="BBJ140" s="34"/>
      <c r="BBK140" s="34"/>
      <c r="BBL140" s="34"/>
      <c r="BBM140" s="34"/>
      <c r="BBN140" s="34"/>
      <c r="BBO140" s="34"/>
      <c r="BBP140" s="34"/>
      <c r="BBQ140" s="34"/>
      <c r="BBR140" s="34"/>
      <c r="BBS140" s="34"/>
      <c r="BBT140" s="34"/>
      <c r="BBU140" s="34"/>
      <c r="BBV140" s="34"/>
      <c r="BBW140" s="34"/>
      <c r="BBX140" s="34"/>
      <c r="BBY140" s="34"/>
      <c r="BBZ140" s="34"/>
      <c r="BCA140" s="34"/>
      <c r="BCB140" s="34"/>
      <c r="BCC140" s="34"/>
      <c r="BCD140" s="34"/>
      <c r="BCE140" s="34"/>
      <c r="BCF140" s="34"/>
      <c r="BCG140" s="34"/>
      <c r="BCH140" s="34"/>
      <c r="BCI140" s="34"/>
      <c r="BCJ140" s="34"/>
      <c r="BCK140" s="34"/>
      <c r="BCL140" s="34"/>
      <c r="BCM140" s="34"/>
      <c r="BCN140" s="34"/>
      <c r="BCO140" s="34"/>
      <c r="BCP140" s="34"/>
      <c r="BCQ140" s="34"/>
      <c r="BCR140" s="34"/>
      <c r="BCS140" s="34"/>
      <c r="BCT140" s="34"/>
      <c r="BCU140" s="34"/>
      <c r="BCV140" s="34"/>
      <c r="BCW140" s="34"/>
      <c r="BCX140" s="34"/>
      <c r="BCY140" s="34"/>
      <c r="BCZ140" s="34"/>
      <c r="BDA140" s="34"/>
      <c r="BDB140" s="34"/>
      <c r="BDC140" s="34"/>
      <c r="BDD140" s="34"/>
      <c r="BDE140" s="34"/>
      <c r="BDF140" s="34"/>
      <c r="BDG140" s="34"/>
      <c r="BDH140" s="34"/>
      <c r="BDI140" s="34"/>
      <c r="BDJ140" s="34"/>
      <c r="BDK140" s="34"/>
      <c r="BDL140" s="34"/>
      <c r="BDM140" s="34"/>
      <c r="BDN140" s="34"/>
      <c r="BDO140" s="34"/>
      <c r="BDP140" s="34"/>
      <c r="BDQ140" s="34"/>
      <c r="BDR140" s="34"/>
      <c r="BDS140" s="34"/>
      <c r="BDT140" s="34"/>
      <c r="BDU140" s="34"/>
      <c r="BDV140" s="34"/>
      <c r="BDW140" s="34"/>
      <c r="BDX140" s="34"/>
      <c r="BDY140" s="34"/>
      <c r="BDZ140" s="34"/>
      <c r="BEA140" s="34"/>
      <c r="BEB140" s="34"/>
      <c r="BEC140" s="34"/>
      <c r="BED140" s="34"/>
      <c r="BEE140" s="34"/>
      <c r="BEF140" s="34"/>
      <c r="BEG140" s="34"/>
      <c r="BEH140" s="34"/>
      <c r="BEI140" s="34"/>
      <c r="BEJ140" s="34"/>
      <c r="BEK140" s="34"/>
      <c r="BEL140" s="34"/>
      <c r="BEM140" s="34"/>
      <c r="BEN140" s="34"/>
      <c r="BEO140" s="34"/>
      <c r="BEP140" s="34"/>
      <c r="BEQ140" s="34"/>
      <c r="BER140" s="34"/>
      <c r="BES140" s="34"/>
      <c r="BET140" s="34"/>
      <c r="BEU140" s="34"/>
      <c r="BEV140" s="34"/>
      <c r="BEW140" s="34"/>
      <c r="BEX140" s="34"/>
      <c r="BEY140" s="34"/>
      <c r="BEZ140" s="34"/>
      <c r="BFA140" s="34"/>
      <c r="BFB140" s="34"/>
      <c r="BFC140" s="34"/>
      <c r="BFD140" s="34"/>
      <c r="BFE140" s="34"/>
      <c r="BFF140" s="34"/>
      <c r="BFG140" s="34"/>
      <c r="BFH140" s="34"/>
      <c r="BFI140" s="34"/>
      <c r="BFJ140" s="34"/>
      <c r="BFK140" s="34"/>
      <c r="BFL140" s="34"/>
      <c r="BFM140" s="34"/>
      <c r="BFN140" s="34"/>
      <c r="BFO140" s="34"/>
      <c r="BFP140" s="34"/>
      <c r="BFQ140" s="34"/>
      <c r="BFR140" s="34"/>
      <c r="BFS140" s="34"/>
      <c r="BFT140" s="34"/>
      <c r="BFU140" s="34"/>
      <c r="BFV140" s="34"/>
      <c r="BFW140" s="34"/>
      <c r="BFX140" s="34"/>
      <c r="BFY140" s="34"/>
      <c r="BFZ140" s="34"/>
      <c r="BGA140" s="34"/>
      <c r="BGB140" s="34"/>
      <c r="BGC140" s="34"/>
      <c r="BGD140" s="34"/>
      <c r="BGE140" s="34"/>
      <c r="BGF140" s="34"/>
      <c r="BGG140" s="34"/>
      <c r="BGH140" s="34"/>
      <c r="BGI140" s="34"/>
      <c r="BGJ140" s="34"/>
      <c r="BGK140" s="34"/>
      <c r="BGL140" s="34"/>
      <c r="BGM140" s="34"/>
      <c r="BGN140" s="34"/>
      <c r="BGO140" s="34"/>
      <c r="BGP140" s="34"/>
      <c r="BGQ140" s="34"/>
      <c r="BGR140" s="34"/>
      <c r="BGS140" s="34"/>
      <c r="BGT140" s="34"/>
      <c r="BGU140" s="34"/>
      <c r="BGV140" s="34"/>
      <c r="BGW140" s="34"/>
      <c r="BGX140" s="34"/>
      <c r="BGY140" s="34"/>
      <c r="BGZ140" s="34"/>
      <c r="BHA140" s="34"/>
      <c r="BHB140" s="34"/>
      <c r="BHC140" s="34"/>
      <c r="BHD140" s="34"/>
      <c r="BHE140" s="34"/>
      <c r="BHF140" s="34"/>
      <c r="BHG140" s="34"/>
      <c r="BHH140" s="34"/>
      <c r="BHI140" s="34"/>
      <c r="BHJ140" s="34"/>
      <c r="BHK140" s="34"/>
      <c r="BHL140" s="34"/>
      <c r="BHM140" s="34"/>
      <c r="BHN140" s="34"/>
      <c r="BHO140" s="34"/>
      <c r="BHP140" s="34"/>
      <c r="BHQ140" s="34"/>
      <c r="BHR140" s="34"/>
      <c r="BHS140" s="34"/>
      <c r="BHT140" s="34"/>
      <c r="BHU140" s="34"/>
      <c r="BHV140" s="34"/>
      <c r="BHW140" s="34"/>
      <c r="BHX140" s="34"/>
      <c r="BHY140" s="34"/>
      <c r="BHZ140" s="34"/>
      <c r="BIA140" s="34"/>
      <c r="BIB140" s="34"/>
      <c r="BIC140" s="34"/>
      <c r="BID140" s="34"/>
      <c r="BIE140" s="34"/>
      <c r="BIF140" s="34"/>
      <c r="BIG140" s="34"/>
      <c r="BIH140" s="34"/>
      <c r="BII140" s="34"/>
      <c r="BIJ140" s="34"/>
      <c r="BIK140" s="34"/>
      <c r="BIL140" s="34"/>
      <c r="BIM140" s="34"/>
      <c r="BIN140" s="34"/>
      <c r="BIO140" s="34"/>
      <c r="BIP140" s="34"/>
      <c r="BIQ140" s="34"/>
      <c r="BIR140" s="34"/>
      <c r="BIS140" s="34"/>
      <c r="BIT140" s="34"/>
      <c r="BIU140" s="34"/>
      <c r="BIV140" s="34"/>
      <c r="BIW140" s="34"/>
      <c r="BIX140" s="34"/>
      <c r="BIY140" s="34"/>
      <c r="BIZ140" s="34"/>
      <c r="BJA140" s="34"/>
      <c r="BJB140" s="34"/>
      <c r="BJC140" s="34"/>
      <c r="BJD140" s="34"/>
      <c r="BJE140" s="34"/>
      <c r="BJF140" s="34"/>
      <c r="BJG140" s="34"/>
      <c r="BJH140" s="34"/>
      <c r="BJI140" s="34"/>
      <c r="BJJ140" s="34"/>
      <c r="BJK140" s="34"/>
      <c r="BJL140" s="34"/>
      <c r="BJM140" s="34"/>
      <c r="BJN140" s="34"/>
      <c r="BJO140" s="34"/>
      <c r="BJP140" s="34"/>
      <c r="BJQ140" s="34"/>
      <c r="BJR140" s="34"/>
      <c r="BJS140" s="34"/>
      <c r="BJT140" s="34"/>
      <c r="BJU140" s="34"/>
      <c r="BJV140" s="34"/>
      <c r="BJW140" s="34"/>
      <c r="BJX140" s="34"/>
      <c r="BJY140" s="34"/>
      <c r="BJZ140" s="34"/>
      <c r="BKA140" s="34"/>
      <c r="BKB140" s="34"/>
      <c r="BKC140" s="34"/>
      <c r="BKD140" s="34"/>
      <c r="BKE140" s="34"/>
      <c r="BKF140" s="34"/>
      <c r="BKG140" s="34"/>
      <c r="BKH140" s="34"/>
      <c r="BKI140" s="34"/>
      <c r="BKJ140" s="34"/>
      <c r="BKK140" s="34"/>
      <c r="BKL140" s="34"/>
      <c r="BKM140" s="34"/>
      <c r="BKN140" s="34"/>
      <c r="BKO140" s="34"/>
      <c r="BKP140" s="34"/>
      <c r="BKQ140" s="34"/>
      <c r="BKR140" s="34"/>
      <c r="BKS140" s="34"/>
      <c r="BKT140" s="34"/>
      <c r="BKU140" s="34"/>
      <c r="BKV140" s="34"/>
      <c r="BKW140" s="34"/>
      <c r="BKX140" s="34"/>
      <c r="BKY140" s="34"/>
      <c r="BKZ140" s="34"/>
      <c r="BLA140" s="34"/>
      <c r="BLB140" s="34"/>
      <c r="BLC140" s="34"/>
      <c r="BLD140" s="34"/>
      <c r="BLE140" s="34"/>
      <c r="BLF140" s="34"/>
      <c r="BLG140" s="34"/>
      <c r="BLH140" s="34"/>
      <c r="BLI140" s="34"/>
      <c r="BLJ140" s="34"/>
      <c r="BLK140" s="34"/>
      <c r="BLL140" s="34"/>
      <c r="BLM140" s="34"/>
      <c r="BLN140" s="34"/>
      <c r="BLO140" s="34"/>
      <c r="BLP140" s="34"/>
      <c r="BLQ140" s="34"/>
      <c r="BLR140" s="34"/>
      <c r="BLS140" s="34"/>
      <c r="BLT140" s="34"/>
      <c r="BLU140" s="34"/>
      <c r="BLV140" s="34"/>
      <c r="BLW140" s="34"/>
      <c r="BLX140" s="34"/>
      <c r="BLY140" s="34"/>
      <c r="BLZ140" s="34"/>
      <c r="BMA140" s="34"/>
      <c r="BMB140" s="34"/>
      <c r="BMC140" s="34"/>
      <c r="BMD140" s="34"/>
      <c r="BME140" s="34"/>
      <c r="BMF140" s="34"/>
      <c r="BMG140" s="34"/>
      <c r="BMH140" s="34"/>
      <c r="BMI140" s="34"/>
      <c r="BMJ140" s="34"/>
      <c r="BMK140" s="34"/>
      <c r="BML140" s="34"/>
      <c r="BMM140" s="34"/>
      <c r="BMN140" s="34"/>
      <c r="BMO140" s="34"/>
      <c r="BMP140" s="34"/>
      <c r="BMQ140" s="34"/>
      <c r="BMR140" s="34"/>
      <c r="BMS140" s="34"/>
      <c r="BMT140" s="34"/>
      <c r="BMU140" s="34"/>
      <c r="BMV140" s="34"/>
      <c r="BMW140" s="34"/>
      <c r="BMX140" s="34"/>
      <c r="BMY140" s="34"/>
      <c r="BMZ140" s="34"/>
      <c r="BNA140" s="34"/>
      <c r="BNB140" s="34"/>
      <c r="BNC140" s="34"/>
      <c r="BND140" s="34"/>
      <c r="BNE140" s="34"/>
      <c r="BNF140" s="34"/>
      <c r="BNG140" s="34"/>
      <c r="BNH140" s="34"/>
      <c r="BNI140" s="34"/>
      <c r="BNJ140" s="34"/>
      <c r="BNK140" s="34"/>
      <c r="BNL140" s="34"/>
      <c r="BNM140" s="34"/>
      <c r="BNN140" s="34"/>
      <c r="BNO140" s="34"/>
      <c r="BNP140" s="34"/>
      <c r="BNQ140" s="34"/>
      <c r="BNR140" s="34"/>
      <c r="BNS140" s="34"/>
      <c r="BNT140" s="34"/>
      <c r="BNU140" s="34"/>
      <c r="BNV140" s="34"/>
      <c r="BNW140" s="34"/>
      <c r="BNX140" s="34"/>
      <c r="BNY140" s="34"/>
      <c r="BNZ140" s="34"/>
      <c r="BOA140" s="34"/>
      <c r="BOB140" s="34"/>
      <c r="BOC140" s="34"/>
      <c r="BOD140" s="34"/>
      <c r="BOE140" s="34"/>
      <c r="BOF140" s="34"/>
      <c r="BOG140" s="34"/>
      <c r="BOH140" s="34"/>
      <c r="BOI140" s="34"/>
      <c r="BOJ140" s="34"/>
      <c r="BOK140" s="34"/>
      <c r="BOL140" s="34"/>
      <c r="BOM140" s="34"/>
      <c r="BON140" s="34"/>
      <c r="BOO140" s="34"/>
      <c r="BOP140" s="34"/>
      <c r="BOQ140" s="34"/>
      <c r="BOR140" s="34"/>
      <c r="BOS140" s="34"/>
      <c r="BOT140" s="34"/>
      <c r="BOU140" s="34"/>
      <c r="BOV140" s="34"/>
      <c r="BOW140" s="34"/>
      <c r="BOX140" s="34"/>
      <c r="BOY140" s="34"/>
      <c r="BOZ140" s="34"/>
      <c r="BPA140" s="34"/>
      <c r="BPB140" s="34"/>
      <c r="BPC140" s="34"/>
      <c r="BPD140" s="34"/>
      <c r="BPE140" s="34"/>
      <c r="BPF140" s="34"/>
      <c r="BPG140" s="34"/>
      <c r="BPH140" s="34"/>
      <c r="BPI140" s="34"/>
      <c r="BPJ140" s="34"/>
      <c r="BPK140" s="34"/>
      <c r="BPL140" s="34"/>
      <c r="BPM140" s="34"/>
      <c r="BPN140" s="34"/>
      <c r="BPO140" s="34"/>
      <c r="BPP140" s="34"/>
      <c r="BPQ140" s="34"/>
      <c r="BPR140" s="34"/>
      <c r="BPS140" s="34"/>
      <c r="BPT140" s="34"/>
      <c r="BPU140" s="34"/>
      <c r="BPV140" s="34"/>
      <c r="BPW140" s="34"/>
      <c r="BPX140" s="34"/>
      <c r="BPY140" s="34"/>
      <c r="BPZ140" s="34"/>
      <c r="BQA140" s="34"/>
      <c r="BQB140" s="34"/>
      <c r="BQC140" s="34"/>
      <c r="BQD140" s="34"/>
      <c r="BQE140" s="34"/>
      <c r="BQF140" s="34"/>
      <c r="BQG140" s="34"/>
      <c r="BQH140" s="34"/>
      <c r="BQI140" s="34"/>
      <c r="BQJ140" s="34"/>
      <c r="BQK140" s="34"/>
      <c r="BQL140" s="34"/>
      <c r="BQM140" s="34"/>
      <c r="BQN140" s="34"/>
      <c r="BQO140" s="34"/>
      <c r="BQP140" s="34"/>
      <c r="BQQ140" s="34"/>
      <c r="BQR140" s="34"/>
      <c r="BQS140" s="34"/>
      <c r="BQT140" s="34"/>
      <c r="BQU140" s="34"/>
      <c r="BQV140" s="34"/>
      <c r="BQW140" s="34"/>
      <c r="BQX140" s="34"/>
      <c r="BQY140" s="34"/>
      <c r="BQZ140" s="34"/>
      <c r="BRA140" s="34"/>
      <c r="BRB140" s="34"/>
      <c r="BRC140" s="34"/>
      <c r="BRD140" s="34"/>
      <c r="BRE140" s="34"/>
      <c r="BRF140" s="34"/>
      <c r="BRG140" s="34"/>
      <c r="BRH140" s="34"/>
      <c r="BRI140" s="34"/>
      <c r="BRJ140" s="34"/>
      <c r="BRK140" s="34"/>
      <c r="BRL140" s="34"/>
      <c r="BRM140" s="34"/>
      <c r="BRN140" s="34"/>
      <c r="BRO140" s="34"/>
      <c r="BRP140" s="34"/>
      <c r="BRQ140" s="34"/>
      <c r="BRR140" s="34"/>
      <c r="BRS140" s="34"/>
      <c r="BRT140" s="34"/>
      <c r="BRU140" s="34"/>
      <c r="BRV140" s="34"/>
      <c r="BRW140" s="34"/>
      <c r="BRX140" s="34"/>
      <c r="BRY140" s="34"/>
      <c r="BRZ140" s="34"/>
      <c r="BSA140" s="34"/>
      <c r="BSB140" s="34"/>
      <c r="BSC140" s="34"/>
      <c r="BSD140" s="34"/>
      <c r="BSE140" s="34"/>
      <c r="BSF140" s="34"/>
      <c r="BSG140" s="34"/>
      <c r="BSH140" s="34"/>
      <c r="BSI140" s="34"/>
      <c r="BSJ140" s="34"/>
      <c r="BSK140" s="34"/>
      <c r="BSL140" s="34"/>
      <c r="BSM140" s="34"/>
      <c r="BSN140" s="34"/>
      <c r="BSO140" s="34"/>
      <c r="BSP140" s="34"/>
      <c r="BSQ140" s="34"/>
      <c r="BSR140" s="34"/>
      <c r="BSS140" s="34"/>
      <c r="BST140" s="34"/>
      <c r="BSU140" s="34"/>
      <c r="BSV140" s="34"/>
      <c r="BSW140" s="34"/>
      <c r="BSX140" s="34"/>
      <c r="BSY140" s="34"/>
      <c r="BSZ140" s="34"/>
      <c r="BTA140" s="34"/>
      <c r="BTB140" s="34"/>
      <c r="BTC140" s="34"/>
      <c r="BTD140" s="34"/>
      <c r="BTE140" s="34"/>
      <c r="BTF140" s="34"/>
      <c r="BTG140" s="34"/>
      <c r="BTH140" s="34"/>
      <c r="BTI140" s="34"/>
      <c r="BTJ140" s="34"/>
      <c r="BTK140" s="34"/>
      <c r="BTL140" s="34"/>
      <c r="BTM140" s="34"/>
      <c r="BTN140" s="34"/>
      <c r="BTO140" s="34"/>
      <c r="BTP140" s="34"/>
      <c r="BTQ140" s="34"/>
      <c r="BTR140" s="34"/>
      <c r="BTS140" s="34"/>
      <c r="BTT140" s="34"/>
      <c r="BTU140" s="34"/>
      <c r="BTV140" s="34"/>
      <c r="BTW140" s="34"/>
      <c r="BTX140" s="34"/>
      <c r="BTY140" s="34"/>
      <c r="BTZ140" s="34"/>
      <c r="BUA140" s="34"/>
      <c r="BUB140" s="34"/>
      <c r="BUC140" s="34"/>
      <c r="BUD140" s="34"/>
      <c r="BUE140" s="34"/>
      <c r="BUF140" s="34"/>
      <c r="BUG140" s="34"/>
      <c r="BUH140" s="34"/>
      <c r="BUI140" s="34"/>
      <c r="BUJ140" s="34"/>
      <c r="BUK140" s="34"/>
      <c r="BUL140" s="34"/>
      <c r="BUM140" s="34"/>
      <c r="BUN140" s="34"/>
      <c r="BUO140" s="34"/>
      <c r="BUP140" s="34"/>
      <c r="BUQ140" s="34"/>
      <c r="BUR140" s="34"/>
      <c r="BUS140" s="34"/>
      <c r="BUT140" s="34"/>
      <c r="BUU140" s="34"/>
      <c r="BUV140" s="34"/>
      <c r="BUW140" s="34"/>
      <c r="BUX140" s="34"/>
      <c r="BUY140" s="34"/>
      <c r="BUZ140" s="34"/>
      <c r="BVA140" s="34"/>
      <c r="BVB140" s="34"/>
      <c r="BVC140" s="34"/>
      <c r="BVD140" s="34"/>
      <c r="BVE140" s="34"/>
      <c r="BVF140" s="34"/>
      <c r="BVG140" s="34"/>
      <c r="BVH140" s="34"/>
      <c r="BVI140" s="34"/>
      <c r="BVJ140" s="34"/>
      <c r="BVK140" s="34"/>
      <c r="BVL140" s="34"/>
      <c r="BVM140" s="34"/>
      <c r="BVN140" s="34"/>
      <c r="BVO140" s="34"/>
      <c r="BVP140" s="34"/>
      <c r="BVQ140" s="34"/>
      <c r="BVR140" s="34"/>
      <c r="BVS140" s="34"/>
      <c r="BVT140" s="34"/>
      <c r="BVU140" s="34"/>
      <c r="BVV140" s="34"/>
      <c r="BVW140" s="34"/>
      <c r="BVX140" s="34"/>
      <c r="BVY140" s="34"/>
      <c r="BVZ140" s="34"/>
      <c r="BWA140" s="34"/>
      <c r="BWB140" s="34"/>
      <c r="BWC140" s="34"/>
      <c r="BWD140" s="34"/>
      <c r="BWE140" s="34"/>
      <c r="BWF140" s="34"/>
      <c r="BWG140" s="34"/>
      <c r="BWH140" s="34"/>
      <c r="BWI140" s="34"/>
      <c r="BWJ140" s="34"/>
      <c r="BWK140" s="34"/>
      <c r="BWL140" s="34"/>
      <c r="BWM140" s="34"/>
      <c r="BWN140" s="34"/>
      <c r="BWO140" s="34"/>
      <c r="BWP140" s="34"/>
      <c r="BWQ140" s="34"/>
      <c r="BWR140" s="34"/>
      <c r="BWS140" s="34"/>
      <c r="BWT140" s="34"/>
      <c r="BWU140" s="34"/>
      <c r="BWV140" s="34"/>
      <c r="BWW140" s="34"/>
      <c r="BWX140" s="34"/>
      <c r="BWY140" s="34"/>
      <c r="BWZ140" s="34"/>
      <c r="BXA140" s="34"/>
      <c r="BXB140" s="34"/>
      <c r="BXC140" s="34"/>
      <c r="BXD140" s="34"/>
      <c r="BXE140" s="34"/>
      <c r="BXF140" s="34"/>
      <c r="BXG140" s="34"/>
      <c r="BXH140" s="34"/>
      <c r="BXI140" s="34"/>
      <c r="BXJ140" s="34"/>
      <c r="BXK140" s="34"/>
      <c r="BXL140" s="34"/>
      <c r="BXM140" s="34"/>
      <c r="BXN140" s="34"/>
      <c r="BXO140" s="34"/>
      <c r="BXP140" s="34"/>
      <c r="BXQ140" s="34"/>
      <c r="BXR140" s="34"/>
      <c r="BXS140" s="34"/>
      <c r="BXT140" s="34"/>
      <c r="BXU140" s="34"/>
      <c r="BXV140" s="34"/>
      <c r="BXW140" s="34"/>
      <c r="BXX140" s="34"/>
      <c r="BXY140" s="34"/>
      <c r="BXZ140" s="34"/>
      <c r="BYA140" s="34"/>
      <c r="BYB140" s="34"/>
      <c r="BYC140" s="34"/>
      <c r="BYD140" s="34"/>
      <c r="BYE140" s="34"/>
      <c r="BYF140" s="34"/>
      <c r="BYG140" s="34"/>
      <c r="BYH140" s="34"/>
      <c r="BYI140" s="34"/>
      <c r="BYJ140" s="34"/>
      <c r="BYK140" s="34"/>
      <c r="BYL140" s="34"/>
      <c r="BYM140" s="34"/>
      <c r="BYN140" s="34"/>
      <c r="BYO140" s="34"/>
      <c r="BYP140" s="34"/>
      <c r="BYQ140" s="34"/>
      <c r="BYR140" s="34"/>
      <c r="BYS140" s="34"/>
      <c r="BYT140" s="34"/>
      <c r="BYU140" s="34"/>
      <c r="BYV140" s="34"/>
      <c r="BYW140" s="34"/>
      <c r="BYX140" s="34"/>
      <c r="BYY140" s="34"/>
      <c r="BYZ140" s="34"/>
      <c r="BZA140" s="34"/>
      <c r="BZB140" s="34"/>
      <c r="BZC140" s="34"/>
      <c r="BZD140" s="34"/>
      <c r="BZE140" s="34"/>
      <c r="BZF140" s="34"/>
      <c r="BZG140" s="34"/>
      <c r="BZH140" s="34"/>
      <c r="BZI140" s="34"/>
      <c r="BZJ140" s="34"/>
      <c r="BZK140" s="34"/>
      <c r="BZL140" s="34"/>
      <c r="BZM140" s="34"/>
      <c r="BZN140" s="34"/>
      <c r="BZO140" s="34"/>
      <c r="BZP140" s="34"/>
      <c r="BZQ140" s="34"/>
      <c r="BZR140" s="34"/>
      <c r="BZS140" s="34"/>
      <c r="BZT140" s="34"/>
      <c r="BZU140" s="34"/>
      <c r="BZV140" s="34"/>
      <c r="BZW140" s="34"/>
      <c r="BZX140" s="34"/>
      <c r="BZY140" s="34"/>
      <c r="BZZ140" s="34"/>
      <c r="CAA140" s="34"/>
      <c r="CAB140" s="34"/>
      <c r="CAC140" s="34"/>
      <c r="CAD140" s="34"/>
      <c r="CAE140" s="34"/>
      <c r="CAF140" s="34"/>
      <c r="CAG140" s="34"/>
      <c r="CAH140" s="34"/>
      <c r="CAI140" s="34"/>
      <c r="CAJ140" s="34"/>
      <c r="CAK140" s="34"/>
      <c r="CAL140" s="34"/>
      <c r="CAM140" s="34"/>
      <c r="CAN140" s="34"/>
      <c r="CAO140" s="34"/>
      <c r="CAP140" s="34"/>
      <c r="CAQ140" s="34"/>
      <c r="CAR140" s="34"/>
      <c r="CAS140" s="34"/>
      <c r="CAT140" s="34"/>
      <c r="CAU140" s="34"/>
      <c r="CAV140" s="34"/>
      <c r="CAW140" s="34"/>
      <c r="CAX140" s="34"/>
      <c r="CAY140" s="34"/>
      <c r="CAZ140" s="34"/>
      <c r="CBA140" s="34"/>
      <c r="CBB140" s="34"/>
      <c r="CBC140" s="34"/>
      <c r="CBD140" s="34"/>
      <c r="CBE140" s="34"/>
      <c r="CBF140" s="34"/>
      <c r="CBG140" s="34"/>
      <c r="CBH140" s="34"/>
      <c r="CBI140" s="34"/>
      <c r="CBJ140" s="34"/>
      <c r="CBK140" s="34"/>
      <c r="CBL140" s="34"/>
      <c r="CBM140" s="34"/>
      <c r="CBN140" s="34"/>
      <c r="CBO140" s="34"/>
      <c r="CBP140" s="34"/>
      <c r="CBQ140" s="34"/>
      <c r="CBR140" s="34"/>
      <c r="CBS140" s="34"/>
      <c r="CBT140" s="34"/>
      <c r="CBU140" s="34"/>
      <c r="CBV140" s="34"/>
      <c r="CBW140" s="34"/>
      <c r="CBX140" s="34"/>
      <c r="CBY140" s="34"/>
      <c r="CBZ140" s="34"/>
      <c r="CCA140" s="34"/>
      <c r="CCB140" s="34"/>
      <c r="CCC140" s="34"/>
      <c r="CCD140" s="34"/>
      <c r="CCE140" s="34"/>
      <c r="CCF140" s="34"/>
      <c r="CCG140" s="34"/>
      <c r="CCH140" s="34"/>
      <c r="CCI140" s="34"/>
      <c r="CCJ140" s="34"/>
      <c r="CCK140" s="34"/>
      <c r="CCL140" s="34"/>
      <c r="CCM140" s="34"/>
      <c r="CCN140" s="34"/>
      <c r="CCO140" s="34"/>
      <c r="CCP140" s="34"/>
      <c r="CCQ140" s="34"/>
      <c r="CCR140" s="34"/>
      <c r="CCS140" s="34"/>
      <c r="CCT140" s="34"/>
      <c r="CCU140" s="34"/>
      <c r="CCV140" s="34"/>
      <c r="CCW140" s="34"/>
      <c r="CCX140" s="34"/>
      <c r="CCY140" s="34"/>
      <c r="CCZ140" s="34"/>
      <c r="CDA140" s="34"/>
      <c r="CDB140" s="34"/>
      <c r="CDC140" s="34"/>
      <c r="CDD140" s="34"/>
      <c r="CDE140" s="34"/>
      <c r="CDF140" s="34"/>
      <c r="CDG140" s="34"/>
      <c r="CDH140" s="34"/>
      <c r="CDI140" s="34"/>
      <c r="CDJ140" s="34"/>
      <c r="CDK140" s="34"/>
      <c r="CDL140" s="34"/>
      <c r="CDM140" s="34"/>
      <c r="CDN140" s="34"/>
      <c r="CDO140" s="34"/>
      <c r="CDP140" s="34"/>
      <c r="CDQ140" s="34"/>
      <c r="CDR140" s="34"/>
      <c r="CDS140" s="34"/>
      <c r="CDT140" s="34"/>
      <c r="CDU140" s="34"/>
      <c r="CDV140" s="34"/>
      <c r="CDW140" s="34"/>
      <c r="CDX140" s="34"/>
      <c r="CDY140" s="34"/>
      <c r="CDZ140" s="34"/>
      <c r="CEA140" s="34"/>
      <c r="CEB140" s="34"/>
      <c r="CEC140" s="34"/>
      <c r="CED140" s="34"/>
      <c r="CEE140" s="34"/>
      <c r="CEF140" s="34"/>
      <c r="CEG140" s="34"/>
      <c r="CEH140" s="34"/>
      <c r="CEI140" s="34"/>
      <c r="CEJ140" s="34"/>
      <c r="CEK140" s="34"/>
      <c r="CEL140" s="34"/>
      <c r="CEM140" s="34"/>
      <c r="CEN140" s="34"/>
      <c r="CEO140" s="34"/>
      <c r="CEP140" s="34"/>
      <c r="CEQ140" s="34"/>
      <c r="CER140" s="34"/>
      <c r="CES140" s="34"/>
      <c r="CET140" s="34"/>
      <c r="CEU140" s="34"/>
      <c r="CEV140" s="34"/>
      <c r="CEW140" s="34"/>
      <c r="CEX140" s="34"/>
      <c r="CEY140" s="34"/>
      <c r="CEZ140" s="34"/>
      <c r="CFA140" s="34"/>
      <c r="CFB140" s="34"/>
      <c r="CFC140" s="34"/>
      <c r="CFD140" s="34"/>
      <c r="CFE140" s="34"/>
      <c r="CFF140" s="34"/>
      <c r="CFG140" s="34"/>
      <c r="CFH140" s="34"/>
      <c r="CFI140" s="34"/>
      <c r="CFJ140" s="34"/>
      <c r="CFK140" s="34"/>
      <c r="CFL140" s="34"/>
      <c r="CFM140" s="34"/>
      <c r="CFN140" s="34"/>
      <c r="CFO140" s="34"/>
      <c r="CFP140" s="34"/>
      <c r="CFQ140" s="34"/>
      <c r="CFR140" s="34"/>
      <c r="CFS140" s="34"/>
      <c r="CFT140" s="34"/>
      <c r="CFU140" s="34"/>
      <c r="CFV140" s="34"/>
      <c r="CFW140" s="34"/>
      <c r="CFX140" s="34"/>
      <c r="CFY140" s="34"/>
      <c r="CFZ140" s="34"/>
      <c r="CGA140" s="34"/>
      <c r="CGB140" s="34"/>
      <c r="CGC140" s="34"/>
      <c r="CGD140" s="34"/>
      <c r="CGE140" s="34"/>
      <c r="CGF140" s="34"/>
      <c r="CGG140" s="34"/>
      <c r="CGH140" s="34"/>
      <c r="CGI140" s="34"/>
      <c r="CGJ140" s="34"/>
      <c r="CGK140" s="34"/>
      <c r="CGL140" s="34"/>
      <c r="CGM140" s="34"/>
      <c r="CGN140" s="34"/>
      <c r="CGO140" s="34"/>
      <c r="CGP140" s="34"/>
      <c r="CGQ140" s="34"/>
      <c r="CGR140" s="34"/>
      <c r="CGS140" s="34"/>
      <c r="CGT140" s="34"/>
      <c r="CGU140" s="34"/>
      <c r="CGV140" s="34"/>
      <c r="CGW140" s="34"/>
      <c r="CGX140" s="34"/>
      <c r="CGY140" s="34"/>
      <c r="CGZ140" s="34"/>
      <c r="CHA140" s="34"/>
      <c r="CHB140" s="34"/>
      <c r="CHC140" s="34"/>
      <c r="CHD140" s="34"/>
      <c r="CHE140" s="34"/>
      <c r="CHF140" s="34"/>
      <c r="CHG140" s="34"/>
      <c r="CHH140" s="34"/>
      <c r="CHI140" s="34"/>
      <c r="CHJ140" s="34"/>
      <c r="CHK140" s="34"/>
      <c r="CHL140" s="34"/>
      <c r="CHM140" s="34"/>
      <c r="CHN140" s="34"/>
      <c r="CHO140" s="34"/>
      <c r="CHP140" s="34"/>
      <c r="CHQ140" s="34"/>
      <c r="CHR140" s="34"/>
      <c r="CHS140" s="34"/>
      <c r="CHT140" s="34"/>
      <c r="CHU140" s="34"/>
      <c r="CHV140" s="34"/>
      <c r="CHW140" s="34"/>
      <c r="CHX140" s="34"/>
      <c r="CHY140" s="34"/>
      <c r="CHZ140" s="34"/>
      <c r="CIA140" s="34"/>
      <c r="CIB140" s="34"/>
      <c r="CIC140" s="34"/>
      <c r="CID140" s="34"/>
      <c r="CIE140" s="34"/>
      <c r="CIF140" s="34"/>
      <c r="CIG140" s="34"/>
      <c r="CIH140" s="34"/>
      <c r="CII140" s="34"/>
      <c r="CIJ140" s="34"/>
      <c r="CIK140" s="34"/>
      <c r="CIL140" s="34"/>
      <c r="CIM140" s="34"/>
      <c r="CIN140" s="34"/>
      <c r="CIO140" s="34"/>
      <c r="CIP140" s="34"/>
      <c r="CIQ140" s="34"/>
      <c r="CIR140" s="34"/>
      <c r="CIS140" s="34"/>
      <c r="CIT140" s="34"/>
      <c r="CIU140" s="34"/>
      <c r="CIV140" s="34"/>
      <c r="CIW140" s="34"/>
      <c r="CIX140" s="34"/>
      <c r="CIY140" s="34"/>
      <c r="CIZ140" s="34"/>
      <c r="CJA140" s="34"/>
      <c r="CJB140" s="34"/>
      <c r="CJC140" s="34"/>
      <c r="CJD140" s="34"/>
      <c r="CJE140" s="34"/>
      <c r="CJF140" s="34"/>
      <c r="CJG140" s="34"/>
      <c r="CJH140" s="34"/>
      <c r="CJI140" s="34"/>
      <c r="CJJ140" s="34"/>
      <c r="CJK140" s="34"/>
      <c r="CJL140" s="34"/>
      <c r="CJM140" s="34"/>
      <c r="CJN140" s="34"/>
      <c r="CJO140" s="34"/>
      <c r="CJP140" s="34"/>
      <c r="CJQ140" s="34"/>
      <c r="CJR140" s="34"/>
      <c r="CJS140" s="34"/>
      <c r="CJT140" s="34"/>
      <c r="CJU140" s="34"/>
      <c r="CJV140" s="34"/>
      <c r="CJW140" s="34"/>
      <c r="CJX140" s="34"/>
      <c r="CJY140" s="34"/>
      <c r="CJZ140" s="34"/>
      <c r="CKA140" s="34"/>
      <c r="CKB140" s="34"/>
      <c r="CKC140" s="34"/>
      <c r="CKD140" s="34"/>
      <c r="CKE140" s="34"/>
      <c r="CKF140" s="34"/>
      <c r="CKG140" s="34"/>
      <c r="CKH140" s="34"/>
      <c r="CKI140" s="34"/>
      <c r="CKJ140" s="34"/>
      <c r="CKK140" s="34"/>
      <c r="CKL140" s="34"/>
      <c r="CKM140" s="34"/>
      <c r="CKN140" s="34"/>
      <c r="CKO140" s="34"/>
      <c r="CKP140" s="34"/>
      <c r="CKQ140" s="34"/>
      <c r="CKR140" s="34"/>
      <c r="CKS140" s="34"/>
      <c r="CKT140" s="34"/>
      <c r="CKU140" s="34"/>
      <c r="CKV140" s="34"/>
      <c r="CKW140" s="34"/>
      <c r="CKX140" s="34"/>
      <c r="CKY140" s="34"/>
      <c r="CKZ140" s="34"/>
      <c r="CLA140" s="34"/>
      <c r="CLB140" s="34"/>
      <c r="CLC140" s="34"/>
      <c r="CLD140" s="34"/>
      <c r="CLE140" s="34"/>
      <c r="CLF140" s="34"/>
      <c r="CLG140" s="34"/>
      <c r="CLH140" s="34"/>
      <c r="CLI140" s="34"/>
      <c r="CLJ140" s="34"/>
      <c r="CLK140" s="34"/>
      <c r="CLL140" s="34"/>
      <c r="CLM140" s="34"/>
      <c r="CLN140" s="34"/>
      <c r="CLO140" s="34"/>
      <c r="CLP140" s="34"/>
      <c r="CLQ140" s="34"/>
      <c r="CLR140" s="34"/>
      <c r="CLS140" s="34"/>
      <c r="CLT140" s="34"/>
      <c r="CLU140" s="34"/>
      <c r="CLV140" s="34"/>
      <c r="CLW140" s="34"/>
      <c r="CLX140" s="34"/>
      <c r="CLY140" s="34"/>
      <c r="CLZ140" s="34"/>
      <c r="CMA140" s="34"/>
      <c r="CMB140" s="34"/>
      <c r="CMC140" s="34"/>
      <c r="CMD140" s="34"/>
      <c r="CME140" s="34"/>
      <c r="CMF140" s="34"/>
      <c r="CMG140" s="34"/>
      <c r="CMH140" s="34"/>
      <c r="CMI140" s="34"/>
      <c r="CMJ140" s="34"/>
      <c r="CMK140" s="34"/>
      <c r="CML140" s="34"/>
      <c r="CMM140" s="34"/>
      <c r="CMN140" s="34"/>
      <c r="CMO140" s="34"/>
      <c r="CMP140" s="34"/>
      <c r="CMQ140" s="34"/>
      <c r="CMR140" s="34"/>
      <c r="CMS140" s="34"/>
      <c r="CMT140" s="34"/>
      <c r="CMU140" s="34"/>
      <c r="CMV140" s="34"/>
      <c r="CMW140" s="34"/>
      <c r="CMX140" s="34"/>
      <c r="CMY140" s="34"/>
      <c r="CMZ140" s="34"/>
      <c r="CNA140" s="34"/>
      <c r="CNB140" s="34"/>
      <c r="CNC140" s="34"/>
      <c r="CND140" s="34"/>
      <c r="CNE140" s="34"/>
      <c r="CNF140" s="34"/>
      <c r="CNG140" s="34"/>
      <c r="CNH140" s="34"/>
      <c r="CNI140" s="34"/>
      <c r="CNJ140" s="34"/>
      <c r="CNK140" s="34"/>
      <c r="CNL140" s="34"/>
      <c r="CNM140" s="34"/>
      <c r="CNN140" s="34"/>
      <c r="CNO140" s="34"/>
      <c r="CNP140" s="34"/>
      <c r="CNQ140" s="34"/>
      <c r="CNR140" s="34"/>
      <c r="CNS140" s="34"/>
      <c r="CNT140" s="34"/>
      <c r="CNU140" s="34"/>
      <c r="CNV140" s="34"/>
      <c r="CNW140" s="34"/>
      <c r="CNX140" s="34"/>
      <c r="CNY140" s="34"/>
      <c r="CNZ140" s="34"/>
      <c r="COA140" s="34"/>
      <c r="COB140" s="34"/>
      <c r="COC140" s="34"/>
      <c r="COD140" s="34"/>
      <c r="COE140" s="34"/>
      <c r="COF140" s="34"/>
      <c r="COG140" s="34"/>
      <c r="COH140" s="34"/>
      <c r="COI140" s="34"/>
      <c r="COJ140" s="34"/>
      <c r="COK140" s="34"/>
      <c r="COL140" s="34"/>
      <c r="COM140" s="34"/>
      <c r="CON140" s="34"/>
      <c r="COO140" s="34"/>
      <c r="COP140" s="34"/>
      <c r="COQ140" s="34"/>
      <c r="COR140" s="34"/>
      <c r="COS140" s="34"/>
      <c r="COT140" s="34"/>
      <c r="COU140" s="34"/>
      <c r="COV140" s="34"/>
      <c r="COW140" s="34"/>
      <c r="COX140" s="34"/>
      <c r="COY140" s="34"/>
      <c r="COZ140" s="34"/>
      <c r="CPA140" s="34"/>
      <c r="CPB140" s="34"/>
      <c r="CPC140" s="34"/>
      <c r="CPD140" s="34"/>
      <c r="CPE140" s="34"/>
      <c r="CPF140" s="34"/>
      <c r="CPG140" s="34"/>
      <c r="CPH140" s="34"/>
      <c r="CPI140" s="34"/>
      <c r="CPJ140" s="34"/>
      <c r="CPK140" s="34"/>
      <c r="CPL140" s="34"/>
      <c r="CPM140" s="34"/>
      <c r="CPN140" s="34"/>
      <c r="CPO140" s="34"/>
      <c r="CPP140" s="34"/>
      <c r="CPQ140" s="34"/>
      <c r="CPR140" s="34"/>
      <c r="CPS140" s="34"/>
      <c r="CPT140" s="34"/>
      <c r="CPU140" s="34"/>
      <c r="CPV140" s="34"/>
      <c r="CPW140" s="34"/>
      <c r="CPX140" s="34"/>
      <c r="CPY140" s="34"/>
      <c r="CPZ140" s="34"/>
      <c r="CQA140" s="34"/>
      <c r="CQB140" s="34"/>
      <c r="CQC140" s="34"/>
      <c r="CQD140" s="34"/>
      <c r="CQE140" s="34"/>
      <c r="CQF140" s="34"/>
      <c r="CQG140" s="34"/>
      <c r="CQH140" s="34"/>
      <c r="CQI140" s="34"/>
      <c r="CQJ140" s="34"/>
      <c r="CQK140" s="34"/>
      <c r="CQL140" s="34"/>
      <c r="CQM140" s="34"/>
      <c r="CQN140" s="34"/>
      <c r="CQO140" s="34"/>
      <c r="CQP140" s="34"/>
      <c r="CQQ140" s="34"/>
      <c r="CQR140" s="34"/>
      <c r="CQS140" s="34"/>
      <c r="CQT140" s="34"/>
      <c r="CQU140" s="34"/>
      <c r="CQV140" s="34"/>
      <c r="CQW140" s="34"/>
      <c r="CQX140" s="34"/>
      <c r="CQY140" s="34"/>
      <c r="CQZ140" s="34"/>
      <c r="CRA140" s="34"/>
      <c r="CRB140" s="34"/>
      <c r="CRC140" s="34"/>
      <c r="CRD140" s="34"/>
      <c r="CRE140" s="34"/>
      <c r="CRF140" s="34"/>
      <c r="CRG140" s="34"/>
      <c r="CRH140" s="34"/>
      <c r="CRI140" s="34"/>
      <c r="CRJ140" s="34"/>
      <c r="CRK140" s="34"/>
      <c r="CRL140" s="34"/>
      <c r="CRM140" s="34"/>
      <c r="CRN140" s="34"/>
      <c r="CRO140" s="34"/>
      <c r="CRP140" s="34"/>
      <c r="CRQ140" s="34"/>
      <c r="CRR140" s="34"/>
      <c r="CRS140" s="34"/>
      <c r="CRT140" s="34"/>
      <c r="CRU140" s="34"/>
      <c r="CRV140" s="34"/>
      <c r="CRW140" s="34"/>
      <c r="CRX140" s="34"/>
      <c r="CRY140" s="34"/>
      <c r="CRZ140" s="34"/>
      <c r="CSA140" s="34"/>
      <c r="CSB140" s="34"/>
      <c r="CSC140" s="34"/>
      <c r="CSD140" s="34"/>
      <c r="CSE140" s="34"/>
      <c r="CSF140" s="34"/>
      <c r="CSG140" s="34"/>
      <c r="CSH140" s="34"/>
      <c r="CSI140" s="34"/>
      <c r="CSJ140" s="34"/>
      <c r="CSK140" s="34"/>
      <c r="CSL140" s="34"/>
      <c r="CSM140" s="34"/>
      <c r="CSN140" s="34"/>
      <c r="CSO140" s="34"/>
      <c r="CSP140" s="34"/>
      <c r="CSQ140" s="34"/>
      <c r="CSR140" s="34"/>
      <c r="CSS140" s="34"/>
      <c r="CST140" s="34"/>
      <c r="CSU140" s="34"/>
      <c r="CSV140" s="34"/>
      <c r="CSW140" s="34"/>
      <c r="CSX140" s="34"/>
      <c r="CSY140" s="34"/>
      <c r="CSZ140" s="34"/>
      <c r="CTA140" s="34"/>
      <c r="CTB140" s="34"/>
      <c r="CTC140" s="34"/>
      <c r="CTD140" s="34"/>
      <c r="CTE140" s="34"/>
      <c r="CTF140" s="34"/>
      <c r="CTG140" s="34"/>
      <c r="CTH140" s="34"/>
      <c r="CTI140" s="34"/>
      <c r="CTJ140" s="34"/>
      <c r="CTK140" s="34"/>
      <c r="CTL140" s="34"/>
      <c r="CTM140" s="34"/>
      <c r="CTN140" s="34"/>
      <c r="CTO140" s="34"/>
      <c r="CTP140" s="34"/>
      <c r="CTQ140" s="34"/>
      <c r="CTR140" s="34"/>
      <c r="CTS140" s="34"/>
      <c r="CTT140" s="34"/>
      <c r="CTU140" s="34"/>
      <c r="CTV140" s="34"/>
      <c r="CTW140" s="34"/>
      <c r="CTX140" s="34"/>
      <c r="CTY140" s="34"/>
      <c r="CTZ140" s="34"/>
      <c r="CUA140" s="34"/>
      <c r="CUB140" s="34"/>
      <c r="CUC140" s="34"/>
      <c r="CUD140" s="34"/>
      <c r="CUE140" s="34"/>
      <c r="CUF140" s="34"/>
      <c r="CUG140" s="34"/>
      <c r="CUH140" s="34"/>
      <c r="CUI140" s="34"/>
      <c r="CUJ140" s="34"/>
      <c r="CUK140" s="34"/>
      <c r="CUL140" s="34"/>
      <c r="CUM140" s="34"/>
      <c r="CUN140" s="34"/>
      <c r="CUO140" s="34"/>
      <c r="CUP140" s="34"/>
      <c r="CUQ140" s="34"/>
      <c r="CUR140" s="34"/>
      <c r="CUS140" s="34"/>
      <c r="CUT140" s="34"/>
      <c r="CUU140" s="34"/>
      <c r="CUV140" s="34"/>
      <c r="CUW140" s="34"/>
      <c r="CUX140" s="34"/>
      <c r="CUY140" s="34"/>
      <c r="CUZ140" s="34"/>
      <c r="CVA140" s="34"/>
      <c r="CVB140" s="34"/>
      <c r="CVC140" s="34"/>
      <c r="CVD140" s="34"/>
      <c r="CVE140" s="34"/>
      <c r="CVF140" s="34"/>
      <c r="CVG140" s="34"/>
      <c r="CVH140" s="34"/>
      <c r="CVI140" s="34"/>
      <c r="CVJ140" s="34"/>
      <c r="CVK140" s="34"/>
      <c r="CVL140" s="34"/>
      <c r="CVM140" s="34"/>
      <c r="CVN140" s="34"/>
      <c r="CVO140" s="34"/>
      <c r="CVP140" s="34"/>
      <c r="CVQ140" s="34"/>
      <c r="CVR140" s="34"/>
      <c r="CVS140" s="34"/>
      <c r="CVT140" s="34"/>
      <c r="CVU140" s="34"/>
      <c r="CVV140" s="34"/>
      <c r="CVW140" s="34"/>
      <c r="CVX140" s="34"/>
      <c r="CVY140" s="34"/>
      <c r="CVZ140" s="34"/>
      <c r="CWA140" s="34"/>
      <c r="CWB140" s="34"/>
      <c r="CWC140" s="34"/>
      <c r="CWD140" s="34"/>
      <c r="CWE140" s="34"/>
      <c r="CWF140" s="34"/>
      <c r="CWG140" s="34"/>
      <c r="CWH140" s="34"/>
      <c r="CWI140" s="34"/>
      <c r="CWJ140" s="34"/>
      <c r="CWK140" s="34"/>
      <c r="CWL140" s="34"/>
      <c r="CWM140" s="34"/>
      <c r="CWN140" s="34"/>
      <c r="CWO140" s="34"/>
      <c r="CWP140" s="34"/>
      <c r="CWQ140" s="34"/>
      <c r="CWR140" s="34"/>
      <c r="CWS140" s="34"/>
      <c r="CWT140" s="34"/>
      <c r="CWU140" s="34"/>
      <c r="CWV140" s="34"/>
      <c r="CWW140" s="34"/>
      <c r="CWX140" s="34"/>
      <c r="CWY140" s="34"/>
      <c r="CWZ140" s="34"/>
      <c r="CXA140" s="34"/>
      <c r="CXB140" s="34"/>
      <c r="CXC140" s="34"/>
      <c r="CXD140" s="34"/>
      <c r="CXE140" s="34"/>
      <c r="CXF140" s="34"/>
      <c r="CXG140" s="34"/>
      <c r="CXH140" s="34"/>
      <c r="CXI140" s="34"/>
      <c r="CXJ140" s="34"/>
      <c r="CXK140" s="34"/>
      <c r="CXL140" s="34"/>
      <c r="CXM140" s="34"/>
      <c r="CXN140" s="34"/>
      <c r="CXO140" s="34"/>
      <c r="CXP140" s="34"/>
      <c r="CXQ140" s="34"/>
      <c r="CXR140" s="34"/>
      <c r="CXS140" s="34"/>
      <c r="CXT140" s="34"/>
      <c r="CXU140" s="34"/>
      <c r="CXV140" s="34"/>
      <c r="CXW140" s="34"/>
      <c r="CXX140" s="34"/>
      <c r="CXY140" s="34"/>
      <c r="CXZ140" s="34"/>
      <c r="CYA140" s="34"/>
      <c r="CYB140" s="34"/>
      <c r="CYC140" s="34"/>
      <c r="CYD140" s="34"/>
      <c r="CYE140" s="34"/>
      <c r="CYF140" s="34"/>
      <c r="CYG140" s="34"/>
      <c r="CYH140" s="34"/>
      <c r="CYI140" s="34"/>
      <c r="CYJ140" s="34"/>
      <c r="CYK140" s="34"/>
      <c r="CYL140" s="34"/>
      <c r="CYM140" s="34"/>
      <c r="CYN140" s="34"/>
      <c r="CYO140" s="34"/>
      <c r="CYP140" s="34"/>
      <c r="CYQ140" s="34"/>
      <c r="CYR140" s="34"/>
      <c r="CYS140" s="34"/>
      <c r="CYT140" s="34"/>
      <c r="CYU140" s="34"/>
      <c r="CYV140" s="34"/>
      <c r="CYW140" s="34"/>
      <c r="CYX140" s="34"/>
      <c r="CYY140" s="34"/>
      <c r="CYZ140" s="34"/>
      <c r="CZA140" s="34"/>
      <c r="CZB140" s="34"/>
      <c r="CZC140" s="34"/>
      <c r="CZD140" s="34"/>
      <c r="CZE140" s="34"/>
      <c r="CZF140" s="34"/>
      <c r="CZG140" s="34"/>
      <c r="CZH140" s="34"/>
      <c r="CZI140" s="34"/>
      <c r="CZJ140" s="34"/>
      <c r="CZK140" s="34"/>
      <c r="CZL140" s="34"/>
      <c r="CZM140" s="34"/>
      <c r="CZN140" s="34"/>
      <c r="CZO140" s="34"/>
      <c r="CZP140" s="34"/>
      <c r="CZQ140" s="34"/>
      <c r="CZR140" s="34"/>
      <c r="CZS140" s="34"/>
      <c r="CZT140" s="34"/>
      <c r="CZU140" s="34"/>
      <c r="CZV140" s="34"/>
      <c r="CZW140" s="34"/>
      <c r="CZX140" s="34"/>
      <c r="CZY140" s="34"/>
      <c r="CZZ140" s="34"/>
      <c r="DAA140" s="34"/>
      <c r="DAB140" s="34"/>
      <c r="DAC140" s="34"/>
      <c r="DAD140" s="34"/>
      <c r="DAE140" s="34"/>
      <c r="DAF140" s="34"/>
      <c r="DAG140" s="34"/>
      <c r="DAH140" s="34"/>
      <c r="DAI140" s="34"/>
      <c r="DAJ140" s="34"/>
      <c r="DAK140" s="34"/>
      <c r="DAL140" s="34"/>
      <c r="DAM140" s="34"/>
      <c r="DAN140" s="34"/>
      <c r="DAO140" s="34"/>
      <c r="DAP140" s="34"/>
      <c r="DAQ140" s="34"/>
      <c r="DAR140" s="34"/>
      <c r="DAS140" s="34"/>
      <c r="DAT140" s="34"/>
      <c r="DAU140" s="34"/>
      <c r="DAV140" s="34"/>
      <c r="DAW140" s="34"/>
      <c r="DAX140" s="34"/>
      <c r="DAY140" s="34"/>
      <c r="DAZ140" s="34"/>
      <c r="DBA140" s="34"/>
      <c r="DBB140" s="34"/>
      <c r="DBC140" s="34"/>
      <c r="DBD140" s="34"/>
      <c r="DBE140" s="34"/>
      <c r="DBF140" s="34"/>
      <c r="DBG140" s="34"/>
      <c r="DBH140" s="34"/>
      <c r="DBI140" s="34"/>
      <c r="DBJ140" s="34"/>
      <c r="DBK140" s="34"/>
      <c r="DBL140" s="34"/>
      <c r="DBM140" s="34"/>
      <c r="DBN140" s="34"/>
      <c r="DBO140" s="34"/>
      <c r="DBP140" s="34"/>
      <c r="DBQ140" s="34"/>
      <c r="DBR140" s="34"/>
      <c r="DBS140" s="34"/>
      <c r="DBT140" s="34"/>
      <c r="DBU140" s="34"/>
      <c r="DBV140" s="34"/>
      <c r="DBW140" s="34"/>
      <c r="DBX140" s="34"/>
      <c r="DBY140" s="34"/>
      <c r="DBZ140" s="34"/>
      <c r="DCA140" s="34"/>
      <c r="DCB140" s="34"/>
      <c r="DCC140" s="34"/>
      <c r="DCD140" s="34"/>
      <c r="DCE140" s="34"/>
      <c r="DCF140" s="34"/>
      <c r="DCG140" s="34"/>
      <c r="DCH140" s="34"/>
      <c r="DCI140" s="34"/>
      <c r="DCJ140" s="34"/>
      <c r="DCK140" s="34"/>
      <c r="DCL140" s="34"/>
      <c r="DCM140" s="34"/>
      <c r="DCN140" s="34"/>
      <c r="DCO140" s="34"/>
      <c r="DCP140" s="34"/>
      <c r="DCQ140" s="34"/>
      <c r="DCR140" s="34"/>
      <c r="DCS140" s="34"/>
      <c r="DCT140" s="34"/>
      <c r="DCU140" s="34"/>
      <c r="DCV140" s="34"/>
      <c r="DCW140" s="34"/>
      <c r="DCX140" s="34"/>
      <c r="DCY140" s="34"/>
      <c r="DCZ140" s="34"/>
      <c r="DDA140" s="34"/>
      <c r="DDB140" s="34"/>
      <c r="DDC140" s="34"/>
      <c r="DDD140" s="34"/>
      <c r="DDE140" s="34"/>
      <c r="DDF140" s="34"/>
      <c r="DDG140" s="34"/>
      <c r="DDH140" s="34"/>
      <c r="DDI140" s="34"/>
      <c r="DDJ140" s="34"/>
      <c r="DDK140" s="34"/>
      <c r="DDL140" s="34"/>
      <c r="DDM140" s="34"/>
      <c r="DDN140" s="34"/>
      <c r="DDO140" s="34"/>
      <c r="DDP140" s="34"/>
      <c r="DDQ140" s="34"/>
      <c r="DDR140" s="34"/>
      <c r="DDS140" s="34"/>
      <c r="DDT140" s="34"/>
      <c r="DDU140" s="34"/>
      <c r="DDV140" s="34"/>
      <c r="DDW140" s="34"/>
      <c r="DDX140" s="34"/>
      <c r="DDY140" s="34"/>
      <c r="DDZ140" s="34"/>
      <c r="DEA140" s="34"/>
      <c r="DEB140" s="34"/>
      <c r="DEC140" s="34"/>
      <c r="DED140" s="34"/>
      <c r="DEE140" s="34"/>
      <c r="DEF140" s="34"/>
      <c r="DEG140" s="34"/>
      <c r="DEH140" s="34"/>
      <c r="DEI140" s="34"/>
      <c r="DEJ140" s="34"/>
      <c r="DEK140" s="34"/>
      <c r="DEL140" s="34"/>
      <c r="DEM140" s="34"/>
      <c r="DEN140" s="34"/>
      <c r="DEO140" s="34"/>
      <c r="DEP140" s="34"/>
      <c r="DEQ140" s="34"/>
      <c r="DER140" s="34"/>
      <c r="DES140" s="34"/>
      <c r="DET140" s="34"/>
      <c r="DEU140" s="34"/>
      <c r="DEV140" s="34"/>
      <c r="DEW140" s="34"/>
      <c r="DEX140" s="34"/>
      <c r="DEY140" s="34"/>
      <c r="DEZ140" s="34"/>
      <c r="DFA140" s="34"/>
      <c r="DFB140" s="34"/>
      <c r="DFC140" s="34"/>
      <c r="DFD140" s="34"/>
      <c r="DFE140" s="34"/>
      <c r="DFF140" s="34"/>
      <c r="DFG140" s="34"/>
      <c r="DFH140" s="34"/>
      <c r="DFI140" s="34"/>
      <c r="DFJ140" s="34"/>
      <c r="DFK140" s="34"/>
      <c r="DFL140" s="34"/>
      <c r="DFM140" s="34"/>
      <c r="DFN140" s="34"/>
      <c r="DFO140" s="34"/>
      <c r="DFP140" s="34"/>
      <c r="DFQ140" s="34"/>
      <c r="DFR140" s="34"/>
      <c r="DFS140" s="34"/>
      <c r="DFT140" s="34"/>
      <c r="DFU140" s="34"/>
      <c r="DFV140" s="34"/>
      <c r="DFW140" s="34"/>
      <c r="DFX140" s="34"/>
      <c r="DFY140" s="34"/>
      <c r="DFZ140" s="34"/>
      <c r="DGA140" s="34"/>
      <c r="DGB140" s="34"/>
      <c r="DGC140" s="34"/>
      <c r="DGD140" s="34"/>
      <c r="DGE140" s="34"/>
      <c r="DGF140" s="34"/>
      <c r="DGG140" s="34"/>
      <c r="DGH140" s="34"/>
      <c r="DGI140" s="34"/>
      <c r="DGJ140" s="34"/>
      <c r="DGK140" s="34"/>
      <c r="DGL140" s="34"/>
      <c r="DGM140" s="34"/>
      <c r="DGN140" s="34"/>
      <c r="DGO140" s="34"/>
      <c r="DGP140" s="34"/>
      <c r="DGQ140" s="34"/>
      <c r="DGR140" s="34"/>
      <c r="DGS140" s="34"/>
      <c r="DGT140" s="34"/>
      <c r="DGU140" s="34"/>
      <c r="DGV140" s="34"/>
      <c r="DGW140" s="34"/>
      <c r="DGX140" s="34"/>
      <c r="DGY140" s="34"/>
      <c r="DGZ140" s="34"/>
      <c r="DHA140" s="34"/>
      <c r="DHB140" s="34"/>
      <c r="DHC140" s="34"/>
      <c r="DHD140" s="34"/>
      <c r="DHE140" s="34"/>
      <c r="DHF140" s="34"/>
      <c r="DHG140" s="34"/>
      <c r="DHH140" s="34"/>
      <c r="DHI140" s="34"/>
      <c r="DHJ140" s="34"/>
      <c r="DHK140" s="34"/>
      <c r="DHL140" s="34"/>
      <c r="DHM140" s="34"/>
      <c r="DHN140" s="34"/>
      <c r="DHO140" s="34"/>
      <c r="DHP140" s="34"/>
      <c r="DHQ140" s="34"/>
      <c r="DHR140" s="34"/>
      <c r="DHS140" s="34"/>
      <c r="DHT140" s="34"/>
      <c r="DHU140" s="34"/>
      <c r="DHV140" s="34"/>
      <c r="DHW140" s="34"/>
      <c r="DHX140" s="34"/>
      <c r="DHY140" s="34"/>
      <c r="DHZ140" s="34"/>
      <c r="DIA140" s="34"/>
      <c r="DIB140" s="34"/>
      <c r="DIC140" s="34"/>
      <c r="DID140" s="34"/>
      <c r="DIE140" s="34"/>
      <c r="DIF140" s="34"/>
      <c r="DIG140" s="34"/>
      <c r="DIH140" s="34"/>
      <c r="DII140" s="34"/>
      <c r="DIJ140" s="34"/>
      <c r="DIK140" s="34"/>
      <c r="DIL140" s="34"/>
      <c r="DIM140" s="34"/>
      <c r="DIN140" s="34"/>
      <c r="DIO140" s="34"/>
      <c r="DIP140" s="34"/>
      <c r="DIQ140" s="34"/>
      <c r="DIR140" s="34"/>
      <c r="DIS140" s="34"/>
      <c r="DIT140" s="34"/>
      <c r="DIU140" s="34"/>
      <c r="DIV140" s="34"/>
      <c r="DIW140" s="34"/>
      <c r="DIX140" s="34"/>
      <c r="DIY140" s="34"/>
      <c r="DIZ140" s="34"/>
      <c r="DJA140" s="34"/>
      <c r="DJB140" s="34"/>
      <c r="DJC140" s="34"/>
      <c r="DJD140" s="34"/>
      <c r="DJE140" s="34"/>
      <c r="DJF140" s="34"/>
      <c r="DJG140" s="34"/>
      <c r="DJH140" s="34"/>
      <c r="DJI140" s="34"/>
      <c r="DJJ140" s="34"/>
      <c r="DJK140" s="34"/>
      <c r="DJL140" s="34"/>
      <c r="DJM140" s="34"/>
      <c r="DJN140" s="34"/>
      <c r="DJO140" s="34"/>
      <c r="DJP140" s="34"/>
      <c r="DJQ140" s="34"/>
      <c r="DJR140" s="34"/>
      <c r="DJS140" s="34"/>
      <c r="DJT140" s="34"/>
      <c r="DJU140" s="34"/>
      <c r="DJV140" s="34"/>
      <c r="DJW140" s="34"/>
      <c r="DJX140" s="34"/>
      <c r="DJY140" s="34"/>
      <c r="DJZ140" s="34"/>
      <c r="DKA140" s="34"/>
      <c r="DKB140" s="34"/>
      <c r="DKC140" s="34"/>
      <c r="DKD140" s="34"/>
      <c r="DKE140" s="34"/>
      <c r="DKF140" s="34"/>
      <c r="DKG140" s="34"/>
      <c r="DKH140" s="34"/>
      <c r="DKI140" s="34"/>
      <c r="DKJ140" s="34"/>
      <c r="DKK140" s="34"/>
      <c r="DKL140" s="34"/>
      <c r="DKM140" s="34"/>
      <c r="DKN140" s="34"/>
      <c r="DKO140" s="34"/>
      <c r="DKP140" s="34"/>
      <c r="DKQ140" s="34"/>
      <c r="DKR140" s="34"/>
      <c r="DKS140" s="34"/>
      <c r="DKT140" s="34"/>
      <c r="DKU140" s="34"/>
      <c r="DKV140" s="34"/>
      <c r="DKW140" s="34"/>
      <c r="DKX140" s="34"/>
      <c r="DKY140" s="34"/>
      <c r="DKZ140" s="34"/>
      <c r="DLA140" s="34"/>
      <c r="DLB140" s="34"/>
      <c r="DLC140" s="34"/>
      <c r="DLD140" s="34"/>
      <c r="DLE140" s="34"/>
      <c r="DLF140" s="34"/>
      <c r="DLG140" s="34"/>
      <c r="DLH140" s="34"/>
      <c r="DLI140" s="34"/>
      <c r="DLJ140" s="34"/>
      <c r="DLK140" s="34"/>
      <c r="DLL140" s="34"/>
      <c r="DLM140" s="34"/>
      <c r="DLN140" s="34"/>
      <c r="DLO140" s="34"/>
      <c r="DLP140" s="34"/>
      <c r="DLQ140" s="34"/>
      <c r="DLR140" s="34"/>
      <c r="DLS140" s="34"/>
      <c r="DLT140" s="34"/>
      <c r="DLU140" s="34"/>
      <c r="DLV140" s="34"/>
      <c r="DLW140" s="34"/>
      <c r="DLX140" s="34"/>
      <c r="DLY140" s="34"/>
      <c r="DLZ140" s="34"/>
      <c r="DMA140" s="34"/>
      <c r="DMB140" s="34"/>
      <c r="DMC140" s="34"/>
      <c r="DMD140" s="34"/>
      <c r="DME140" s="34"/>
      <c r="DMF140" s="34"/>
      <c r="DMG140" s="34"/>
      <c r="DMH140" s="34"/>
      <c r="DMI140" s="34"/>
      <c r="DMJ140" s="34"/>
      <c r="DMK140" s="34"/>
      <c r="DML140" s="34"/>
      <c r="DMM140" s="34"/>
      <c r="DMN140" s="34"/>
      <c r="DMO140" s="34"/>
      <c r="DMP140" s="34"/>
      <c r="DMQ140" s="34"/>
      <c r="DMR140" s="34"/>
      <c r="DMS140" s="34"/>
      <c r="DMT140" s="34"/>
      <c r="DMU140" s="34"/>
      <c r="DMV140" s="34"/>
      <c r="DMW140" s="34"/>
      <c r="DMX140" s="34"/>
      <c r="DMY140" s="34"/>
      <c r="DMZ140" s="34"/>
      <c r="DNA140" s="34"/>
      <c r="DNB140" s="34"/>
      <c r="DNC140" s="34"/>
      <c r="DND140" s="34"/>
      <c r="DNE140" s="34"/>
      <c r="DNF140" s="34"/>
      <c r="DNG140" s="34"/>
      <c r="DNH140" s="34"/>
      <c r="DNI140" s="34"/>
      <c r="DNJ140" s="34"/>
      <c r="DNK140" s="34"/>
      <c r="DNL140" s="34"/>
      <c r="DNM140" s="34"/>
      <c r="DNN140" s="34"/>
      <c r="DNO140" s="34"/>
      <c r="DNP140" s="34"/>
      <c r="DNQ140" s="34"/>
      <c r="DNR140" s="34"/>
      <c r="DNS140" s="34"/>
      <c r="DNT140" s="34"/>
      <c r="DNU140" s="34"/>
      <c r="DNV140" s="34"/>
      <c r="DNW140" s="34"/>
      <c r="DNX140" s="34"/>
      <c r="DNY140" s="34"/>
      <c r="DNZ140" s="34"/>
      <c r="DOA140" s="34"/>
      <c r="DOB140" s="34"/>
      <c r="DOC140" s="34"/>
      <c r="DOD140" s="34"/>
      <c r="DOE140" s="34"/>
      <c r="DOF140" s="34"/>
      <c r="DOG140" s="34"/>
      <c r="DOH140" s="34"/>
      <c r="DOI140" s="34"/>
      <c r="DOJ140" s="34"/>
      <c r="DOK140" s="34"/>
      <c r="DOL140" s="34"/>
      <c r="DOM140" s="34"/>
      <c r="DON140" s="34"/>
      <c r="DOO140" s="34"/>
      <c r="DOP140" s="34"/>
      <c r="DOQ140" s="34"/>
      <c r="DOR140" s="34"/>
      <c r="DOS140" s="34"/>
      <c r="DOT140" s="34"/>
      <c r="DOU140" s="34"/>
      <c r="DOV140" s="34"/>
      <c r="DOW140" s="34"/>
      <c r="DOX140" s="34"/>
      <c r="DOY140" s="34"/>
      <c r="DOZ140" s="34"/>
      <c r="DPA140" s="34"/>
      <c r="DPB140" s="34"/>
      <c r="DPC140" s="34"/>
      <c r="DPD140" s="34"/>
      <c r="DPE140" s="34"/>
      <c r="DPF140" s="34"/>
      <c r="DPG140" s="34"/>
      <c r="DPH140" s="34"/>
      <c r="DPI140" s="34"/>
      <c r="DPJ140" s="34"/>
      <c r="DPK140" s="34"/>
      <c r="DPL140" s="34"/>
      <c r="DPM140" s="34"/>
      <c r="DPN140" s="34"/>
      <c r="DPO140" s="34"/>
      <c r="DPP140" s="34"/>
      <c r="DPQ140" s="34"/>
      <c r="DPR140" s="34"/>
      <c r="DPS140" s="34"/>
      <c r="DPT140" s="34"/>
      <c r="DPU140" s="34"/>
      <c r="DPV140" s="34"/>
      <c r="DPW140" s="34"/>
      <c r="DPX140" s="34"/>
      <c r="DPY140" s="34"/>
      <c r="DPZ140" s="34"/>
      <c r="DQA140" s="34"/>
      <c r="DQB140" s="34"/>
      <c r="DQC140" s="34"/>
      <c r="DQD140" s="34"/>
      <c r="DQE140" s="34"/>
      <c r="DQF140" s="34"/>
      <c r="DQG140" s="34"/>
      <c r="DQH140" s="34"/>
      <c r="DQI140" s="34"/>
      <c r="DQJ140" s="34"/>
      <c r="DQK140" s="34"/>
      <c r="DQL140" s="34"/>
      <c r="DQM140" s="34"/>
      <c r="DQN140" s="34"/>
      <c r="DQO140" s="34"/>
      <c r="DQP140" s="34"/>
      <c r="DQQ140" s="34"/>
      <c r="DQR140" s="34"/>
      <c r="DQS140" s="34"/>
      <c r="DQT140" s="34"/>
      <c r="DQU140" s="34"/>
      <c r="DQV140" s="34"/>
      <c r="DQW140" s="34"/>
      <c r="DQX140" s="34"/>
      <c r="DQY140" s="34"/>
      <c r="DQZ140" s="34"/>
      <c r="DRA140" s="34"/>
      <c r="DRB140" s="34"/>
      <c r="DRC140" s="34"/>
      <c r="DRD140" s="34"/>
      <c r="DRE140" s="34"/>
      <c r="DRF140" s="34"/>
      <c r="DRG140" s="34"/>
      <c r="DRH140" s="34"/>
      <c r="DRI140" s="34"/>
      <c r="DRJ140" s="34"/>
      <c r="DRK140" s="34"/>
      <c r="DRL140" s="34"/>
      <c r="DRM140" s="34"/>
      <c r="DRN140" s="34"/>
      <c r="DRO140" s="34"/>
      <c r="DRP140" s="34"/>
      <c r="DRQ140" s="34"/>
      <c r="DRR140" s="34"/>
      <c r="DRS140" s="34"/>
      <c r="DRT140" s="34"/>
      <c r="DRU140" s="34"/>
      <c r="DRV140" s="34"/>
      <c r="DRW140" s="34"/>
      <c r="DRX140" s="34"/>
      <c r="DRY140" s="34"/>
      <c r="DRZ140" s="34"/>
      <c r="DSA140" s="34"/>
      <c r="DSB140" s="34"/>
      <c r="DSC140" s="34"/>
      <c r="DSD140" s="34"/>
      <c r="DSE140" s="34"/>
      <c r="DSF140" s="34"/>
      <c r="DSG140" s="34"/>
      <c r="DSH140" s="34"/>
      <c r="DSI140" s="34"/>
      <c r="DSJ140" s="34"/>
      <c r="DSK140" s="34"/>
      <c r="DSL140" s="34"/>
      <c r="DSM140" s="34"/>
      <c r="DSN140" s="34"/>
      <c r="DSO140" s="34"/>
      <c r="DSP140" s="34"/>
      <c r="DSQ140" s="34"/>
      <c r="DSR140" s="34"/>
      <c r="DSS140" s="34"/>
      <c r="DST140" s="34"/>
      <c r="DSU140" s="34"/>
      <c r="DSV140" s="34"/>
      <c r="DSW140" s="34"/>
      <c r="DSX140" s="34"/>
      <c r="DSY140" s="34"/>
      <c r="DSZ140" s="34"/>
      <c r="DTA140" s="34"/>
      <c r="DTB140" s="34"/>
      <c r="DTC140" s="34"/>
      <c r="DTD140" s="34"/>
      <c r="DTE140" s="34"/>
      <c r="DTF140" s="34"/>
      <c r="DTG140" s="34"/>
      <c r="DTH140" s="34"/>
      <c r="DTI140" s="34"/>
      <c r="DTJ140" s="34"/>
      <c r="DTK140" s="34"/>
      <c r="DTL140" s="34"/>
      <c r="DTM140" s="34"/>
      <c r="DTN140" s="34"/>
      <c r="DTO140" s="34"/>
      <c r="DTP140" s="34"/>
      <c r="DTQ140" s="34"/>
      <c r="DTR140" s="34"/>
      <c r="DTS140" s="34"/>
      <c r="DTT140" s="34"/>
      <c r="DTU140" s="34"/>
      <c r="DTV140" s="34"/>
      <c r="DTW140" s="34"/>
      <c r="DTX140" s="34"/>
      <c r="DTY140" s="34"/>
      <c r="DTZ140" s="34"/>
      <c r="DUA140" s="34"/>
      <c r="DUB140" s="34"/>
      <c r="DUC140" s="34"/>
      <c r="DUD140" s="34"/>
      <c r="DUE140" s="34"/>
      <c r="DUF140" s="34"/>
      <c r="DUG140" s="34"/>
      <c r="DUH140" s="34"/>
      <c r="DUI140" s="34"/>
      <c r="DUJ140" s="34"/>
      <c r="DUK140" s="34"/>
      <c r="DUL140" s="34"/>
      <c r="DUM140" s="34"/>
      <c r="DUN140" s="34"/>
      <c r="DUO140" s="34"/>
      <c r="DUP140" s="34"/>
      <c r="DUQ140" s="34"/>
      <c r="DUR140" s="34"/>
      <c r="DUS140" s="34"/>
      <c r="DUT140" s="34"/>
      <c r="DUU140" s="34"/>
      <c r="DUV140" s="34"/>
      <c r="DUW140" s="34"/>
      <c r="DUX140" s="34"/>
      <c r="DUY140" s="34"/>
      <c r="DUZ140" s="34"/>
      <c r="DVA140" s="34"/>
      <c r="DVB140" s="34"/>
      <c r="DVC140" s="34"/>
      <c r="DVD140" s="34"/>
      <c r="DVE140" s="34"/>
      <c r="DVF140" s="34"/>
      <c r="DVG140" s="34"/>
      <c r="DVH140" s="34"/>
      <c r="DVI140" s="34"/>
      <c r="DVJ140" s="34"/>
      <c r="DVK140" s="34"/>
      <c r="DVL140" s="34"/>
      <c r="DVM140" s="34"/>
      <c r="DVN140" s="34"/>
      <c r="DVO140" s="34"/>
      <c r="DVP140" s="34"/>
      <c r="DVQ140" s="34"/>
      <c r="DVR140" s="34"/>
      <c r="DVS140" s="34"/>
      <c r="DVT140" s="34"/>
      <c r="DVU140" s="34"/>
      <c r="DVV140" s="34"/>
      <c r="DVW140" s="34"/>
      <c r="DVX140" s="34"/>
      <c r="DVY140" s="34"/>
      <c r="DVZ140" s="34"/>
      <c r="DWA140" s="34"/>
      <c r="DWB140" s="34"/>
      <c r="DWC140" s="34"/>
      <c r="DWD140" s="34"/>
      <c r="DWE140" s="34"/>
      <c r="DWF140" s="34"/>
      <c r="DWG140" s="34"/>
      <c r="DWH140" s="34"/>
      <c r="DWI140" s="34"/>
      <c r="DWJ140" s="34"/>
      <c r="DWK140" s="34"/>
      <c r="DWL140" s="34"/>
      <c r="DWM140" s="34"/>
      <c r="DWN140" s="34"/>
      <c r="DWO140" s="34"/>
      <c r="DWP140" s="34"/>
      <c r="DWQ140" s="34"/>
      <c r="DWR140" s="34"/>
      <c r="DWS140" s="34"/>
      <c r="DWT140" s="34"/>
      <c r="DWU140" s="34"/>
      <c r="DWV140" s="34"/>
      <c r="DWW140" s="34"/>
      <c r="DWX140" s="34"/>
      <c r="DWY140" s="34"/>
      <c r="DWZ140" s="34"/>
      <c r="DXA140" s="34"/>
      <c r="DXB140" s="34"/>
      <c r="DXC140" s="34"/>
      <c r="DXD140" s="34"/>
      <c r="DXE140" s="34"/>
      <c r="DXF140" s="34"/>
      <c r="DXG140" s="34"/>
      <c r="DXH140" s="34"/>
      <c r="DXI140" s="34"/>
      <c r="DXJ140" s="34"/>
      <c r="DXK140" s="34"/>
      <c r="DXL140" s="34"/>
      <c r="DXM140" s="34"/>
      <c r="DXN140" s="34"/>
      <c r="DXO140" s="34"/>
      <c r="DXP140" s="34"/>
      <c r="DXQ140" s="34"/>
      <c r="DXR140" s="34"/>
      <c r="DXS140" s="34"/>
      <c r="DXT140" s="34"/>
      <c r="DXU140" s="34"/>
      <c r="DXV140" s="34"/>
      <c r="DXW140" s="34"/>
      <c r="DXX140" s="34"/>
      <c r="DXY140" s="34"/>
      <c r="DXZ140" s="34"/>
      <c r="DYA140" s="34"/>
      <c r="DYB140" s="34"/>
      <c r="DYC140" s="34"/>
      <c r="DYD140" s="34"/>
      <c r="DYE140" s="34"/>
      <c r="DYF140" s="34"/>
      <c r="DYG140" s="34"/>
      <c r="DYH140" s="34"/>
      <c r="DYI140" s="34"/>
      <c r="DYJ140" s="34"/>
      <c r="DYK140" s="34"/>
      <c r="DYL140" s="34"/>
      <c r="DYM140" s="34"/>
      <c r="DYN140" s="34"/>
      <c r="DYO140" s="34"/>
      <c r="DYP140" s="34"/>
      <c r="DYQ140" s="34"/>
      <c r="DYR140" s="34"/>
      <c r="DYS140" s="34"/>
      <c r="DYT140" s="34"/>
      <c r="DYU140" s="34"/>
      <c r="DYV140" s="34"/>
      <c r="DYW140" s="34"/>
      <c r="DYX140" s="34"/>
      <c r="DYY140" s="34"/>
      <c r="DYZ140" s="34"/>
      <c r="DZA140" s="34"/>
      <c r="DZB140" s="34"/>
      <c r="DZC140" s="34"/>
      <c r="DZD140" s="34"/>
      <c r="DZE140" s="34"/>
      <c r="DZF140" s="34"/>
      <c r="DZG140" s="34"/>
      <c r="DZH140" s="34"/>
      <c r="DZI140" s="34"/>
      <c r="DZJ140" s="34"/>
      <c r="DZK140" s="34"/>
      <c r="DZL140" s="34"/>
      <c r="DZM140" s="34"/>
      <c r="DZN140" s="34"/>
      <c r="DZO140" s="34"/>
      <c r="DZP140" s="34"/>
      <c r="DZQ140" s="34"/>
      <c r="DZR140" s="34"/>
      <c r="DZS140" s="34"/>
      <c r="DZT140" s="34"/>
      <c r="DZU140" s="34"/>
      <c r="DZV140" s="34"/>
      <c r="DZW140" s="34"/>
      <c r="DZX140" s="34"/>
      <c r="DZY140" s="34"/>
      <c r="DZZ140" s="34"/>
      <c r="EAA140" s="34"/>
      <c r="EAB140" s="34"/>
      <c r="EAC140" s="34"/>
      <c r="EAD140" s="34"/>
      <c r="EAE140" s="34"/>
      <c r="EAF140" s="34"/>
      <c r="EAG140" s="34"/>
      <c r="EAH140" s="34"/>
      <c r="EAI140" s="34"/>
      <c r="EAJ140" s="34"/>
      <c r="EAK140" s="34"/>
      <c r="EAL140" s="34"/>
      <c r="EAM140" s="34"/>
      <c r="EAN140" s="34"/>
      <c r="EAO140" s="34"/>
      <c r="EAP140" s="34"/>
      <c r="EAQ140" s="34"/>
      <c r="EAR140" s="34"/>
      <c r="EAS140" s="34"/>
      <c r="EAT140" s="34"/>
      <c r="EAU140" s="34"/>
      <c r="EAV140" s="34"/>
      <c r="EAW140" s="34"/>
      <c r="EAX140" s="34"/>
      <c r="EAY140" s="34"/>
      <c r="EAZ140" s="34"/>
      <c r="EBA140" s="34"/>
      <c r="EBB140" s="34"/>
      <c r="EBC140" s="34"/>
      <c r="EBD140" s="34"/>
      <c r="EBE140" s="34"/>
      <c r="EBF140" s="34"/>
      <c r="EBG140" s="34"/>
      <c r="EBH140" s="34"/>
      <c r="EBI140" s="34"/>
      <c r="EBJ140" s="34"/>
      <c r="EBK140" s="34"/>
      <c r="EBL140" s="34"/>
      <c r="EBM140" s="34"/>
      <c r="EBN140" s="34"/>
      <c r="EBO140" s="34"/>
      <c r="EBP140" s="34"/>
      <c r="EBQ140" s="34"/>
      <c r="EBR140" s="34"/>
      <c r="EBS140" s="34"/>
      <c r="EBT140" s="34"/>
      <c r="EBU140" s="34"/>
      <c r="EBV140" s="34"/>
      <c r="EBW140" s="34"/>
      <c r="EBX140" s="34"/>
      <c r="EBY140" s="34"/>
      <c r="EBZ140" s="34"/>
      <c r="ECA140" s="34"/>
      <c r="ECB140" s="34"/>
      <c r="ECC140" s="34"/>
      <c r="ECD140" s="34"/>
      <c r="ECE140" s="34"/>
      <c r="ECF140" s="34"/>
      <c r="ECG140" s="34"/>
      <c r="ECH140" s="34"/>
      <c r="ECI140" s="34"/>
      <c r="ECJ140" s="34"/>
      <c r="ECK140" s="34"/>
      <c r="ECL140" s="34"/>
      <c r="ECM140" s="34"/>
      <c r="ECN140" s="34"/>
      <c r="ECO140" s="34"/>
      <c r="ECP140" s="34"/>
      <c r="ECQ140" s="34"/>
      <c r="ECR140" s="34"/>
      <c r="ECS140" s="34"/>
      <c r="ECT140" s="34"/>
      <c r="ECU140" s="34"/>
      <c r="ECV140" s="34"/>
      <c r="ECW140" s="34"/>
      <c r="ECX140" s="34"/>
      <c r="ECY140" s="34"/>
      <c r="ECZ140" s="34"/>
      <c r="EDA140" s="34"/>
      <c r="EDB140" s="34"/>
      <c r="EDC140" s="34"/>
      <c r="EDD140" s="34"/>
      <c r="EDE140" s="34"/>
      <c r="EDF140" s="34"/>
      <c r="EDG140" s="34"/>
      <c r="EDH140" s="34"/>
      <c r="EDI140" s="34"/>
      <c r="EDJ140" s="34"/>
      <c r="EDK140" s="34"/>
      <c r="EDL140" s="34"/>
      <c r="EDM140" s="34"/>
      <c r="EDN140" s="34"/>
      <c r="EDO140" s="34"/>
      <c r="EDP140" s="34"/>
      <c r="EDQ140" s="34"/>
      <c r="EDR140" s="34"/>
      <c r="EDS140" s="34"/>
      <c r="EDT140" s="34"/>
      <c r="EDU140" s="34"/>
      <c r="EDV140" s="34"/>
      <c r="EDW140" s="34"/>
      <c r="EDX140" s="34"/>
      <c r="EDY140" s="34"/>
      <c r="EDZ140" s="34"/>
      <c r="EEA140" s="34"/>
      <c r="EEB140" s="34"/>
      <c r="EEC140" s="34"/>
      <c r="EED140" s="34"/>
      <c r="EEE140" s="34"/>
      <c r="EEF140" s="34"/>
      <c r="EEG140" s="34"/>
      <c r="EEH140" s="34"/>
      <c r="EEI140" s="34"/>
      <c r="EEJ140" s="34"/>
      <c r="EEK140" s="34"/>
      <c r="EEL140" s="34"/>
      <c r="EEM140" s="34"/>
      <c r="EEN140" s="34"/>
      <c r="EEO140" s="34"/>
      <c r="EEP140" s="34"/>
      <c r="EEQ140" s="34"/>
      <c r="EER140" s="34"/>
      <c r="EES140" s="34"/>
      <c r="EET140" s="34"/>
      <c r="EEU140" s="34"/>
      <c r="EEV140" s="34"/>
      <c r="EEW140" s="34"/>
      <c r="EEX140" s="34"/>
      <c r="EEY140" s="34"/>
      <c r="EEZ140" s="34"/>
      <c r="EFA140" s="34"/>
      <c r="EFB140" s="34"/>
      <c r="EFC140" s="34"/>
      <c r="EFD140" s="34"/>
      <c r="EFE140" s="34"/>
      <c r="EFF140" s="34"/>
      <c r="EFG140" s="34"/>
      <c r="EFH140" s="34"/>
      <c r="EFI140" s="34"/>
      <c r="EFJ140" s="34"/>
      <c r="EFK140" s="34"/>
      <c r="EFL140" s="34"/>
      <c r="EFM140" s="34"/>
      <c r="EFN140" s="34"/>
      <c r="EFO140" s="34"/>
      <c r="EFP140" s="34"/>
      <c r="EFQ140" s="34"/>
      <c r="EFR140" s="34"/>
      <c r="EFS140" s="34"/>
      <c r="EFT140" s="34"/>
      <c r="EFU140" s="34"/>
      <c r="EFV140" s="34"/>
      <c r="EFW140" s="34"/>
      <c r="EFX140" s="34"/>
      <c r="EFY140" s="34"/>
      <c r="EFZ140" s="34"/>
      <c r="EGA140" s="34"/>
      <c r="EGB140" s="34"/>
      <c r="EGC140" s="34"/>
      <c r="EGD140" s="34"/>
      <c r="EGE140" s="34"/>
      <c r="EGF140" s="34"/>
      <c r="EGG140" s="34"/>
      <c r="EGH140" s="34"/>
      <c r="EGI140" s="34"/>
      <c r="EGJ140" s="34"/>
      <c r="EGK140" s="34"/>
      <c r="EGL140" s="34"/>
      <c r="EGM140" s="34"/>
      <c r="EGN140" s="34"/>
      <c r="EGO140" s="34"/>
      <c r="EGP140" s="34"/>
      <c r="EGQ140" s="34"/>
      <c r="EGR140" s="34"/>
      <c r="EGS140" s="34"/>
      <c r="EGT140" s="34"/>
      <c r="EGU140" s="34"/>
      <c r="EGV140" s="34"/>
      <c r="EGW140" s="34"/>
      <c r="EGX140" s="34"/>
      <c r="EGY140" s="34"/>
      <c r="EGZ140" s="34"/>
      <c r="EHA140" s="34"/>
      <c r="EHB140" s="34"/>
      <c r="EHC140" s="34"/>
      <c r="EHD140" s="34"/>
      <c r="EHE140" s="34"/>
      <c r="EHF140" s="34"/>
      <c r="EHG140" s="34"/>
      <c r="EHH140" s="34"/>
      <c r="EHI140" s="34"/>
      <c r="EHJ140" s="34"/>
      <c r="EHK140" s="34"/>
      <c r="EHL140" s="34"/>
      <c r="EHM140" s="34"/>
      <c r="EHN140" s="34"/>
      <c r="EHO140" s="34"/>
      <c r="EHP140" s="34"/>
      <c r="EHQ140" s="34"/>
      <c r="EHR140" s="34"/>
      <c r="EHS140" s="34"/>
      <c r="EHT140" s="34"/>
      <c r="EHU140" s="34"/>
      <c r="EHV140" s="34"/>
      <c r="EHW140" s="34"/>
      <c r="EHX140" s="34"/>
      <c r="EHY140" s="34"/>
      <c r="EHZ140" s="34"/>
      <c r="EIA140" s="34"/>
      <c r="EIB140" s="34"/>
      <c r="EIC140" s="34"/>
      <c r="EID140" s="34"/>
      <c r="EIE140" s="34"/>
      <c r="EIF140" s="34"/>
      <c r="EIG140" s="34"/>
      <c r="EIH140" s="34"/>
      <c r="EII140" s="34"/>
      <c r="EIJ140" s="34"/>
      <c r="EIK140" s="34"/>
      <c r="EIL140" s="34"/>
      <c r="EIM140" s="34"/>
      <c r="EIN140" s="34"/>
      <c r="EIO140" s="34"/>
      <c r="EIP140" s="34"/>
      <c r="EIQ140" s="34"/>
      <c r="EIR140" s="34"/>
      <c r="EIS140" s="34"/>
      <c r="EIT140" s="34"/>
      <c r="EIU140" s="34"/>
      <c r="EIV140" s="34"/>
      <c r="EIW140" s="34"/>
      <c r="EIX140" s="34"/>
      <c r="EIY140" s="34"/>
      <c r="EIZ140" s="34"/>
      <c r="EJA140" s="34"/>
      <c r="EJB140" s="34"/>
      <c r="EJC140" s="34"/>
      <c r="EJD140" s="34"/>
      <c r="EJE140" s="34"/>
      <c r="EJF140" s="34"/>
      <c r="EJG140" s="34"/>
      <c r="EJH140" s="34"/>
      <c r="EJI140" s="34"/>
      <c r="EJJ140" s="34"/>
      <c r="EJK140" s="34"/>
      <c r="EJL140" s="34"/>
      <c r="EJM140" s="34"/>
      <c r="EJN140" s="34"/>
      <c r="EJO140" s="34"/>
      <c r="EJP140" s="34"/>
      <c r="EJQ140" s="34"/>
      <c r="EJR140" s="34"/>
      <c r="EJS140" s="34"/>
      <c r="EJT140" s="34"/>
      <c r="EJU140" s="34"/>
      <c r="EJV140" s="34"/>
      <c r="EJW140" s="34"/>
      <c r="EJX140" s="34"/>
      <c r="EJY140" s="34"/>
      <c r="EJZ140" s="34"/>
      <c r="EKA140" s="34"/>
      <c r="EKB140" s="34"/>
      <c r="EKC140" s="34"/>
      <c r="EKD140" s="34"/>
      <c r="EKE140" s="34"/>
      <c r="EKF140" s="34"/>
      <c r="EKG140" s="34"/>
      <c r="EKH140" s="34"/>
      <c r="EKI140" s="34"/>
      <c r="EKJ140" s="34"/>
      <c r="EKK140" s="34"/>
      <c r="EKL140" s="34"/>
      <c r="EKM140" s="34"/>
      <c r="EKN140" s="34"/>
      <c r="EKO140" s="34"/>
      <c r="EKP140" s="34"/>
      <c r="EKQ140" s="34"/>
      <c r="EKR140" s="34"/>
      <c r="EKS140" s="34"/>
      <c r="EKT140" s="34"/>
      <c r="EKU140" s="34"/>
      <c r="EKV140" s="34"/>
      <c r="EKW140" s="34"/>
      <c r="EKX140" s="34"/>
      <c r="EKY140" s="34"/>
      <c r="EKZ140" s="34"/>
      <c r="ELA140" s="34"/>
      <c r="ELB140" s="34"/>
      <c r="ELC140" s="34"/>
      <c r="ELD140" s="34"/>
      <c r="ELE140" s="34"/>
      <c r="ELF140" s="34"/>
      <c r="ELG140" s="34"/>
      <c r="ELH140" s="34"/>
      <c r="ELI140" s="34"/>
      <c r="ELJ140" s="34"/>
      <c r="ELK140" s="34"/>
      <c r="ELL140" s="34"/>
      <c r="ELM140" s="34"/>
      <c r="ELN140" s="34"/>
      <c r="ELO140" s="34"/>
      <c r="ELP140" s="34"/>
      <c r="ELQ140" s="34"/>
      <c r="ELR140" s="34"/>
      <c r="ELS140" s="34"/>
      <c r="ELT140" s="34"/>
      <c r="ELU140" s="34"/>
      <c r="ELV140" s="34"/>
      <c r="ELW140" s="34"/>
      <c r="ELX140" s="34"/>
      <c r="ELY140" s="34"/>
      <c r="ELZ140" s="34"/>
      <c r="EMA140" s="34"/>
      <c r="EMB140" s="34"/>
      <c r="EMC140" s="34"/>
      <c r="EMD140" s="34"/>
      <c r="EME140" s="34"/>
      <c r="EMF140" s="34"/>
      <c r="EMG140" s="34"/>
      <c r="EMH140" s="34"/>
      <c r="EMI140" s="34"/>
      <c r="EMJ140" s="34"/>
      <c r="EMK140" s="34"/>
      <c r="EML140" s="34"/>
      <c r="EMM140" s="34"/>
      <c r="EMN140" s="34"/>
      <c r="EMO140" s="34"/>
      <c r="EMP140" s="34"/>
      <c r="EMQ140" s="34"/>
      <c r="EMR140" s="34"/>
      <c r="EMS140" s="34"/>
      <c r="EMT140" s="34"/>
      <c r="EMU140" s="34"/>
      <c r="EMV140" s="34"/>
      <c r="EMW140" s="34"/>
      <c r="EMX140" s="34"/>
      <c r="EMY140" s="34"/>
      <c r="EMZ140" s="34"/>
      <c r="ENA140" s="34"/>
      <c r="ENB140" s="34"/>
      <c r="ENC140" s="34"/>
      <c r="END140" s="34"/>
      <c r="ENE140" s="34"/>
      <c r="ENF140" s="34"/>
      <c r="ENG140" s="34"/>
      <c r="ENH140" s="34"/>
      <c r="ENI140" s="34"/>
      <c r="ENJ140" s="34"/>
      <c r="ENK140" s="34"/>
      <c r="ENL140" s="34"/>
      <c r="ENM140" s="34"/>
      <c r="ENN140" s="34"/>
      <c r="ENO140" s="34"/>
      <c r="ENP140" s="34"/>
      <c r="ENQ140" s="34"/>
      <c r="ENR140" s="34"/>
      <c r="ENS140" s="34"/>
      <c r="ENT140" s="34"/>
      <c r="ENU140" s="34"/>
      <c r="ENV140" s="34"/>
      <c r="ENW140" s="34"/>
      <c r="ENX140" s="34"/>
      <c r="ENY140" s="34"/>
      <c r="ENZ140" s="34"/>
      <c r="EOA140" s="34"/>
      <c r="EOB140" s="34"/>
      <c r="EOC140" s="34"/>
      <c r="EOD140" s="34"/>
      <c r="EOE140" s="34"/>
      <c r="EOF140" s="34"/>
      <c r="EOG140" s="34"/>
      <c r="EOH140" s="34"/>
      <c r="EOI140" s="34"/>
      <c r="EOJ140" s="34"/>
      <c r="EOK140" s="34"/>
      <c r="EOL140" s="34"/>
      <c r="EOM140" s="34"/>
      <c r="EON140" s="34"/>
      <c r="EOO140" s="34"/>
      <c r="EOP140" s="34"/>
      <c r="EOQ140" s="34"/>
      <c r="EOR140" s="34"/>
      <c r="EOS140" s="34"/>
      <c r="EOT140" s="34"/>
      <c r="EOU140" s="34"/>
      <c r="EOV140" s="34"/>
      <c r="EOW140" s="34"/>
      <c r="EOX140" s="34"/>
      <c r="EOY140" s="34"/>
      <c r="EOZ140" s="34"/>
      <c r="EPA140" s="34"/>
      <c r="EPB140" s="34"/>
      <c r="EPC140" s="34"/>
      <c r="EPD140" s="34"/>
      <c r="EPE140" s="34"/>
      <c r="EPF140" s="34"/>
      <c r="EPG140" s="34"/>
      <c r="EPH140" s="34"/>
      <c r="EPI140" s="34"/>
      <c r="EPJ140" s="34"/>
      <c r="EPK140" s="34"/>
      <c r="EPL140" s="34"/>
      <c r="EPM140" s="34"/>
      <c r="EPN140" s="34"/>
      <c r="EPO140" s="34"/>
      <c r="EPP140" s="34"/>
      <c r="EPQ140" s="34"/>
      <c r="EPR140" s="34"/>
      <c r="EPS140" s="34"/>
      <c r="EPT140" s="34"/>
      <c r="EPU140" s="34"/>
      <c r="EPV140" s="34"/>
      <c r="EPW140" s="34"/>
      <c r="EPX140" s="34"/>
      <c r="EPY140" s="34"/>
      <c r="EPZ140" s="34"/>
      <c r="EQA140" s="34"/>
      <c r="EQB140" s="34"/>
      <c r="EQC140" s="34"/>
      <c r="EQD140" s="34"/>
      <c r="EQE140" s="34"/>
      <c r="EQF140" s="34"/>
      <c r="EQG140" s="34"/>
      <c r="EQH140" s="34"/>
      <c r="EQI140" s="34"/>
      <c r="EQJ140" s="34"/>
      <c r="EQK140" s="34"/>
      <c r="EQL140" s="34"/>
      <c r="EQM140" s="34"/>
      <c r="EQN140" s="34"/>
      <c r="EQO140" s="34"/>
      <c r="EQP140" s="34"/>
      <c r="EQQ140" s="34"/>
      <c r="EQR140" s="34"/>
      <c r="EQS140" s="34"/>
      <c r="EQT140" s="34"/>
      <c r="EQU140" s="34"/>
      <c r="EQV140" s="34"/>
      <c r="EQW140" s="34"/>
      <c r="EQX140" s="34"/>
      <c r="EQY140" s="34"/>
      <c r="EQZ140" s="34"/>
      <c r="ERA140" s="34"/>
      <c r="ERB140" s="34"/>
      <c r="ERC140" s="34"/>
      <c r="ERD140" s="34"/>
      <c r="ERE140" s="34"/>
      <c r="ERF140" s="34"/>
      <c r="ERG140" s="34"/>
      <c r="ERH140" s="34"/>
      <c r="ERI140" s="34"/>
      <c r="ERJ140" s="34"/>
      <c r="ERK140" s="34"/>
      <c r="ERL140" s="34"/>
      <c r="ERM140" s="34"/>
      <c r="ERN140" s="34"/>
      <c r="ERO140" s="34"/>
      <c r="ERP140" s="34"/>
      <c r="ERQ140" s="34"/>
      <c r="ERR140" s="34"/>
      <c r="ERS140" s="34"/>
      <c r="ERT140" s="34"/>
      <c r="ERU140" s="34"/>
      <c r="ERV140" s="34"/>
      <c r="ERW140" s="34"/>
      <c r="ERX140" s="34"/>
      <c r="ERY140" s="34"/>
      <c r="ERZ140" s="34"/>
      <c r="ESA140" s="34"/>
      <c r="ESB140" s="34"/>
      <c r="ESC140" s="34"/>
      <c r="ESD140" s="34"/>
      <c r="ESE140" s="34"/>
      <c r="ESF140" s="34"/>
      <c r="ESG140" s="34"/>
      <c r="ESH140" s="34"/>
      <c r="ESI140" s="34"/>
      <c r="ESJ140" s="34"/>
      <c r="ESK140" s="34"/>
      <c r="ESL140" s="34"/>
      <c r="ESM140" s="34"/>
      <c r="ESN140" s="34"/>
      <c r="ESO140" s="34"/>
      <c r="ESP140" s="34"/>
      <c r="ESQ140" s="34"/>
      <c r="ESR140" s="34"/>
      <c r="ESS140" s="34"/>
      <c r="EST140" s="34"/>
      <c r="ESU140" s="34"/>
      <c r="ESV140" s="34"/>
      <c r="ESW140" s="34"/>
      <c r="ESX140" s="34"/>
      <c r="ESY140" s="34"/>
      <c r="ESZ140" s="34"/>
      <c r="ETA140" s="34"/>
      <c r="ETB140" s="34"/>
      <c r="ETC140" s="34"/>
      <c r="ETD140" s="34"/>
      <c r="ETE140" s="34"/>
      <c r="ETF140" s="34"/>
      <c r="ETG140" s="34"/>
      <c r="ETH140" s="34"/>
      <c r="ETI140" s="34"/>
      <c r="ETJ140" s="34"/>
      <c r="ETK140" s="34"/>
      <c r="ETL140" s="34"/>
      <c r="ETM140" s="34"/>
      <c r="ETN140" s="34"/>
      <c r="ETO140" s="34"/>
      <c r="ETP140" s="34"/>
      <c r="ETQ140" s="34"/>
      <c r="ETR140" s="34"/>
      <c r="ETS140" s="34"/>
      <c r="ETT140" s="34"/>
      <c r="ETU140" s="34"/>
      <c r="ETV140" s="34"/>
      <c r="ETW140" s="34"/>
      <c r="ETX140" s="34"/>
      <c r="ETY140" s="34"/>
      <c r="ETZ140" s="34"/>
      <c r="EUA140" s="34"/>
      <c r="EUB140" s="34"/>
      <c r="EUC140" s="34"/>
      <c r="EUD140" s="34"/>
      <c r="EUE140" s="34"/>
      <c r="EUF140" s="34"/>
      <c r="EUG140" s="34"/>
      <c r="EUH140" s="34"/>
      <c r="EUI140" s="34"/>
      <c r="EUJ140" s="34"/>
      <c r="EUK140" s="34"/>
      <c r="EUL140" s="34"/>
      <c r="EUM140" s="34"/>
      <c r="EUN140" s="34"/>
      <c r="EUO140" s="34"/>
      <c r="EUP140" s="34"/>
      <c r="EUQ140" s="34"/>
      <c r="EUR140" s="34"/>
      <c r="EUS140" s="34"/>
      <c r="EUT140" s="34"/>
      <c r="EUU140" s="34"/>
      <c r="EUV140" s="34"/>
      <c r="EUW140" s="34"/>
      <c r="EUX140" s="34"/>
      <c r="EUY140" s="34"/>
      <c r="EUZ140" s="34"/>
      <c r="EVA140" s="34"/>
      <c r="EVB140" s="34"/>
      <c r="EVC140" s="34"/>
      <c r="EVD140" s="34"/>
      <c r="EVE140" s="34"/>
      <c r="EVF140" s="34"/>
      <c r="EVG140" s="34"/>
      <c r="EVH140" s="34"/>
      <c r="EVI140" s="34"/>
      <c r="EVJ140" s="34"/>
      <c r="EVK140" s="34"/>
      <c r="EVL140" s="34"/>
      <c r="EVM140" s="34"/>
      <c r="EVN140" s="34"/>
      <c r="EVO140" s="34"/>
      <c r="EVP140" s="34"/>
      <c r="EVQ140" s="34"/>
      <c r="EVR140" s="34"/>
      <c r="EVS140" s="34"/>
      <c r="EVT140" s="34"/>
      <c r="EVU140" s="34"/>
      <c r="EVV140" s="34"/>
      <c r="EVW140" s="34"/>
      <c r="EVX140" s="34"/>
      <c r="EVY140" s="34"/>
      <c r="EVZ140" s="34"/>
      <c r="EWA140" s="34"/>
      <c r="EWB140" s="34"/>
      <c r="EWC140" s="34"/>
      <c r="EWD140" s="34"/>
      <c r="EWE140" s="34"/>
      <c r="EWF140" s="34"/>
      <c r="EWG140" s="34"/>
      <c r="EWH140" s="34"/>
      <c r="EWI140" s="34"/>
      <c r="EWJ140" s="34"/>
      <c r="EWK140" s="34"/>
      <c r="EWL140" s="34"/>
      <c r="EWM140" s="34"/>
      <c r="EWN140" s="34"/>
      <c r="EWO140" s="34"/>
      <c r="EWP140" s="34"/>
      <c r="EWQ140" s="34"/>
      <c r="EWR140" s="34"/>
      <c r="EWS140" s="34"/>
      <c r="EWT140" s="34"/>
      <c r="EWU140" s="34"/>
      <c r="EWV140" s="34"/>
      <c r="EWW140" s="34"/>
      <c r="EWX140" s="34"/>
      <c r="EWY140" s="34"/>
      <c r="EWZ140" s="34"/>
      <c r="EXA140" s="34"/>
      <c r="EXB140" s="34"/>
      <c r="EXC140" s="34"/>
      <c r="EXD140" s="34"/>
      <c r="EXE140" s="34"/>
      <c r="EXF140" s="34"/>
      <c r="EXG140" s="34"/>
      <c r="EXH140" s="34"/>
      <c r="EXI140" s="34"/>
      <c r="EXJ140" s="34"/>
      <c r="EXK140" s="34"/>
      <c r="EXL140" s="34"/>
      <c r="EXM140" s="34"/>
      <c r="EXN140" s="34"/>
      <c r="EXO140" s="34"/>
      <c r="EXP140" s="34"/>
      <c r="EXQ140" s="34"/>
      <c r="EXR140" s="34"/>
      <c r="EXS140" s="34"/>
      <c r="EXT140" s="34"/>
      <c r="EXU140" s="34"/>
      <c r="EXV140" s="34"/>
      <c r="EXW140" s="34"/>
      <c r="EXX140" s="34"/>
      <c r="EXY140" s="34"/>
      <c r="EXZ140" s="34"/>
      <c r="EYA140" s="34"/>
      <c r="EYB140" s="34"/>
      <c r="EYC140" s="34"/>
      <c r="EYD140" s="34"/>
      <c r="EYE140" s="34"/>
      <c r="EYF140" s="34"/>
      <c r="EYG140" s="34"/>
      <c r="EYH140" s="34"/>
      <c r="EYI140" s="34"/>
      <c r="EYJ140" s="34"/>
      <c r="EYK140" s="34"/>
      <c r="EYL140" s="34"/>
      <c r="EYM140" s="34"/>
      <c r="EYN140" s="34"/>
      <c r="EYO140" s="34"/>
      <c r="EYP140" s="34"/>
      <c r="EYQ140" s="34"/>
      <c r="EYR140" s="34"/>
      <c r="EYS140" s="34"/>
      <c r="EYT140" s="34"/>
      <c r="EYU140" s="34"/>
      <c r="EYV140" s="34"/>
      <c r="EYW140" s="34"/>
      <c r="EYX140" s="34"/>
      <c r="EYY140" s="34"/>
      <c r="EYZ140" s="34"/>
      <c r="EZA140" s="34"/>
      <c r="EZB140" s="34"/>
      <c r="EZC140" s="34"/>
      <c r="EZD140" s="34"/>
      <c r="EZE140" s="34"/>
      <c r="EZF140" s="34"/>
      <c r="EZG140" s="34"/>
      <c r="EZH140" s="34"/>
      <c r="EZI140" s="34"/>
      <c r="EZJ140" s="34"/>
      <c r="EZK140" s="34"/>
      <c r="EZL140" s="34"/>
      <c r="EZM140" s="34"/>
      <c r="EZN140" s="34"/>
      <c r="EZO140" s="34"/>
      <c r="EZP140" s="34"/>
      <c r="EZQ140" s="34"/>
      <c r="EZR140" s="34"/>
      <c r="EZS140" s="34"/>
      <c r="EZT140" s="34"/>
      <c r="EZU140" s="34"/>
      <c r="EZV140" s="34"/>
      <c r="EZW140" s="34"/>
      <c r="EZX140" s="34"/>
      <c r="EZY140" s="34"/>
      <c r="EZZ140" s="34"/>
      <c r="FAA140" s="34"/>
      <c r="FAB140" s="34"/>
      <c r="FAC140" s="34"/>
      <c r="FAD140" s="34"/>
      <c r="FAE140" s="34"/>
      <c r="FAF140" s="34"/>
      <c r="FAG140" s="34"/>
      <c r="FAH140" s="34"/>
      <c r="FAI140" s="34"/>
      <c r="FAJ140" s="34"/>
      <c r="FAK140" s="34"/>
      <c r="FAL140" s="34"/>
      <c r="FAM140" s="34"/>
      <c r="FAN140" s="34"/>
      <c r="FAO140" s="34"/>
      <c r="FAP140" s="34"/>
      <c r="FAQ140" s="34"/>
      <c r="FAR140" s="34"/>
      <c r="FAS140" s="34"/>
      <c r="FAT140" s="34"/>
      <c r="FAU140" s="34"/>
      <c r="FAV140" s="34"/>
      <c r="FAW140" s="34"/>
      <c r="FAX140" s="34"/>
      <c r="FAY140" s="34"/>
      <c r="FAZ140" s="34"/>
      <c r="FBA140" s="34"/>
      <c r="FBB140" s="34"/>
      <c r="FBC140" s="34"/>
      <c r="FBD140" s="34"/>
      <c r="FBE140" s="34"/>
      <c r="FBF140" s="34"/>
      <c r="FBG140" s="34"/>
      <c r="FBH140" s="34"/>
      <c r="FBI140" s="34"/>
      <c r="FBJ140" s="34"/>
      <c r="FBK140" s="34"/>
      <c r="FBL140" s="34"/>
      <c r="FBM140" s="34"/>
      <c r="FBN140" s="34"/>
      <c r="FBO140" s="34"/>
      <c r="FBP140" s="34"/>
      <c r="FBQ140" s="34"/>
      <c r="FBR140" s="34"/>
      <c r="FBS140" s="34"/>
      <c r="FBT140" s="34"/>
      <c r="FBU140" s="34"/>
      <c r="FBV140" s="34"/>
      <c r="FBW140" s="34"/>
      <c r="FBX140" s="34"/>
      <c r="FBY140" s="34"/>
      <c r="FBZ140" s="34"/>
      <c r="FCA140" s="34"/>
      <c r="FCB140" s="34"/>
      <c r="FCC140" s="34"/>
      <c r="FCD140" s="34"/>
      <c r="FCE140" s="34"/>
      <c r="FCF140" s="34"/>
      <c r="FCG140" s="34"/>
      <c r="FCH140" s="34"/>
      <c r="FCI140" s="34"/>
      <c r="FCJ140" s="34"/>
      <c r="FCK140" s="34"/>
      <c r="FCL140" s="34"/>
      <c r="FCM140" s="34"/>
      <c r="FCN140" s="34"/>
      <c r="FCO140" s="34"/>
      <c r="FCP140" s="34"/>
      <c r="FCQ140" s="34"/>
      <c r="FCR140" s="34"/>
      <c r="FCS140" s="34"/>
      <c r="FCT140" s="34"/>
      <c r="FCU140" s="34"/>
      <c r="FCV140" s="34"/>
      <c r="FCW140" s="34"/>
      <c r="FCX140" s="34"/>
      <c r="FCY140" s="34"/>
      <c r="FCZ140" s="34"/>
      <c r="FDA140" s="34"/>
      <c r="FDB140" s="34"/>
      <c r="FDC140" s="34"/>
      <c r="FDD140" s="34"/>
      <c r="FDE140" s="34"/>
      <c r="FDF140" s="34"/>
      <c r="FDG140" s="34"/>
      <c r="FDH140" s="34"/>
      <c r="FDI140" s="34"/>
      <c r="FDJ140" s="34"/>
      <c r="FDK140" s="34"/>
      <c r="FDL140" s="34"/>
      <c r="FDM140" s="34"/>
      <c r="FDN140" s="34"/>
      <c r="FDO140" s="34"/>
      <c r="FDP140" s="34"/>
      <c r="FDQ140" s="34"/>
      <c r="FDR140" s="34"/>
      <c r="FDS140" s="34"/>
      <c r="FDT140" s="34"/>
      <c r="FDU140" s="34"/>
      <c r="FDV140" s="34"/>
      <c r="FDW140" s="34"/>
      <c r="FDX140" s="34"/>
      <c r="FDY140" s="34"/>
      <c r="FDZ140" s="34"/>
      <c r="FEA140" s="34"/>
      <c r="FEB140" s="34"/>
      <c r="FEC140" s="34"/>
      <c r="FED140" s="34"/>
      <c r="FEE140" s="34"/>
      <c r="FEF140" s="34"/>
      <c r="FEG140" s="34"/>
      <c r="FEH140" s="34"/>
      <c r="FEI140" s="34"/>
      <c r="FEJ140" s="34"/>
      <c r="FEK140" s="34"/>
      <c r="FEL140" s="34"/>
      <c r="FEM140" s="34"/>
      <c r="FEN140" s="34"/>
      <c r="FEO140" s="34"/>
      <c r="FEP140" s="34"/>
      <c r="FEQ140" s="34"/>
      <c r="FER140" s="34"/>
      <c r="FES140" s="34"/>
      <c r="FET140" s="34"/>
      <c r="FEU140" s="34"/>
      <c r="FEV140" s="34"/>
      <c r="FEW140" s="34"/>
      <c r="FEX140" s="34"/>
      <c r="FEY140" s="34"/>
      <c r="FEZ140" s="34"/>
      <c r="FFA140" s="34"/>
      <c r="FFB140" s="34"/>
      <c r="FFC140" s="34"/>
      <c r="FFD140" s="34"/>
      <c r="FFE140" s="34"/>
      <c r="FFF140" s="34"/>
      <c r="FFG140" s="34"/>
      <c r="FFH140" s="34"/>
      <c r="FFI140" s="34"/>
      <c r="FFJ140" s="34"/>
      <c r="FFK140" s="34"/>
      <c r="FFL140" s="34"/>
      <c r="FFM140" s="34"/>
      <c r="FFN140" s="34"/>
      <c r="FFO140" s="34"/>
      <c r="FFP140" s="34"/>
      <c r="FFQ140" s="34"/>
      <c r="FFR140" s="34"/>
      <c r="FFS140" s="34"/>
      <c r="FFT140" s="34"/>
      <c r="FFU140" s="34"/>
      <c r="FFV140" s="34"/>
      <c r="FFW140" s="34"/>
      <c r="FFX140" s="34"/>
      <c r="FFY140" s="34"/>
      <c r="FFZ140" s="34"/>
      <c r="FGA140" s="34"/>
      <c r="FGB140" s="34"/>
      <c r="FGC140" s="34"/>
      <c r="FGD140" s="34"/>
      <c r="FGE140" s="34"/>
      <c r="FGF140" s="34"/>
      <c r="FGG140" s="34"/>
      <c r="FGH140" s="34"/>
      <c r="FGI140" s="34"/>
      <c r="FGJ140" s="34"/>
      <c r="FGK140" s="34"/>
      <c r="FGL140" s="34"/>
      <c r="FGM140" s="34"/>
      <c r="FGN140" s="34"/>
      <c r="FGO140" s="34"/>
      <c r="FGP140" s="34"/>
      <c r="FGQ140" s="34"/>
      <c r="FGR140" s="34"/>
      <c r="FGS140" s="34"/>
      <c r="FGT140" s="34"/>
      <c r="FGU140" s="34"/>
      <c r="FGV140" s="34"/>
      <c r="FGW140" s="34"/>
      <c r="FGX140" s="34"/>
      <c r="FGY140" s="34"/>
      <c r="FGZ140" s="34"/>
      <c r="FHA140" s="34"/>
      <c r="FHB140" s="34"/>
      <c r="FHC140" s="34"/>
      <c r="FHD140" s="34"/>
      <c r="FHE140" s="34"/>
      <c r="FHF140" s="34"/>
      <c r="FHG140" s="34"/>
      <c r="FHH140" s="34"/>
      <c r="FHI140" s="34"/>
      <c r="FHJ140" s="34"/>
      <c r="FHK140" s="34"/>
      <c r="FHL140" s="34"/>
      <c r="FHM140" s="34"/>
      <c r="FHN140" s="34"/>
      <c r="FHO140" s="34"/>
      <c r="FHP140" s="34"/>
      <c r="FHQ140" s="34"/>
      <c r="FHR140" s="34"/>
      <c r="FHS140" s="34"/>
      <c r="FHT140" s="34"/>
      <c r="FHU140" s="34"/>
      <c r="FHV140" s="34"/>
      <c r="FHW140" s="34"/>
      <c r="FHX140" s="34"/>
      <c r="FHY140" s="34"/>
      <c r="FHZ140" s="34"/>
      <c r="FIA140" s="34"/>
      <c r="FIB140" s="34"/>
      <c r="FIC140" s="34"/>
      <c r="FID140" s="34"/>
      <c r="FIE140" s="34"/>
      <c r="FIF140" s="34"/>
      <c r="FIG140" s="34"/>
      <c r="FIH140" s="34"/>
      <c r="FII140" s="34"/>
      <c r="FIJ140" s="34"/>
      <c r="FIK140" s="34"/>
      <c r="FIL140" s="34"/>
      <c r="FIM140" s="34"/>
      <c r="FIN140" s="34"/>
      <c r="FIO140" s="34"/>
      <c r="FIP140" s="34"/>
      <c r="FIQ140" s="34"/>
      <c r="FIR140" s="34"/>
      <c r="FIS140" s="34"/>
      <c r="FIT140" s="34"/>
      <c r="FIU140" s="34"/>
      <c r="FIV140" s="34"/>
      <c r="FIW140" s="34"/>
      <c r="FIX140" s="34"/>
      <c r="FIY140" s="34"/>
      <c r="FIZ140" s="34"/>
      <c r="FJA140" s="34"/>
      <c r="FJB140" s="34"/>
      <c r="FJC140" s="34"/>
      <c r="FJD140" s="34"/>
      <c r="FJE140" s="34"/>
      <c r="FJF140" s="34"/>
      <c r="FJG140" s="34"/>
      <c r="FJH140" s="34"/>
      <c r="FJI140" s="34"/>
      <c r="FJJ140" s="34"/>
      <c r="FJK140" s="34"/>
      <c r="FJL140" s="34"/>
      <c r="FJM140" s="34"/>
      <c r="FJN140" s="34"/>
      <c r="FJO140" s="34"/>
      <c r="FJP140" s="34"/>
      <c r="FJQ140" s="34"/>
      <c r="FJR140" s="34"/>
      <c r="FJS140" s="34"/>
      <c r="FJT140" s="34"/>
      <c r="FJU140" s="34"/>
      <c r="FJV140" s="34"/>
      <c r="FJW140" s="34"/>
      <c r="FJX140" s="34"/>
      <c r="FJY140" s="34"/>
      <c r="FJZ140" s="34"/>
      <c r="FKA140" s="34"/>
      <c r="FKB140" s="34"/>
      <c r="FKC140" s="34"/>
      <c r="FKD140" s="34"/>
      <c r="FKE140" s="34"/>
      <c r="FKF140" s="34"/>
      <c r="FKG140" s="34"/>
      <c r="FKH140" s="34"/>
      <c r="FKI140" s="34"/>
      <c r="FKJ140" s="34"/>
      <c r="FKK140" s="34"/>
      <c r="FKL140" s="34"/>
      <c r="FKM140" s="34"/>
      <c r="FKN140" s="34"/>
      <c r="FKO140" s="34"/>
      <c r="FKP140" s="34"/>
      <c r="FKQ140" s="34"/>
      <c r="FKR140" s="34"/>
      <c r="FKS140" s="34"/>
      <c r="FKT140" s="34"/>
      <c r="FKU140" s="34"/>
      <c r="FKV140" s="34"/>
      <c r="FKW140" s="34"/>
      <c r="FKX140" s="34"/>
      <c r="FKY140" s="34"/>
      <c r="FKZ140" s="34"/>
      <c r="FLA140" s="34"/>
      <c r="FLB140" s="34"/>
      <c r="FLC140" s="34"/>
      <c r="FLD140" s="34"/>
      <c r="FLE140" s="34"/>
      <c r="FLF140" s="34"/>
      <c r="FLG140" s="34"/>
      <c r="FLH140" s="34"/>
      <c r="FLI140" s="34"/>
      <c r="FLJ140" s="34"/>
      <c r="FLK140" s="34"/>
      <c r="FLL140" s="34"/>
      <c r="FLM140" s="34"/>
      <c r="FLN140" s="34"/>
      <c r="FLO140" s="34"/>
      <c r="FLP140" s="34"/>
      <c r="FLQ140" s="34"/>
      <c r="FLR140" s="34"/>
      <c r="FLS140" s="34"/>
      <c r="FLT140" s="34"/>
      <c r="FLU140" s="34"/>
      <c r="FLV140" s="34"/>
      <c r="FLW140" s="34"/>
      <c r="FLX140" s="34"/>
      <c r="FLY140" s="34"/>
      <c r="FLZ140" s="34"/>
      <c r="FMA140" s="34"/>
      <c r="FMB140" s="34"/>
      <c r="FMC140" s="34"/>
      <c r="FMD140" s="34"/>
      <c r="FME140" s="34"/>
      <c r="FMF140" s="34"/>
      <c r="FMG140" s="34"/>
      <c r="FMH140" s="34"/>
      <c r="FMI140" s="34"/>
      <c r="FMJ140" s="34"/>
      <c r="FMK140" s="34"/>
      <c r="FML140" s="34"/>
      <c r="FMM140" s="34"/>
      <c r="FMN140" s="34"/>
      <c r="FMO140" s="34"/>
      <c r="FMP140" s="34"/>
      <c r="FMQ140" s="34"/>
      <c r="FMR140" s="34"/>
      <c r="FMS140" s="34"/>
      <c r="FMT140" s="34"/>
      <c r="FMU140" s="34"/>
      <c r="FMV140" s="34"/>
      <c r="FMW140" s="34"/>
      <c r="FMX140" s="34"/>
      <c r="FMY140" s="34"/>
      <c r="FMZ140" s="34"/>
      <c r="FNA140" s="34"/>
      <c r="FNB140" s="34"/>
      <c r="FNC140" s="34"/>
      <c r="FND140" s="34"/>
      <c r="FNE140" s="34"/>
      <c r="FNF140" s="34"/>
      <c r="FNG140" s="34"/>
      <c r="FNH140" s="34"/>
      <c r="FNI140" s="34"/>
      <c r="FNJ140" s="34"/>
      <c r="FNK140" s="34"/>
      <c r="FNL140" s="34"/>
      <c r="FNM140" s="34"/>
      <c r="FNN140" s="34"/>
      <c r="FNO140" s="34"/>
      <c r="FNP140" s="34"/>
      <c r="FNQ140" s="34"/>
      <c r="FNR140" s="34"/>
      <c r="FNS140" s="34"/>
      <c r="FNT140" s="34"/>
      <c r="FNU140" s="34"/>
      <c r="FNV140" s="34"/>
      <c r="FNW140" s="34"/>
      <c r="FNX140" s="34"/>
      <c r="FNY140" s="34"/>
      <c r="FNZ140" s="34"/>
      <c r="FOA140" s="34"/>
      <c r="FOB140" s="34"/>
      <c r="FOC140" s="34"/>
      <c r="FOD140" s="34"/>
      <c r="FOE140" s="34"/>
      <c r="FOF140" s="34"/>
      <c r="FOG140" s="34"/>
      <c r="FOH140" s="34"/>
      <c r="FOI140" s="34"/>
      <c r="FOJ140" s="34"/>
      <c r="FOK140" s="34"/>
      <c r="FOL140" s="34"/>
      <c r="FOM140" s="34"/>
      <c r="FON140" s="34"/>
      <c r="FOO140" s="34"/>
      <c r="FOP140" s="34"/>
      <c r="FOQ140" s="34"/>
      <c r="FOR140" s="34"/>
      <c r="FOS140" s="34"/>
      <c r="FOT140" s="34"/>
      <c r="FOU140" s="34"/>
      <c r="FOV140" s="34"/>
      <c r="FOW140" s="34"/>
      <c r="FOX140" s="34"/>
      <c r="FOY140" s="34"/>
      <c r="FOZ140" s="34"/>
      <c r="FPA140" s="34"/>
      <c r="FPB140" s="34"/>
      <c r="FPC140" s="34"/>
      <c r="FPD140" s="34"/>
      <c r="FPE140" s="34"/>
      <c r="FPF140" s="34"/>
      <c r="FPG140" s="34"/>
      <c r="FPH140" s="34"/>
      <c r="FPI140" s="34"/>
      <c r="FPJ140" s="34"/>
      <c r="FPK140" s="34"/>
      <c r="FPL140" s="34"/>
      <c r="FPM140" s="34"/>
      <c r="FPN140" s="34"/>
      <c r="FPO140" s="34"/>
      <c r="FPP140" s="34"/>
      <c r="FPQ140" s="34"/>
      <c r="FPR140" s="34"/>
      <c r="FPS140" s="34"/>
      <c r="FPT140" s="34"/>
      <c r="FPU140" s="34"/>
      <c r="FPV140" s="34"/>
      <c r="FPW140" s="34"/>
      <c r="FPX140" s="34"/>
      <c r="FPY140" s="34"/>
      <c r="FPZ140" s="34"/>
      <c r="FQA140" s="34"/>
      <c r="FQB140" s="34"/>
      <c r="FQC140" s="34"/>
      <c r="FQD140" s="34"/>
      <c r="FQE140" s="34"/>
      <c r="FQF140" s="34"/>
      <c r="FQG140" s="34"/>
      <c r="FQH140" s="34"/>
      <c r="FQI140" s="34"/>
      <c r="FQJ140" s="34"/>
      <c r="FQK140" s="34"/>
      <c r="FQL140" s="34"/>
      <c r="FQM140" s="34"/>
      <c r="FQN140" s="34"/>
      <c r="FQO140" s="34"/>
      <c r="FQP140" s="34"/>
      <c r="FQQ140" s="34"/>
      <c r="FQR140" s="34"/>
      <c r="FQS140" s="34"/>
      <c r="FQT140" s="34"/>
      <c r="FQU140" s="34"/>
      <c r="FQV140" s="34"/>
      <c r="FQW140" s="34"/>
      <c r="FQX140" s="34"/>
      <c r="FQY140" s="34"/>
      <c r="FQZ140" s="34"/>
      <c r="FRA140" s="34"/>
      <c r="FRB140" s="34"/>
      <c r="FRC140" s="34"/>
      <c r="FRD140" s="34"/>
      <c r="FRE140" s="34"/>
      <c r="FRF140" s="34"/>
      <c r="FRG140" s="34"/>
      <c r="FRH140" s="34"/>
      <c r="FRI140" s="34"/>
      <c r="FRJ140" s="34"/>
      <c r="FRK140" s="34"/>
      <c r="FRL140" s="34"/>
      <c r="FRM140" s="34"/>
      <c r="FRN140" s="34"/>
      <c r="FRO140" s="34"/>
      <c r="FRP140" s="34"/>
      <c r="FRQ140" s="34"/>
      <c r="FRR140" s="34"/>
      <c r="FRS140" s="34"/>
      <c r="FRT140" s="34"/>
      <c r="FRU140" s="34"/>
      <c r="FRV140" s="34"/>
      <c r="FRW140" s="34"/>
      <c r="FRX140" s="34"/>
      <c r="FRY140" s="34"/>
      <c r="FRZ140" s="34"/>
      <c r="FSA140" s="34"/>
      <c r="FSB140" s="34"/>
      <c r="FSC140" s="34"/>
      <c r="FSD140" s="34"/>
      <c r="FSE140" s="34"/>
      <c r="FSF140" s="34"/>
      <c r="FSG140" s="34"/>
      <c r="FSH140" s="34"/>
      <c r="FSI140" s="34"/>
      <c r="FSJ140" s="34"/>
      <c r="FSK140" s="34"/>
      <c r="FSL140" s="34"/>
      <c r="FSM140" s="34"/>
      <c r="FSN140" s="34"/>
      <c r="FSO140" s="34"/>
      <c r="FSP140" s="34"/>
      <c r="FSQ140" s="34"/>
      <c r="FSR140" s="34"/>
      <c r="FSS140" s="34"/>
      <c r="FST140" s="34"/>
      <c r="FSU140" s="34"/>
      <c r="FSV140" s="34"/>
      <c r="FSW140" s="34"/>
      <c r="FSX140" s="34"/>
      <c r="FSY140" s="34"/>
      <c r="FSZ140" s="34"/>
      <c r="FTA140" s="34"/>
      <c r="FTB140" s="34"/>
      <c r="FTC140" s="34"/>
      <c r="FTD140" s="34"/>
      <c r="FTE140" s="34"/>
      <c r="FTF140" s="34"/>
      <c r="FTG140" s="34"/>
      <c r="FTH140" s="34"/>
      <c r="FTI140" s="34"/>
      <c r="FTJ140" s="34"/>
      <c r="FTK140" s="34"/>
      <c r="FTL140" s="34"/>
      <c r="FTM140" s="34"/>
      <c r="FTN140" s="34"/>
      <c r="FTO140" s="34"/>
      <c r="FTP140" s="34"/>
      <c r="FTQ140" s="34"/>
      <c r="FTR140" s="34"/>
      <c r="FTS140" s="34"/>
      <c r="FTT140" s="34"/>
      <c r="FTU140" s="34"/>
      <c r="FTV140" s="34"/>
      <c r="FTW140" s="34"/>
      <c r="FTX140" s="34"/>
      <c r="FTY140" s="34"/>
      <c r="FTZ140" s="34"/>
      <c r="FUA140" s="34"/>
      <c r="FUB140" s="34"/>
      <c r="FUC140" s="34"/>
      <c r="FUD140" s="34"/>
      <c r="FUE140" s="34"/>
      <c r="FUF140" s="34"/>
      <c r="FUG140" s="34"/>
      <c r="FUH140" s="34"/>
      <c r="FUI140" s="34"/>
      <c r="FUJ140" s="34"/>
      <c r="FUK140" s="34"/>
      <c r="FUL140" s="34"/>
      <c r="FUM140" s="34"/>
      <c r="FUN140" s="34"/>
      <c r="FUO140" s="34"/>
      <c r="FUP140" s="34"/>
      <c r="FUQ140" s="34"/>
      <c r="FUR140" s="34"/>
      <c r="FUS140" s="34"/>
      <c r="FUT140" s="34"/>
      <c r="FUU140" s="34"/>
      <c r="FUV140" s="34"/>
      <c r="FUW140" s="34"/>
      <c r="FUX140" s="34"/>
      <c r="FUY140" s="34"/>
      <c r="FUZ140" s="34"/>
      <c r="FVA140" s="34"/>
      <c r="FVB140" s="34"/>
      <c r="FVC140" s="34"/>
      <c r="FVD140" s="34"/>
      <c r="FVE140" s="34"/>
      <c r="FVF140" s="34"/>
      <c r="FVG140" s="34"/>
      <c r="FVH140" s="34"/>
      <c r="FVI140" s="34"/>
      <c r="FVJ140" s="34"/>
      <c r="FVK140" s="34"/>
      <c r="FVL140" s="34"/>
      <c r="FVM140" s="34"/>
      <c r="FVN140" s="34"/>
      <c r="FVO140" s="34"/>
      <c r="FVP140" s="34"/>
      <c r="FVQ140" s="34"/>
      <c r="FVR140" s="34"/>
      <c r="FVS140" s="34"/>
      <c r="FVT140" s="34"/>
      <c r="FVU140" s="34"/>
      <c r="FVV140" s="34"/>
      <c r="FVW140" s="34"/>
      <c r="FVX140" s="34"/>
      <c r="FVY140" s="34"/>
      <c r="FVZ140" s="34"/>
      <c r="FWA140" s="34"/>
      <c r="FWB140" s="34"/>
      <c r="FWC140" s="34"/>
      <c r="FWD140" s="34"/>
      <c r="FWE140" s="34"/>
      <c r="FWF140" s="34"/>
      <c r="FWG140" s="34"/>
      <c r="FWH140" s="34"/>
      <c r="FWI140" s="34"/>
      <c r="FWJ140" s="34"/>
      <c r="FWK140" s="34"/>
      <c r="FWL140" s="34"/>
      <c r="FWM140" s="34"/>
      <c r="FWN140" s="34"/>
      <c r="FWO140" s="34"/>
      <c r="FWP140" s="34"/>
      <c r="FWQ140" s="34"/>
      <c r="FWR140" s="34"/>
      <c r="FWS140" s="34"/>
      <c r="FWT140" s="34"/>
      <c r="FWU140" s="34"/>
      <c r="FWV140" s="34"/>
      <c r="FWW140" s="34"/>
      <c r="FWX140" s="34"/>
      <c r="FWY140" s="34"/>
      <c r="FWZ140" s="34"/>
      <c r="FXA140" s="34"/>
      <c r="FXB140" s="34"/>
      <c r="FXC140" s="34"/>
      <c r="FXD140" s="34"/>
      <c r="FXE140" s="34"/>
      <c r="FXF140" s="34"/>
      <c r="FXG140" s="34"/>
      <c r="FXH140" s="34"/>
      <c r="FXI140" s="34"/>
      <c r="FXJ140" s="34"/>
      <c r="FXK140" s="34"/>
      <c r="FXL140" s="34"/>
      <c r="FXM140" s="34"/>
      <c r="FXN140" s="34"/>
      <c r="FXO140" s="34"/>
      <c r="FXP140" s="34"/>
      <c r="FXQ140" s="34"/>
      <c r="FXR140" s="34"/>
      <c r="FXS140" s="34"/>
      <c r="FXT140" s="34"/>
      <c r="FXU140" s="34"/>
      <c r="FXV140" s="34"/>
      <c r="FXW140" s="34"/>
      <c r="FXX140" s="34"/>
      <c r="FXY140" s="34"/>
      <c r="FXZ140" s="34"/>
      <c r="FYA140" s="34"/>
      <c r="FYB140" s="34"/>
      <c r="FYC140" s="34"/>
      <c r="FYD140" s="34"/>
      <c r="FYE140" s="34"/>
      <c r="FYF140" s="34"/>
      <c r="FYG140" s="34"/>
      <c r="FYH140" s="34"/>
      <c r="FYI140" s="34"/>
      <c r="FYJ140" s="34"/>
      <c r="FYK140" s="34"/>
      <c r="FYL140" s="34"/>
      <c r="FYM140" s="34"/>
      <c r="FYN140" s="34"/>
      <c r="FYO140" s="34"/>
      <c r="FYP140" s="34"/>
      <c r="FYQ140" s="34"/>
      <c r="FYR140" s="34"/>
      <c r="FYS140" s="34"/>
      <c r="FYT140" s="34"/>
      <c r="FYU140" s="34"/>
      <c r="FYV140" s="34"/>
      <c r="FYW140" s="34"/>
      <c r="FYX140" s="34"/>
      <c r="FYY140" s="34"/>
      <c r="FYZ140" s="34"/>
      <c r="FZA140" s="34"/>
      <c r="FZB140" s="34"/>
      <c r="FZC140" s="34"/>
      <c r="FZD140" s="34"/>
      <c r="FZE140" s="34"/>
      <c r="FZF140" s="34"/>
      <c r="FZG140" s="34"/>
      <c r="FZH140" s="34"/>
      <c r="FZI140" s="34"/>
      <c r="FZJ140" s="34"/>
      <c r="FZK140" s="34"/>
      <c r="FZL140" s="34"/>
      <c r="FZM140" s="34"/>
      <c r="FZN140" s="34"/>
      <c r="FZO140" s="34"/>
      <c r="FZP140" s="34"/>
      <c r="FZQ140" s="34"/>
      <c r="FZR140" s="34"/>
      <c r="FZS140" s="34"/>
      <c r="FZT140" s="34"/>
      <c r="FZU140" s="34"/>
      <c r="FZV140" s="34"/>
      <c r="FZW140" s="34"/>
      <c r="FZX140" s="34"/>
      <c r="FZY140" s="34"/>
      <c r="FZZ140" s="34"/>
      <c r="GAA140" s="34"/>
      <c r="GAB140" s="34"/>
      <c r="GAC140" s="34"/>
      <c r="GAD140" s="34"/>
      <c r="GAE140" s="34"/>
      <c r="GAF140" s="34"/>
      <c r="GAG140" s="34"/>
      <c r="GAH140" s="34"/>
      <c r="GAI140" s="34"/>
      <c r="GAJ140" s="34"/>
      <c r="GAK140" s="34"/>
      <c r="GAL140" s="34"/>
      <c r="GAM140" s="34"/>
      <c r="GAN140" s="34"/>
      <c r="GAO140" s="34"/>
      <c r="GAP140" s="34"/>
      <c r="GAQ140" s="34"/>
      <c r="GAR140" s="34"/>
      <c r="GAS140" s="34"/>
      <c r="GAT140" s="34"/>
      <c r="GAU140" s="34"/>
      <c r="GAV140" s="34"/>
      <c r="GAW140" s="34"/>
      <c r="GAX140" s="34"/>
      <c r="GAY140" s="34"/>
      <c r="GAZ140" s="34"/>
      <c r="GBA140" s="34"/>
      <c r="GBB140" s="34"/>
      <c r="GBC140" s="34"/>
      <c r="GBD140" s="34"/>
      <c r="GBE140" s="34"/>
      <c r="GBF140" s="34"/>
      <c r="GBG140" s="34"/>
      <c r="GBH140" s="34"/>
      <c r="GBI140" s="34"/>
      <c r="GBJ140" s="34"/>
      <c r="GBK140" s="34"/>
      <c r="GBL140" s="34"/>
      <c r="GBM140" s="34"/>
      <c r="GBN140" s="34"/>
      <c r="GBO140" s="34"/>
      <c r="GBP140" s="34"/>
      <c r="GBQ140" s="34"/>
      <c r="GBR140" s="34"/>
      <c r="GBS140" s="34"/>
      <c r="GBT140" s="34"/>
      <c r="GBU140" s="34"/>
      <c r="GBV140" s="34"/>
      <c r="GBW140" s="34"/>
      <c r="GBX140" s="34"/>
      <c r="GBY140" s="34"/>
      <c r="GBZ140" s="34"/>
      <c r="GCA140" s="34"/>
      <c r="GCB140" s="34"/>
      <c r="GCC140" s="34"/>
      <c r="GCD140" s="34"/>
      <c r="GCE140" s="34"/>
      <c r="GCF140" s="34"/>
      <c r="GCG140" s="34"/>
      <c r="GCH140" s="34"/>
      <c r="GCI140" s="34"/>
      <c r="GCJ140" s="34"/>
      <c r="GCK140" s="34"/>
      <c r="GCL140" s="34"/>
      <c r="GCM140" s="34"/>
      <c r="GCN140" s="34"/>
      <c r="GCO140" s="34"/>
      <c r="GCP140" s="34"/>
      <c r="GCQ140" s="34"/>
      <c r="GCR140" s="34"/>
      <c r="GCS140" s="34"/>
      <c r="GCT140" s="34"/>
      <c r="GCU140" s="34"/>
      <c r="GCV140" s="34"/>
      <c r="GCW140" s="34"/>
      <c r="GCX140" s="34"/>
      <c r="GCY140" s="34"/>
      <c r="GCZ140" s="34"/>
      <c r="GDA140" s="34"/>
      <c r="GDB140" s="34"/>
      <c r="GDC140" s="34"/>
      <c r="GDD140" s="34"/>
      <c r="GDE140" s="34"/>
      <c r="GDF140" s="34"/>
      <c r="GDG140" s="34"/>
      <c r="GDH140" s="34"/>
      <c r="GDI140" s="34"/>
      <c r="GDJ140" s="34"/>
      <c r="GDK140" s="34"/>
      <c r="GDL140" s="34"/>
      <c r="GDM140" s="34"/>
      <c r="GDN140" s="34"/>
      <c r="GDO140" s="34"/>
      <c r="GDP140" s="34"/>
      <c r="GDQ140" s="34"/>
      <c r="GDR140" s="34"/>
      <c r="GDS140" s="34"/>
      <c r="GDT140" s="34"/>
      <c r="GDU140" s="34"/>
      <c r="GDV140" s="34"/>
      <c r="GDW140" s="34"/>
      <c r="GDX140" s="34"/>
      <c r="GDY140" s="34"/>
      <c r="GDZ140" s="34"/>
      <c r="GEA140" s="34"/>
      <c r="GEB140" s="34"/>
      <c r="GEC140" s="34"/>
      <c r="GED140" s="34"/>
      <c r="GEE140" s="34"/>
      <c r="GEF140" s="34"/>
      <c r="GEG140" s="34"/>
      <c r="GEH140" s="34"/>
      <c r="GEI140" s="34"/>
      <c r="GEJ140" s="34"/>
      <c r="GEK140" s="34"/>
      <c r="GEL140" s="34"/>
      <c r="GEM140" s="34"/>
      <c r="GEN140" s="34"/>
      <c r="GEO140" s="34"/>
      <c r="GEP140" s="34"/>
      <c r="GEQ140" s="34"/>
      <c r="GER140" s="34"/>
      <c r="GES140" s="34"/>
      <c r="GET140" s="34"/>
      <c r="GEU140" s="34"/>
      <c r="GEV140" s="34"/>
      <c r="GEW140" s="34"/>
      <c r="GEX140" s="34"/>
      <c r="GEY140" s="34"/>
      <c r="GEZ140" s="34"/>
      <c r="GFA140" s="34"/>
      <c r="GFB140" s="34"/>
      <c r="GFC140" s="34"/>
      <c r="GFD140" s="34"/>
      <c r="GFE140" s="34"/>
      <c r="GFF140" s="34"/>
      <c r="GFG140" s="34"/>
      <c r="GFH140" s="34"/>
      <c r="GFI140" s="34"/>
      <c r="GFJ140" s="34"/>
      <c r="GFK140" s="34"/>
      <c r="GFL140" s="34"/>
      <c r="GFM140" s="34"/>
      <c r="GFN140" s="34"/>
      <c r="GFO140" s="34"/>
      <c r="GFP140" s="34"/>
      <c r="GFQ140" s="34"/>
      <c r="GFR140" s="34"/>
      <c r="GFS140" s="34"/>
      <c r="GFT140" s="34"/>
      <c r="GFU140" s="34"/>
      <c r="GFV140" s="34"/>
      <c r="GFW140" s="34"/>
      <c r="GFX140" s="34"/>
      <c r="GFY140" s="34"/>
      <c r="GFZ140" s="34"/>
      <c r="GGA140" s="34"/>
      <c r="GGB140" s="34"/>
      <c r="GGC140" s="34"/>
      <c r="GGD140" s="34"/>
      <c r="GGE140" s="34"/>
      <c r="GGF140" s="34"/>
      <c r="GGG140" s="34"/>
      <c r="GGH140" s="34"/>
      <c r="GGI140" s="34"/>
      <c r="GGJ140" s="34"/>
      <c r="GGK140" s="34"/>
      <c r="GGL140" s="34"/>
      <c r="GGM140" s="34"/>
      <c r="GGN140" s="34"/>
      <c r="GGO140" s="34"/>
      <c r="GGP140" s="34"/>
      <c r="GGQ140" s="34"/>
      <c r="GGR140" s="34"/>
      <c r="GGS140" s="34"/>
      <c r="GGT140" s="34"/>
      <c r="GGU140" s="34"/>
      <c r="GGV140" s="34"/>
      <c r="GGW140" s="34"/>
      <c r="GGX140" s="34"/>
      <c r="GGY140" s="34"/>
      <c r="GGZ140" s="34"/>
      <c r="GHA140" s="34"/>
      <c r="GHB140" s="34"/>
      <c r="GHC140" s="34"/>
      <c r="GHD140" s="34"/>
      <c r="GHE140" s="34"/>
      <c r="GHF140" s="34"/>
      <c r="GHG140" s="34"/>
      <c r="GHH140" s="34"/>
      <c r="GHI140" s="34"/>
      <c r="GHJ140" s="34"/>
      <c r="GHK140" s="34"/>
      <c r="GHL140" s="34"/>
      <c r="GHM140" s="34"/>
      <c r="GHN140" s="34"/>
      <c r="GHO140" s="34"/>
      <c r="GHP140" s="34"/>
      <c r="GHQ140" s="34"/>
      <c r="GHR140" s="34"/>
      <c r="GHS140" s="34"/>
      <c r="GHT140" s="34"/>
      <c r="GHU140" s="34"/>
      <c r="GHV140" s="34"/>
      <c r="GHW140" s="34"/>
      <c r="GHX140" s="34"/>
      <c r="GHY140" s="34"/>
      <c r="GHZ140" s="34"/>
      <c r="GIA140" s="34"/>
      <c r="GIB140" s="34"/>
      <c r="GIC140" s="34"/>
      <c r="GID140" s="34"/>
      <c r="GIE140" s="34"/>
      <c r="GIF140" s="34"/>
      <c r="GIG140" s="34"/>
      <c r="GIH140" s="34"/>
      <c r="GII140" s="34"/>
      <c r="GIJ140" s="34"/>
      <c r="GIK140" s="34"/>
      <c r="GIL140" s="34"/>
      <c r="GIM140" s="34"/>
      <c r="GIN140" s="34"/>
      <c r="GIO140" s="34"/>
      <c r="GIP140" s="34"/>
      <c r="GIQ140" s="34"/>
      <c r="GIR140" s="34"/>
      <c r="GIS140" s="34"/>
      <c r="GIT140" s="34"/>
      <c r="GIU140" s="34"/>
      <c r="GIV140" s="34"/>
      <c r="GIW140" s="34"/>
      <c r="GIX140" s="34"/>
      <c r="GIY140" s="34"/>
      <c r="GIZ140" s="34"/>
      <c r="GJA140" s="34"/>
      <c r="GJB140" s="34"/>
      <c r="GJC140" s="34"/>
      <c r="GJD140" s="34"/>
      <c r="GJE140" s="34"/>
      <c r="GJF140" s="34"/>
      <c r="GJG140" s="34"/>
      <c r="GJH140" s="34"/>
      <c r="GJI140" s="34"/>
      <c r="GJJ140" s="34"/>
      <c r="GJK140" s="34"/>
      <c r="GJL140" s="34"/>
      <c r="GJM140" s="34"/>
      <c r="GJN140" s="34"/>
      <c r="GJO140" s="34"/>
      <c r="GJP140" s="34"/>
      <c r="GJQ140" s="34"/>
      <c r="GJR140" s="34"/>
      <c r="GJS140" s="34"/>
      <c r="GJT140" s="34"/>
      <c r="GJU140" s="34"/>
      <c r="GJV140" s="34"/>
      <c r="GJW140" s="34"/>
      <c r="GJX140" s="34"/>
      <c r="GJY140" s="34"/>
      <c r="GJZ140" s="34"/>
      <c r="GKA140" s="34"/>
      <c r="GKB140" s="34"/>
      <c r="GKC140" s="34"/>
      <c r="GKD140" s="34"/>
      <c r="GKE140" s="34"/>
      <c r="GKF140" s="34"/>
      <c r="GKG140" s="34"/>
      <c r="GKH140" s="34"/>
      <c r="GKI140" s="34"/>
      <c r="GKJ140" s="34"/>
      <c r="GKK140" s="34"/>
      <c r="GKL140" s="34"/>
      <c r="GKM140" s="34"/>
      <c r="GKN140" s="34"/>
      <c r="GKO140" s="34"/>
      <c r="GKP140" s="34"/>
      <c r="GKQ140" s="34"/>
      <c r="GKR140" s="34"/>
      <c r="GKS140" s="34"/>
      <c r="GKT140" s="34"/>
      <c r="GKU140" s="34"/>
      <c r="GKV140" s="34"/>
      <c r="GKW140" s="34"/>
      <c r="GKX140" s="34"/>
      <c r="GKY140" s="34"/>
      <c r="GKZ140" s="34"/>
      <c r="GLA140" s="34"/>
      <c r="GLB140" s="34"/>
      <c r="GLC140" s="34"/>
      <c r="GLD140" s="34"/>
      <c r="GLE140" s="34"/>
      <c r="GLF140" s="34"/>
      <c r="GLG140" s="34"/>
      <c r="GLH140" s="34"/>
      <c r="GLI140" s="34"/>
      <c r="GLJ140" s="34"/>
      <c r="GLK140" s="34"/>
      <c r="GLL140" s="34"/>
      <c r="GLM140" s="34"/>
      <c r="GLN140" s="34"/>
      <c r="GLO140" s="34"/>
      <c r="GLP140" s="34"/>
      <c r="GLQ140" s="34"/>
      <c r="GLR140" s="34"/>
      <c r="GLS140" s="34"/>
      <c r="GLT140" s="34"/>
      <c r="GLU140" s="34"/>
      <c r="GLV140" s="34"/>
      <c r="GLW140" s="34"/>
      <c r="GLX140" s="34"/>
      <c r="GLY140" s="34"/>
      <c r="GLZ140" s="34"/>
      <c r="GMA140" s="34"/>
      <c r="GMB140" s="34"/>
      <c r="GMC140" s="34"/>
      <c r="GMD140" s="34"/>
      <c r="GME140" s="34"/>
      <c r="GMF140" s="34"/>
      <c r="GMG140" s="34"/>
      <c r="GMH140" s="34"/>
      <c r="GMI140" s="34"/>
      <c r="GMJ140" s="34"/>
      <c r="GMK140" s="34"/>
      <c r="GML140" s="34"/>
      <c r="GMM140" s="34"/>
      <c r="GMN140" s="34"/>
      <c r="GMO140" s="34"/>
      <c r="GMP140" s="34"/>
      <c r="GMQ140" s="34"/>
      <c r="GMR140" s="34"/>
      <c r="GMS140" s="34"/>
      <c r="GMT140" s="34"/>
      <c r="GMU140" s="34"/>
      <c r="GMV140" s="34"/>
      <c r="GMW140" s="34"/>
      <c r="GMX140" s="34"/>
      <c r="GMY140" s="34"/>
      <c r="GMZ140" s="34"/>
      <c r="GNA140" s="34"/>
      <c r="GNB140" s="34"/>
      <c r="GNC140" s="34"/>
      <c r="GND140" s="34"/>
      <c r="GNE140" s="34"/>
      <c r="GNF140" s="34"/>
      <c r="GNG140" s="34"/>
      <c r="GNH140" s="34"/>
      <c r="GNI140" s="34"/>
      <c r="GNJ140" s="34"/>
      <c r="GNK140" s="34"/>
      <c r="GNL140" s="34"/>
      <c r="GNM140" s="34"/>
      <c r="GNN140" s="34"/>
      <c r="GNO140" s="34"/>
      <c r="GNP140" s="34"/>
      <c r="GNQ140" s="34"/>
      <c r="GNR140" s="34"/>
      <c r="GNS140" s="34"/>
      <c r="GNT140" s="34"/>
      <c r="GNU140" s="34"/>
      <c r="GNV140" s="34"/>
      <c r="GNW140" s="34"/>
      <c r="GNX140" s="34"/>
      <c r="GNY140" s="34"/>
      <c r="GNZ140" s="34"/>
      <c r="GOA140" s="34"/>
      <c r="GOB140" s="34"/>
      <c r="GOC140" s="34"/>
      <c r="GOD140" s="34"/>
      <c r="GOE140" s="34"/>
      <c r="GOF140" s="34"/>
      <c r="GOG140" s="34"/>
      <c r="GOH140" s="34"/>
      <c r="GOI140" s="34"/>
      <c r="GOJ140" s="34"/>
      <c r="GOK140" s="34"/>
      <c r="GOL140" s="34"/>
      <c r="GOM140" s="34"/>
      <c r="GON140" s="34"/>
      <c r="GOO140" s="34"/>
      <c r="GOP140" s="34"/>
      <c r="GOQ140" s="34"/>
      <c r="GOR140" s="34"/>
      <c r="GOS140" s="34"/>
      <c r="GOT140" s="34"/>
      <c r="GOU140" s="34"/>
      <c r="GOV140" s="34"/>
      <c r="GOW140" s="34"/>
      <c r="GOX140" s="34"/>
      <c r="GOY140" s="34"/>
      <c r="GOZ140" s="34"/>
      <c r="GPA140" s="34"/>
      <c r="GPB140" s="34"/>
      <c r="GPC140" s="34"/>
      <c r="GPD140" s="34"/>
      <c r="GPE140" s="34"/>
      <c r="GPF140" s="34"/>
      <c r="GPG140" s="34"/>
      <c r="GPH140" s="34"/>
      <c r="GPI140" s="34"/>
      <c r="GPJ140" s="34"/>
      <c r="GPK140" s="34"/>
      <c r="GPL140" s="34"/>
      <c r="GPM140" s="34"/>
      <c r="GPN140" s="34"/>
      <c r="GPO140" s="34"/>
      <c r="GPP140" s="34"/>
      <c r="GPQ140" s="34"/>
      <c r="GPR140" s="34"/>
      <c r="GPS140" s="34"/>
      <c r="GPT140" s="34"/>
      <c r="GPU140" s="34"/>
      <c r="GPV140" s="34"/>
      <c r="GPW140" s="34"/>
      <c r="GPX140" s="34"/>
      <c r="GPY140" s="34"/>
      <c r="GPZ140" s="34"/>
      <c r="GQA140" s="34"/>
      <c r="GQB140" s="34"/>
      <c r="GQC140" s="34"/>
      <c r="GQD140" s="34"/>
      <c r="GQE140" s="34"/>
      <c r="GQF140" s="34"/>
      <c r="GQG140" s="34"/>
      <c r="GQH140" s="34"/>
      <c r="GQI140" s="34"/>
      <c r="GQJ140" s="34"/>
      <c r="GQK140" s="34"/>
      <c r="GQL140" s="34"/>
      <c r="GQM140" s="34"/>
      <c r="GQN140" s="34"/>
      <c r="GQO140" s="34"/>
      <c r="GQP140" s="34"/>
      <c r="GQQ140" s="34"/>
      <c r="GQR140" s="34"/>
      <c r="GQS140" s="34"/>
      <c r="GQT140" s="34"/>
      <c r="GQU140" s="34"/>
      <c r="GQV140" s="34"/>
      <c r="GQW140" s="34"/>
      <c r="GQX140" s="34"/>
      <c r="GQY140" s="34"/>
      <c r="GQZ140" s="34"/>
      <c r="GRA140" s="34"/>
      <c r="GRB140" s="34"/>
      <c r="GRC140" s="34"/>
      <c r="GRD140" s="34"/>
      <c r="GRE140" s="34"/>
      <c r="GRF140" s="34"/>
      <c r="GRG140" s="34"/>
      <c r="GRH140" s="34"/>
      <c r="GRI140" s="34"/>
      <c r="GRJ140" s="34"/>
      <c r="GRK140" s="34"/>
      <c r="GRL140" s="34"/>
      <c r="GRM140" s="34"/>
      <c r="GRN140" s="34"/>
      <c r="GRO140" s="34"/>
      <c r="GRP140" s="34"/>
      <c r="GRQ140" s="34"/>
      <c r="GRR140" s="34"/>
      <c r="GRS140" s="34"/>
      <c r="GRT140" s="34"/>
      <c r="GRU140" s="34"/>
      <c r="GRV140" s="34"/>
      <c r="GRW140" s="34"/>
      <c r="GRX140" s="34"/>
      <c r="GRY140" s="34"/>
      <c r="GRZ140" s="34"/>
      <c r="GSA140" s="34"/>
      <c r="GSB140" s="34"/>
      <c r="GSC140" s="34"/>
      <c r="GSD140" s="34"/>
      <c r="GSE140" s="34"/>
      <c r="GSF140" s="34"/>
      <c r="GSG140" s="34"/>
      <c r="GSH140" s="34"/>
      <c r="GSI140" s="34"/>
      <c r="GSJ140" s="34"/>
      <c r="GSK140" s="34"/>
      <c r="GSL140" s="34"/>
      <c r="GSM140" s="34"/>
      <c r="GSN140" s="34"/>
      <c r="GSO140" s="34"/>
      <c r="GSP140" s="34"/>
      <c r="GSQ140" s="34"/>
      <c r="GSR140" s="34"/>
      <c r="GSS140" s="34"/>
      <c r="GST140" s="34"/>
      <c r="GSU140" s="34"/>
      <c r="GSV140" s="34"/>
      <c r="GSW140" s="34"/>
      <c r="GSX140" s="34"/>
      <c r="GSY140" s="34"/>
      <c r="GSZ140" s="34"/>
      <c r="GTA140" s="34"/>
      <c r="GTB140" s="34"/>
      <c r="GTC140" s="34"/>
      <c r="GTD140" s="34"/>
      <c r="GTE140" s="34"/>
      <c r="GTF140" s="34"/>
      <c r="GTG140" s="34"/>
      <c r="GTH140" s="34"/>
      <c r="GTI140" s="34"/>
      <c r="GTJ140" s="34"/>
      <c r="GTK140" s="34"/>
      <c r="GTL140" s="34"/>
      <c r="GTM140" s="34"/>
      <c r="GTN140" s="34"/>
      <c r="GTO140" s="34"/>
      <c r="GTP140" s="34"/>
      <c r="GTQ140" s="34"/>
      <c r="GTR140" s="34"/>
      <c r="GTS140" s="34"/>
      <c r="GTT140" s="34"/>
      <c r="GTU140" s="34"/>
      <c r="GTV140" s="34"/>
      <c r="GTW140" s="34"/>
      <c r="GTX140" s="34"/>
      <c r="GTY140" s="34"/>
      <c r="GTZ140" s="34"/>
      <c r="GUA140" s="34"/>
      <c r="GUB140" s="34"/>
      <c r="GUC140" s="34"/>
      <c r="GUD140" s="34"/>
      <c r="GUE140" s="34"/>
      <c r="GUF140" s="34"/>
      <c r="GUG140" s="34"/>
      <c r="GUH140" s="34"/>
      <c r="GUI140" s="34"/>
      <c r="GUJ140" s="34"/>
      <c r="GUK140" s="34"/>
      <c r="GUL140" s="34"/>
      <c r="GUM140" s="34"/>
      <c r="GUN140" s="34"/>
      <c r="GUO140" s="34"/>
      <c r="GUP140" s="34"/>
      <c r="GUQ140" s="34"/>
      <c r="GUR140" s="34"/>
      <c r="GUS140" s="34"/>
      <c r="GUT140" s="34"/>
      <c r="GUU140" s="34"/>
      <c r="GUV140" s="34"/>
      <c r="GUW140" s="34"/>
      <c r="GUX140" s="34"/>
      <c r="GUY140" s="34"/>
      <c r="GUZ140" s="34"/>
      <c r="GVA140" s="34"/>
      <c r="GVB140" s="34"/>
      <c r="GVC140" s="34"/>
      <c r="GVD140" s="34"/>
      <c r="GVE140" s="34"/>
      <c r="GVF140" s="34"/>
      <c r="GVG140" s="34"/>
      <c r="GVH140" s="34"/>
      <c r="GVI140" s="34"/>
      <c r="GVJ140" s="34"/>
      <c r="GVK140" s="34"/>
      <c r="GVL140" s="34"/>
      <c r="GVM140" s="34"/>
      <c r="GVN140" s="34"/>
      <c r="GVO140" s="34"/>
      <c r="GVP140" s="34"/>
      <c r="GVQ140" s="34"/>
      <c r="GVR140" s="34"/>
      <c r="GVS140" s="34"/>
      <c r="GVT140" s="34"/>
      <c r="GVU140" s="34"/>
      <c r="GVV140" s="34"/>
      <c r="GVW140" s="34"/>
      <c r="GVX140" s="34"/>
      <c r="GVY140" s="34"/>
      <c r="GVZ140" s="34"/>
      <c r="GWA140" s="34"/>
      <c r="GWB140" s="34"/>
      <c r="GWC140" s="34"/>
      <c r="GWD140" s="34"/>
      <c r="GWE140" s="34"/>
      <c r="GWF140" s="34"/>
      <c r="GWG140" s="34"/>
      <c r="GWH140" s="34"/>
      <c r="GWI140" s="34"/>
      <c r="GWJ140" s="34"/>
      <c r="GWK140" s="34"/>
      <c r="GWL140" s="34"/>
      <c r="GWM140" s="34"/>
      <c r="GWN140" s="34"/>
      <c r="GWO140" s="34"/>
      <c r="GWP140" s="34"/>
      <c r="GWQ140" s="34"/>
      <c r="GWR140" s="34"/>
      <c r="GWS140" s="34"/>
      <c r="GWT140" s="34"/>
      <c r="GWU140" s="34"/>
      <c r="GWV140" s="34"/>
      <c r="GWW140" s="34"/>
      <c r="GWX140" s="34"/>
      <c r="GWY140" s="34"/>
      <c r="GWZ140" s="34"/>
      <c r="GXA140" s="34"/>
      <c r="GXB140" s="34"/>
      <c r="GXC140" s="34"/>
      <c r="GXD140" s="34"/>
      <c r="GXE140" s="34"/>
      <c r="GXF140" s="34"/>
      <c r="GXG140" s="34"/>
      <c r="GXH140" s="34"/>
      <c r="GXI140" s="34"/>
      <c r="GXJ140" s="34"/>
      <c r="GXK140" s="34"/>
      <c r="GXL140" s="34"/>
      <c r="GXM140" s="34"/>
      <c r="GXN140" s="34"/>
      <c r="GXO140" s="34"/>
      <c r="GXP140" s="34"/>
      <c r="GXQ140" s="34"/>
      <c r="GXR140" s="34"/>
      <c r="GXS140" s="34"/>
      <c r="GXT140" s="34"/>
      <c r="GXU140" s="34"/>
      <c r="GXV140" s="34"/>
      <c r="GXW140" s="34"/>
      <c r="GXX140" s="34"/>
      <c r="GXY140" s="34"/>
      <c r="GXZ140" s="34"/>
      <c r="GYA140" s="34"/>
      <c r="GYB140" s="34"/>
      <c r="GYC140" s="34"/>
      <c r="GYD140" s="34"/>
      <c r="GYE140" s="34"/>
      <c r="GYF140" s="34"/>
      <c r="GYG140" s="34"/>
      <c r="GYH140" s="34"/>
      <c r="GYI140" s="34"/>
      <c r="GYJ140" s="34"/>
      <c r="GYK140" s="34"/>
      <c r="GYL140" s="34"/>
      <c r="GYM140" s="34"/>
      <c r="GYN140" s="34"/>
      <c r="GYO140" s="34"/>
      <c r="GYP140" s="34"/>
      <c r="GYQ140" s="34"/>
      <c r="GYR140" s="34"/>
      <c r="GYS140" s="34"/>
      <c r="GYT140" s="34"/>
      <c r="GYU140" s="34"/>
      <c r="GYV140" s="34"/>
      <c r="GYW140" s="34"/>
      <c r="GYX140" s="34"/>
      <c r="GYY140" s="34"/>
      <c r="GYZ140" s="34"/>
      <c r="GZA140" s="34"/>
      <c r="GZB140" s="34"/>
      <c r="GZC140" s="34"/>
      <c r="GZD140" s="34"/>
      <c r="GZE140" s="34"/>
      <c r="GZF140" s="34"/>
      <c r="GZG140" s="34"/>
      <c r="GZH140" s="34"/>
      <c r="GZI140" s="34"/>
      <c r="GZJ140" s="34"/>
      <c r="GZK140" s="34"/>
      <c r="GZL140" s="34"/>
      <c r="GZM140" s="34"/>
      <c r="GZN140" s="34"/>
      <c r="GZO140" s="34"/>
      <c r="GZP140" s="34"/>
      <c r="GZQ140" s="34"/>
      <c r="GZR140" s="34"/>
      <c r="GZS140" s="34"/>
      <c r="GZT140" s="34"/>
      <c r="GZU140" s="34"/>
      <c r="GZV140" s="34"/>
      <c r="GZW140" s="34"/>
      <c r="GZX140" s="34"/>
      <c r="GZY140" s="34"/>
      <c r="GZZ140" s="34"/>
      <c r="HAA140" s="34"/>
      <c r="HAB140" s="34"/>
      <c r="HAC140" s="34"/>
      <c r="HAD140" s="34"/>
      <c r="HAE140" s="34"/>
      <c r="HAF140" s="34"/>
      <c r="HAG140" s="34"/>
      <c r="HAH140" s="34"/>
      <c r="HAI140" s="34"/>
      <c r="HAJ140" s="34"/>
      <c r="HAK140" s="34"/>
      <c r="HAL140" s="34"/>
      <c r="HAM140" s="34"/>
      <c r="HAN140" s="34"/>
      <c r="HAO140" s="34"/>
      <c r="HAP140" s="34"/>
      <c r="HAQ140" s="34"/>
      <c r="HAR140" s="34"/>
      <c r="HAS140" s="34"/>
      <c r="HAT140" s="34"/>
      <c r="HAU140" s="34"/>
      <c r="HAV140" s="34"/>
      <c r="HAW140" s="34"/>
      <c r="HAX140" s="34"/>
      <c r="HAY140" s="34"/>
      <c r="HAZ140" s="34"/>
      <c r="HBA140" s="34"/>
      <c r="HBB140" s="34"/>
      <c r="HBC140" s="34"/>
      <c r="HBD140" s="34"/>
      <c r="HBE140" s="34"/>
      <c r="HBF140" s="34"/>
      <c r="HBG140" s="34"/>
      <c r="HBH140" s="34"/>
      <c r="HBI140" s="34"/>
      <c r="HBJ140" s="34"/>
      <c r="HBK140" s="34"/>
      <c r="HBL140" s="34"/>
      <c r="HBM140" s="34"/>
      <c r="HBN140" s="34"/>
      <c r="HBO140" s="34"/>
      <c r="HBP140" s="34"/>
      <c r="HBQ140" s="34"/>
      <c r="HBR140" s="34"/>
      <c r="HBS140" s="34"/>
      <c r="HBT140" s="34"/>
      <c r="HBU140" s="34"/>
      <c r="HBV140" s="34"/>
      <c r="HBW140" s="34"/>
      <c r="HBX140" s="34"/>
      <c r="HBY140" s="34"/>
      <c r="HBZ140" s="34"/>
      <c r="HCA140" s="34"/>
      <c r="HCB140" s="34"/>
      <c r="HCC140" s="34"/>
      <c r="HCD140" s="34"/>
      <c r="HCE140" s="34"/>
      <c r="HCF140" s="34"/>
      <c r="HCG140" s="34"/>
      <c r="HCH140" s="34"/>
      <c r="HCI140" s="34"/>
      <c r="HCJ140" s="34"/>
      <c r="HCK140" s="34"/>
      <c r="HCL140" s="34"/>
      <c r="HCM140" s="34"/>
      <c r="HCN140" s="34"/>
      <c r="HCO140" s="34"/>
      <c r="HCP140" s="34"/>
      <c r="HCQ140" s="34"/>
      <c r="HCR140" s="34"/>
      <c r="HCS140" s="34"/>
      <c r="HCT140" s="34"/>
      <c r="HCU140" s="34"/>
      <c r="HCV140" s="34"/>
      <c r="HCW140" s="34"/>
      <c r="HCX140" s="34"/>
      <c r="HCY140" s="34"/>
      <c r="HCZ140" s="34"/>
      <c r="HDA140" s="34"/>
      <c r="HDB140" s="34"/>
      <c r="HDC140" s="34"/>
      <c r="HDD140" s="34"/>
      <c r="HDE140" s="34"/>
      <c r="HDF140" s="34"/>
      <c r="HDG140" s="34"/>
      <c r="HDH140" s="34"/>
      <c r="HDI140" s="34"/>
      <c r="HDJ140" s="34"/>
      <c r="HDK140" s="34"/>
      <c r="HDL140" s="34"/>
      <c r="HDM140" s="34"/>
      <c r="HDN140" s="34"/>
      <c r="HDO140" s="34"/>
      <c r="HDP140" s="34"/>
      <c r="HDQ140" s="34"/>
      <c r="HDR140" s="34"/>
      <c r="HDS140" s="34"/>
      <c r="HDT140" s="34"/>
      <c r="HDU140" s="34"/>
      <c r="HDV140" s="34"/>
      <c r="HDW140" s="34"/>
      <c r="HDX140" s="34"/>
      <c r="HDY140" s="34"/>
      <c r="HDZ140" s="34"/>
      <c r="HEA140" s="34"/>
      <c r="HEB140" s="34"/>
      <c r="HEC140" s="34"/>
      <c r="HED140" s="34"/>
      <c r="HEE140" s="34"/>
      <c r="HEF140" s="34"/>
      <c r="HEG140" s="34"/>
      <c r="HEH140" s="34"/>
      <c r="HEI140" s="34"/>
      <c r="HEJ140" s="34"/>
      <c r="HEK140" s="34"/>
      <c r="HEL140" s="34"/>
      <c r="HEM140" s="34"/>
      <c r="HEN140" s="34"/>
      <c r="HEO140" s="34"/>
      <c r="HEP140" s="34"/>
      <c r="HEQ140" s="34"/>
      <c r="HER140" s="34"/>
      <c r="HES140" s="34"/>
      <c r="HET140" s="34"/>
      <c r="HEU140" s="34"/>
      <c r="HEV140" s="34"/>
      <c r="HEW140" s="34"/>
      <c r="HEX140" s="34"/>
      <c r="HEY140" s="34"/>
      <c r="HEZ140" s="34"/>
      <c r="HFA140" s="34"/>
      <c r="HFB140" s="34"/>
      <c r="HFC140" s="34"/>
      <c r="HFD140" s="34"/>
      <c r="HFE140" s="34"/>
      <c r="HFF140" s="34"/>
      <c r="HFG140" s="34"/>
      <c r="HFH140" s="34"/>
      <c r="HFI140" s="34"/>
      <c r="HFJ140" s="34"/>
      <c r="HFK140" s="34"/>
      <c r="HFL140" s="34"/>
      <c r="HFM140" s="34"/>
      <c r="HFN140" s="34"/>
      <c r="HFO140" s="34"/>
      <c r="HFP140" s="34"/>
      <c r="HFQ140" s="34"/>
      <c r="HFR140" s="34"/>
      <c r="HFS140" s="34"/>
      <c r="HFT140" s="34"/>
      <c r="HFU140" s="34"/>
      <c r="HFV140" s="34"/>
      <c r="HFW140" s="34"/>
      <c r="HFX140" s="34"/>
      <c r="HFY140" s="34"/>
      <c r="HFZ140" s="34"/>
      <c r="HGA140" s="34"/>
      <c r="HGB140" s="34"/>
      <c r="HGC140" s="34"/>
      <c r="HGD140" s="34"/>
      <c r="HGE140" s="34"/>
      <c r="HGF140" s="34"/>
      <c r="HGG140" s="34"/>
      <c r="HGH140" s="34"/>
      <c r="HGI140" s="34"/>
      <c r="HGJ140" s="34"/>
      <c r="HGK140" s="34"/>
      <c r="HGL140" s="34"/>
      <c r="HGM140" s="34"/>
      <c r="HGN140" s="34"/>
      <c r="HGO140" s="34"/>
      <c r="HGP140" s="34"/>
      <c r="HGQ140" s="34"/>
      <c r="HGR140" s="34"/>
      <c r="HGS140" s="34"/>
      <c r="HGT140" s="34"/>
      <c r="HGU140" s="34"/>
      <c r="HGV140" s="34"/>
      <c r="HGW140" s="34"/>
      <c r="HGX140" s="34"/>
      <c r="HGY140" s="34"/>
      <c r="HGZ140" s="34"/>
      <c r="HHA140" s="34"/>
      <c r="HHB140" s="34"/>
      <c r="HHC140" s="34"/>
      <c r="HHD140" s="34"/>
      <c r="HHE140" s="34"/>
      <c r="HHF140" s="34"/>
      <c r="HHG140" s="34"/>
      <c r="HHH140" s="34"/>
      <c r="HHI140" s="34"/>
      <c r="HHJ140" s="34"/>
      <c r="HHK140" s="34"/>
      <c r="HHL140" s="34"/>
      <c r="HHM140" s="34"/>
      <c r="HHN140" s="34"/>
      <c r="HHO140" s="34"/>
      <c r="HHP140" s="34"/>
      <c r="HHQ140" s="34"/>
      <c r="HHR140" s="34"/>
      <c r="HHS140" s="34"/>
      <c r="HHT140" s="34"/>
      <c r="HHU140" s="34"/>
      <c r="HHV140" s="34"/>
      <c r="HHW140" s="34"/>
      <c r="HHX140" s="34"/>
      <c r="HHY140" s="34"/>
      <c r="HHZ140" s="34"/>
      <c r="HIA140" s="34"/>
      <c r="HIB140" s="34"/>
      <c r="HIC140" s="34"/>
      <c r="HID140" s="34"/>
      <c r="HIE140" s="34"/>
      <c r="HIF140" s="34"/>
      <c r="HIG140" s="34"/>
      <c r="HIH140" s="34"/>
      <c r="HII140" s="34"/>
      <c r="HIJ140" s="34"/>
      <c r="HIK140" s="34"/>
      <c r="HIL140" s="34"/>
      <c r="HIM140" s="34"/>
      <c r="HIN140" s="34"/>
      <c r="HIO140" s="34"/>
      <c r="HIP140" s="34"/>
      <c r="HIQ140" s="34"/>
      <c r="HIR140" s="34"/>
      <c r="HIS140" s="34"/>
      <c r="HIT140" s="34"/>
      <c r="HIU140" s="34"/>
      <c r="HIV140" s="34"/>
      <c r="HIW140" s="34"/>
      <c r="HIX140" s="34"/>
      <c r="HIY140" s="34"/>
      <c r="HIZ140" s="34"/>
      <c r="HJA140" s="34"/>
      <c r="HJB140" s="34"/>
      <c r="HJC140" s="34"/>
      <c r="HJD140" s="34"/>
      <c r="HJE140" s="34"/>
      <c r="HJF140" s="34"/>
      <c r="HJG140" s="34"/>
      <c r="HJH140" s="34"/>
      <c r="HJI140" s="34"/>
      <c r="HJJ140" s="34"/>
      <c r="HJK140" s="34"/>
      <c r="HJL140" s="34"/>
      <c r="HJM140" s="34"/>
      <c r="HJN140" s="34"/>
      <c r="HJO140" s="34"/>
      <c r="HJP140" s="34"/>
      <c r="HJQ140" s="34"/>
      <c r="HJR140" s="34"/>
      <c r="HJS140" s="34"/>
      <c r="HJT140" s="34"/>
      <c r="HJU140" s="34"/>
      <c r="HJV140" s="34"/>
      <c r="HJW140" s="34"/>
      <c r="HJX140" s="34"/>
      <c r="HJY140" s="34"/>
      <c r="HJZ140" s="34"/>
      <c r="HKA140" s="34"/>
      <c r="HKB140" s="34"/>
      <c r="HKC140" s="34"/>
      <c r="HKD140" s="34"/>
      <c r="HKE140" s="34"/>
      <c r="HKF140" s="34"/>
      <c r="HKG140" s="34"/>
      <c r="HKH140" s="34"/>
      <c r="HKI140" s="34"/>
      <c r="HKJ140" s="34"/>
      <c r="HKK140" s="34"/>
      <c r="HKL140" s="34"/>
      <c r="HKM140" s="34"/>
      <c r="HKN140" s="34"/>
      <c r="HKO140" s="34"/>
      <c r="HKP140" s="34"/>
      <c r="HKQ140" s="34"/>
      <c r="HKR140" s="34"/>
      <c r="HKS140" s="34"/>
      <c r="HKT140" s="34"/>
      <c r="HKU140" s="34"/>
      <c r="HKV140" s="34"/>
      <c r="HKW140" s="34"/>
      <c r="HKX140" s="34"/>
      <c r="HKY140" s="34"/>
      <c r="HKZ140" s="34"/>
      <c r="HLA140" s="34"/>
      <c r="HLB140" s="34"/>
      <c r="HLC140" s="34"/>
      <c r="HLD140" s="34"/>
      <c r="HLE140" s="34"/>
      <c r="HLF140" s="34"/>
      <c r="HLG140" s="34"/>
      <c r="HLH140" s="34"/>
      <c r="HLI140" s="34"/>
      <c r="HLJ140" s="34"/>
      <c r="HLK140" s="34"/>
      <c r="HLL140" s="34"/>
      <c r="HLM140" s="34"/>
      <c r="HLN140" s="34"/>
      <c r="HLO140" s="34"/>
      <c r="HLP140" s="34"/>
      <c r="HLQ140" s="34"/>
      <c r="HLR140" s="34"/>
      <c r="HLS140" s="34"/>
      <c r="HLT140" s="34"/>
      <c r="HLU140" s="34"/>
      <c r="HLV140" s="34"/>
      <c r="HLW140" s="34"/>
      <c r="HLX140" s="34"/>
      <c r="HLY140" s="34"/>
      <c r="HLZ140" s="34"/>
      <c r="HMA140" s="34"/>
      <c r="HMB140" s="34"/>
      <c r="HMC140" s="34"/>
      <c r="HMD140" s="34"/>
      <c r="HME140" s="34"/>
      <c r="HMF140" s="34"/>
      <c r="HMG140" s="34"/>
      <c r="HMH140" s="34"/>
      <c r="HMI140" s="34"/>
      <c r="HMJ140" s="34"/>
      <c r="HMK140" s="34"/>
      <c r="HML140" s="34"/>
      <c r="HMM140" s="34"/>
      <c r="HMN140" s="34"/>
      <c r="HMO140" s="34"/>
      <c r="HMP140" s="34"/>
      <c r="HMQ140" s="34"/>
      <c r="HMR140" s="34"/>
      <c r="HMS140" s="34"/>
      <c r="HMT140" s="34"/>
      <c r="HMU140" s="34"/>
      <c r="HMV140" s="34"/>
      <c r="HMW140" s="34"/>
      <c r="HMX140" s="34"/>
      <c r="HMY140" s="34"/>
      <c r="HMZ140" s="34"/>
      <c r="HNA140" s="34"/>
      <c r="HNB140" s="34"/>
      <c r="HNC140" s="34"/>
      <c r="HND140" s="34"/>
      <c r="HNE140" s="34"/>
      <c r="HNF140" s="34"/>
      <c r="HNG140" s="34"/>
      <c r="HNH140" s="34"/>
      <c r="HNI140" s="34"/>
      <c r="HNJ140" s="34"/>
      <c r="HNK140" s="34"/>
      <c r="HNL140" s="34"/>
      <c r="HNM140" s="34"/>
      <c r="HNN140" s="34"/>
      <c r="HNO140" s="34"/>
      <c r="HNP140" s="34"/>
      <c r="HNQ140" s="34"/>
      <c r="HNR140" s="34"/>
      <c r="HNS140" s="34"/>
      <c r="HNT140" s="34"/>
      <c r="HNU140" s="34"/>
      <c r="HNV140" s="34"/>
      <c r="HNW140" s="34"/>
      <c r="HNX140" s="34"/>
      <c r="HNY140" s="34"/>
      <c r="HNZ140" s="34"/>
      <c r="HOA140" s="34"/>
      <c r="HOB140" s="34"/>
      <c r="HOC140" s="34"/>
      <c r="HOD140" s="34"/>
      <c r="HOE140" s="34"/>
      <c r="HOF140" s="34"/>
      <c r="HOG140" s="34"/>
      <c r="HOH140" s="34"/>
      <c r="HOI140" s="34"/>
      <c r="HOJ140" s="34"/>
      <c r="HOK140" s="34"/>
      <c r="HOL140" s="34"/>
      <c r="HOM140" s="34"/>
      <c r="HON140" s="34"/>
      <c r="HOO140" s="34"/>
      <c r="HOP140" s="34"/>
      <c r="HOQ140" s="34"/>
      <c r="HOR140" s="34"/>
      <c r="HOS140" s="34"/>
      <c r="HOT140" s="34"/>
      <c r="HOU140" s="34"/>
      <c r="HOV140" s="34"/>
      <c r="HOW140" s="34"/>
      <c r="HOX140" s="34"/>
      <c r="HOY140" s="34"/>
      <c r="HOZ140" s="34"/>
      <c r="HPA140" s="34"/>
      <c r="HPB140" s="34"/>
      <c r="HPC140" s="34"/>
      <c r="HPD140" s="34"/>
      <c r="HPE140" s="34"/>
      <c r="HPF140" s="34"/>
      <c r="HPG140" s="34"/>
      <c r="HPH140" s="34"/>
      <c r="HPI140" s="34"/>
      <c r="HPJ140" s="34"/>
      <c r="HPK140" s="34"/>
      <c r="HPL140" s="34"/>
      <c r="HPM140" s="34"/>
      <c r="HPN140" s="34"/>
      <c r="HPO140" s="34"/>
      <c r="HPP140" s="34"/>
      <c r="HPQ140" s="34"/>
      <c r="HPR140" s="34"/>
      <c r="HPS140" s="34"/>
      <c r="HPT140" s="34"/>
      <c r="HPU140" s="34"/>
      <c r="HPV140" s="34"/>
      <c r="HPW140" s="34"/>
      <c r="HPX140" s="34"/>
      <c r="HPY140" s="34"/>
      <c r="HPZ140" s="34"/>
      <c r="HQA140" s="34"/>
      <c r="HQB140" s="34"/>
      <c r="HQC140" s="34"/>
      <c r="HQD140" s="34"/>
      <c r="HQE140" s="34"/>
      <c r="HQF140" s="34"/>
      <c r="HQG140" s="34"/>
      <c r="HQH140" s="34"/>
      <c r="HQI140" s="34"/>
      <c r="HQJ140" s="34"/>
      <c r="HQK140" s="34"/>
      <c r="HQL140" s="34"/>
      <c r="HQM140" s="34"/>
      <c r="HQN140" s="34"/>
      <c r="HQO140" s="34"/>
      <c r="HQP140" s="34"/>
      <c r="HQQ140" s="34"/>
      <c r="HQR140" s="34"/>
      <c r="HQS140" s="34"/>
      <c r="HQT140" s="34"/>
      <c r="HQU140" s="34"/>
      <c r="HQV140" s="34"/>
      <c r="HQW140" s="34"/>
      <c r="HQX140" s="34"/>
      <c r="HQY140" s="34"/>
      <c r="HQZ140" s="34"/>
      <c r="HRA140" s="34"/>
      <c r="HRB140" s="34"/>
      <c r="HRC140" s="34"/>
      <c r="HRD140" s="34"/>
      <c r="HRE140" s="34"/>
      <c r="HRF140" s="34"/>
      <c r="HRG140" s="34"/>
      <c r="HRH140" s="34"/>
      <c r="HRI140" s="34"/>
      <c r="HRJ140" s="34"/>
      <c r="HRK140" s="34"/>
      <c r="HRL140" s="34"/>
      <c r="HRM140" s="34"/>
      <c r="HRN140" s="34"/>
      <c r="HRO140" s="34"/>
      <c r="HRP140" s="34"/>
      <c r="HRQ140" s="34"/>
      <c r="HRR140" s="34"/>
      <c r="HRS140" s="34"/>
      <c r="HRT140" s="34"/>
      <c r="HRU140" s="34"/>
      <c r="HRV140" s="34"/>
      <c r="HRW140" s="34"/>
      <c r="HRX140" s="34"/>
      <c r="HRY140" s="34"/>
      <c r="HRZ140" s="34"/>
      <c r="HSA140" s="34"/>
      <c r="HSB140" s="34"/>
      <c r="HSC140" s="34"/>
      <c r="HSD140" s="34"/>
      <c r="HSE140" s="34"/>
      <c r="HSF140" s="34"/>
      <c r="HSG140" s="34"/>
      <c r="HSH140" s="34"/>
      <c r="HSI140" s="34"/>
      <c r="HSJ140" s="34"/>
      <c r="HSK140" s="34"/>
      <c r="HSL140" s="34"/>
      <c r="HSM140" s="34"/>
      <c r="HSN140" s="34"/>
      <c r="HSO140" s="34"/>
      <c r="HSP140" s="34"/>
      <c r="HSQ140" s="34"/>
      <c r="HSR140" s="34"/>
      <c r="HSS140" s="34"/>
      <c r="HST140" s="34"/>
      <c r="HSU140" s="34"/>
      <c r="HSV140" s="34"/>
      <c r="HSW140" s="34"/>
      <c r="HSX140" s="34"/>
      <c r="HSY140" s="34"/>
      <c r="HSZ140" s="34"/>
      <c r="HTA140" s="34"/>
      <c r="HTB140" s="34"/>
      <c r="HTC140" s="34"/>
      <c r="HTD140" s="34"/>
      <c r="HTE140" s="34"/>
      <c r="HTF140" s="34"/>
      <c r="HTG140" s="34"/>
      <c r="HTH140" s="34"/>
      <c r="HTI140" s="34"/>
      <c r="HTJ140" s="34"/>
      <c r="HTK140" s="34"/>
      <c r="HTL140" s="34"/>
      <c r="HTM140" s="34"/>
      <c r="HTN140" s="34"/>
      <c r="HTO140" s="34"/>
      <c r="HTP140" s="34"/>
      <c r="HTQ140" s="34"/>
      <c r="HTR140" s="34"/>
      <c r="HTS140" s="34"/>
      <c r="HTT140" s="34"/>
      <c r="HTU140" s="34"/>
      <c r="HTV140" s="34"/>
      <c r="HTW140" s="34"/>
      <c r="HTX140" s="34"/>
      <c r="HTY140" s="34"/>
      <c r="HTZ140" s="34"/>
      <c r="HUA140" s="34"/>
      <c r="HUB140" s="34"/>
      <c r="HUC140" s="34"/>
      <c r="HUD140" s="34"/>
      <c r="HUE140" s="34"/>
      <c r="HUF140" s="34"/>
      <c r="HUG140" s="34"/>
      <c r="HUH140" s="34"/>
      <c r="HUI140" s="34"/>
      <c r="HUJ140" s="34"/>
      <c r="HUK140" s="34"/>
      <c r="HUL140" s="34"/>
      <c r="HUM140" s="34"/>
      <c r="HUN140" s="34"/>
      <c r="HUO140" s="34"/>
      <c r="HUP140" s="34"/>
      <c r="HUQ140" s="34"/>
      <c r="HUR140" s="34"/>
      <c r="HUS140" s="34"/>
      <c r="HUT140" s="34"/>
      <c r="HUU140" s="34"/>
      <c r="HUV140" s="34"/>
      <c r="HUW140" s="34"/>
      <c r="HUX140" s="34"/>
      <c r="HUY140" s="34"/>
      <c r="HUZ140" s="34"/>
      <c r="HVA140" s="34"/>
      <c r="HVB140" s="34"/>
      <c r="HVC140" s="34"/>
      <c r="HVD140" s="34"/>
      <c r="HVE140" s="34"/>
      <c r="HVF140" s="34"/>
      <c r="HVG140" s="34"/>
      <c r="HVH140" s="34"/>
      <c r="HVI140" s="34"/>
      <c r="HVJ140" s="34"/>
      <c r="HVK140" s="34"/>
      <c r="HVL140" s="34"/>
      <c r="HVM140" s="34"/>
      <c r="HVN140" s="34"/>
      <c r="HVO140" s="34"/>
      <c r="HVP140" s="34"/>
      <c r="HVQ140" s="34"/>
      <c r="HVR140" s="34"/>
      <c r="HVS140" s="34"/>
      <c r="HVT140" s="34"/>
      <c r="HVU140" s="34"/>
      <c r="HVV140" s="34"/>
      <c r="HVW140" s="34"/>
      <c r="HVX140" s="34"/>
      <c r="HVY140" s="34"/>
      <c r="HVZ140" s="34"/>
      <c r="HWA140" s="34"/>
      <c r="HWB140" s="34"/>
      <c r="HWC140" s="34"/>
      <c r="HWD140" s="34"/>
      <c r="HWE140" s="34"/>
      <c r="HWF140" s="34"/>
      <c r="HWG140" s="34"/>
      <c r="HWH140" s="34"/>
      <c r="HWI140" s="34"/>
      <c r="HWJ140" s="34"/>
      <c r="HWK140" s="34"/>
      <c r="HWL140" s="34"/>
      <c r="HWM140" s="34"/>
      <c r="HWN140" s="34"/>
      <c r="HWO140" s="34"/>
      <c r="HWP140" s="34"/>
      <c r="HWQ140" s="34"/>
      <c r="HWR140" s="34"/>
      <c r="HWS140" s="34"/>
      <c r="HWT140" s="34"/>
      <c r="HWU140" s="34"/>
      <c r="HWV140" s="34"/>
      <c r="HWW140" s="34"/>
      <c r="HWX140" s="34"/>
      <c r="HWY140" s="34"/>
      <c r="HWZ140" s="34"/>
      <c r="HXA140" s="34"/>
      <c r="HXB140" s="34"/>
      <c r="HXC140" s="34"/>
      <c r="HXD140" s="34"/>
      <c r="HXE140" s="34"/>
      <c r="HXF140" s="34"/>
      <c r="HXG140" s="34"/>
      <c r="HXH140" s="34"/>
      <c r="HXI140" s="34"/>
      <c r="HXJ140" s="34"/>
      <c r="HXK140" s="34"/>
      <c r="HXL140" s="34"/>
      <c r="HXM140" s="34"/>
      <c r="HXN140" s="34"/>
      <c r="HXO140" s="34"/>
      <c r="HXP140" s="34"/>
      <c r="HXQ140" s="34"/>
      <c r="HXR140" s="34"/>
      <c r="HXS140" s="34"/>
      <c r="HXT140" s="34"/>
      <c r="HXU140" s="34"/>
      <c r="HXV140" s="34"/>
      <c r="HXW140" s="34"/>
      <c r="HXX140" s="34"/>
      <c r="HXY140" s="34"/>
      <c r="HXZ140" s="34"/>
      <c r="HYA140" s="34"/>
      <c r="HYB140" s="34"/>
      <c r="HYC140" s="34"/>
      <c r="HYD140" s="34"/>
      <c r="HYE140" s="34"/>
      <c r="HYF140" s="34"/>
      <c r="HYG140" s="34"/>
      <c r="HYH140" s="34"/>
      <c r="HYI140" s="34"/>
      <c r="HYJ140" s="34"/>
      <c r="HYK140" s="34"/>
      <c r="HYL140" s="34"/>
      <c r="HYM140" s="34"/>
      <c r="HYN140" s="34"/>
      <c r="HYO140" s="34"/>
      <c r="HYP140" s="34"/>
      <c r="HYQ140" s="34"/>
      <c r="HYR140" s="34"/>
      <c r="HYS140" s="34"/>
      <c r="HYT140" s="34"/>
      <c r="HYU140" s="34"/>
      <c r="HYV140" s="34"/>
      <c r="HYW140" s="34"/>
      <c r="HYX140" s="34"/>
      <c r="HYY140" s="34"/>
      <c r="HYZ140" s="34"/>
      <c r="HZA140" s="34"/>
      <c r="HZB140" s="34"/>
      <c r="HZC140" s="34"/>
      <c r="HZD140" s="34"/>
      <c r="HZE140" s="34"/>
      <c r="HZF140" s="34"/>
      <c r="HZG140" s="34"/>
      <c r="HZH140" s="34"/>
      <c r="HZI140" s="34"/>
      <c r="HZJ140" s="34"/>
      <c r="HZK140" s="34"/>
      <c r="HZL140" s="34"/>
      <c r="HZM140" s="34"/>
      <c r="HZN140" s="34"/>
      <c r="HZO140" s="34"/>
      <c r="HZP140" s="34"/>
      <c r="HZQ140" s="34"/>
      <c r="HZR140" s="34"/>
      <c r="HZS140" s="34"/>
      <c r="HZT140" s="34"/>
      <c r="HZU140" s="34"/>
      <c r="HZV140" s="34"/>
      <c r="HZW140" s="34"/>
      <c r="HZX140" s="34"/>
      <c r="HZY140" s="34"/>
      <c r="HZZ140" s="34"/>
      <c r="IAA140" s="34"/>
      <c r="IAB140" s="34"/>
      <c r="IAC140" s="34"/>
      <c r="IAD140" s="34"/>
      <c r="IAE140" s="34"/>
      <c r="IAF140" s="34"/>
      <c r="IAG140" s="34"/>
      <c r="IAH140" s="34"/>
      <c r="IAI140" s="34"/>
      <c r="IAJ140" s="34"/>
      <c r="IAK140" s="34"/>
      <c r="IAL140" s="34"/>
      <c r="IAM140" s="34"/>
      <c r="IAN140" s="34"/>
      <c r="IAO140" s="34"/>
      <c r="IAP140" s="34"/>
      <c r="IAQ140" s="34"/>
      <c r="IAR140" s="34"/>
      <c r="IAS140" s="34"/>
      <c r="IAT140" s="34"/>
      <c r="IAU140" s="34"/>
      <c r="IAV140" s="34"/>
      <c r="IAW140" s="34"/>
      <c r="IAX140" s="34"/>
      <c r="IAY140" s="34"/>
      <c r="IAZ140" s="34"/>
      <c r="IBA140" s="34"/>
      <c r="IBB140" s="34"/>
      <c r="IBC140" s="34"/>
      <c r="IBD140" s="34"/>
      <c r="IBE140" s="34"/>
      <c r="IBF140" s="34"/>
      <c r="IBG140" s="34"/>
      <c r="IBH140" s="34"/>
      <c r="IBI140" s="34"/>
      <c r="IBJ140" s="34"/>
      <c r="IBK140" s="34"/>
      <c r="IBL140" s="34"/>
      <c r="IBM140" s="34"/>
      <c r="IBN140" s="34"/>
      <c r="IBO140" s="34"/>
      <c r="IBP140" s="34"/>
      <c r="IBQ140" s="34"/>
      <c r="IBR140" s="34"/>
      <c r="IBS140" s="34"/>
      <c r="IBT140" s="34"/>
      <c r="IBU140" s="34"/>
      <c r="IBV140" s="34"/>
      <c r="IBW140" s="34"/>
      <c r="IBX140" s="34"/>
      <c r="IBY140" s="34"/>
      <c r="IBZ140" s="34"/>
      <c r="ICA140" s="34"/>
      <c r="ICB140" s="34"/>
      <c r="ICC140" s="34"/>
      <c r="ICD140" s="34"/>
      <c r="ICE140" s="34"/>
      <c r="ICF140" s="34"/>
      <c r="ICG140" s="34"/>
      <c r="ICH140" s="34"/>
      <c r="ICI140" s="34"/>
      <c r="ICJ140" s="34"/>
      <c r="ICK140" s="34"/>
      <c r="ICL140" s="34"/>
      <c r="ICM140" s="34"/>
      <c r="ICN140" s="34"/>
      <c r="ICO140" s="34"/>
      <c r="ICP140" s="34"/>
      <c r="ICQ140" s="34"/>
      <c r="ICR140" s="34"/>
      <c r="ICS140" s="34"/>
      <c r="ICT140" s="34"/>
      <c r="ICU140" s="34"/>
      <c r="ICV140" s="34"/>
      <c r="ICW140" s="34"/>
      <c r="ICX140" s="34"/>
      <c r="ICY140" s="34"/>
      <c r="ICZ140" s="34"/>
      <c r="IDA140" s="34"/>
      <c r="IDB140" s="34"/>
      <c r="IDC140" s="34"/>
      <c r="IDD140" s="34"/>
      <c r="IDE140" s="34"/>
      <c r="IDF140" s="34"/>
      <c r="IDG140" s="34"/>
      <c r="IDH140" s="34"/>
      <c r="IDI140" s="34"/>
      <c r="IDJ140" s="34"/>
      <c r="IDK140" s="34"/>
      <c r="IDL140" s="34"/>
      <c r="IDM140" s="34"/>
      <c r="IDN140" s="34"/>
      <c r="IDO140" s="34"/>
      <c r="IDP140" s="34"/>
      <c r="IDQ140" s="34"/>
      <c r="IDR140" s="34"/>
      <c r="IDS140" s="34"/>
      <c r="IDT140" s="34"/>
      <c r="IDU140" s="34"/>
      <c r="IDV140" s="34"/>
      <c r="IDW140" s="34"/>
      <c r="IDX140" s="34"/>
      <c r="IDY140" s="34"/>
      <c r="IDZ140" s="34"/>
      <c r="IEA140" s="34"/>
      <c r="IEB140" s="34"/>
      <c r="IEC140" s="34"/>
      <c r="IED140" s="34"/>
      <c r="IEE140" s="34"/>
      <c r="IEF140" s="34"/>
      <c r="IEG140" s="34"/>
      <c r="IEH140" s="34"/>
      <c r="IEI140" s="34"/>
      <c r="IEJ140" s="34"/>
      <c r="IEK140" s="34"/>
      <c r="IEL140" s="34"/>
      <c r="IEM140" s="34"/>
      <c r="IEN140" s="34"/>
      <c r="IEO140" s="34"/>
      <c r="IEP140" s="34"/>
      <c r="IEQ140" s="34"/>
      <c r="IER140" s="34"/>
      <c r="IES140" s="34"/>
      <c r="IET140" s="34"/>
      <c r="IEU140" s="34"/>
      <c r="IEV140" s="34"/>
      <c r="IEW140" s="34"/>
      <c r="IEX140" s="34"/>
      <c r="IEY140" s="34"/>
      <c r="IEZ140" s="34"/>
      <c r="IFA140" s="34"/>
      <c r="IFB140" s="34"/>
      <c r="IFC140" s="34"/>
      <c r="IFD140" s="34"/>
      <c r="IFE140" s="34"/>
      <c r="IFF140" s="34"/>
      <c r="IFG140" s="34"/>
      <c r="IFH140" s="34"/>
      <c r="IFI140" s="34"/>
      <c r="IFJ140" s="34"/>
      <c r="IFK140" s="34"/>
      <c r="IFL140" s="34"/>
      <c r="IFM140" s="34"/>
      <c r="IFN140" s="34"/>
      <c r="IFO140" s="34"/>
      <c r="IFP140" s="34"/>
      <c r="IFQ140" s="34"/>
      <c r="IFR140" s="34"/>
      <c r="IFS140" s="34"/>
      <c r="IFT140" s="34"/>
      <c r="IFU140" s="34"/>
      <c r="IFV140" s="34"/>
      <c r="IFW140" s="34"/>
      <c r="IFX140" s="34"/>
      <c r="IFY140" s="34"/>
      <c r="IFZ140" s="34"/>
      <c r="IGA140" s="34"/>
      <c r="IGB140" s="34"/>
      <c r="IGC140" s="34"/>
      <c r="IGD140" s="34"/>
      <c r="IGE140" s="34"/>
      <c r="IGF140" s="34"/>
      <c r="IGG140" s="34"/>
      <c r="IGH140" s="34"/>
      <c r="IGI140" s="34"/>
      <c r="IGJ140" s="34"/>
      <c r="IGK140" s="34"/>
      <c r="IGL140" s="34"/>
      <c r="IGM140" s="34"/>
      <c r="IGN140" s="34"/>
      <c r="IGO140" s="34"/>
      <c r="IGP140" s="34"/>
      <c r="IGQ140" s="34"/>
      <c r="IGR140" s="34"/>
      <c r="IGS140" s="34"/>
      <c r="IGT140" s="34"/>
      <c r="IGU140" s="34"/>
      <c r="IGV140" s="34"/>
      <c r="IGW140" s="34"/>
      <c r="IGX140" s="34"/>
      <c r="IGY140" s="34"/>
      <c r="IGZ140" s="34"/>
      <c r="IHA140" s="34"/>
      <c r="IHB140" s="34"/>
      <c r="IHC140" s="34"/>
      <c r="IHD140" s="34"/>
      <c r="IHE140" s="34"/>
      <c r="IHF140" s="34"/>
      <c r="IHG140" s="34"/>
      <c r="IHH140" s="34"/>
      <c r="IHI140" s="34"/>
      <c r="IHJ140" s="34"/>
      <c r="IHK140" s="34"/>
      <c r="IHL140" s="34"/>
      <c r="IHM140" s="34"/>
      <c r="IHN140" s="34"/>
      <c r="IHO140" s="34"/>
      <c r="IHP140" s="34"/>
      <c r="IHQ140" s="34"/>
      <c r="IHR140" s="34"/>
      <c r="IHS140" s="34"/>
      <c r="IHT140" s="34"/>
      <c r="IHU140" s="34"/>
      <c r="IHV140" s="34"/>
      <c r="IHW140" s="34"/>
      <c r="IHX140" s="34"/>
      <c r="IHY140" s="34"/>
      <c r="IHZ140" s="34"/>
      <c r="IIA140" s="34"/>
      <c r="IIB140" s="34"/>
      <c r="IIC140" s="34"/>
      <c r="IID140" s="34"/>
      <c r="IIE140" s="34"/>
      <c r="IIF140" s="34"/>
      <c r="IIG140" s="34"/>
      <c r="IIH140" s="34"/>
      <c r="III140" s="34"/>
      <c r="IIJ140" s="34"/>
      <c r="IIK140" s="34"/>
      <c r="IIL140" s="34"/>
      <c r="IIM140" s="34"/>
      <c r="IIN140" s="34"/>
      <c r="IIO140" s="34"/>
      <c r="IIP140" s="34"/>
      <c r="IIQ140" s="34"/>
      <c r="IIR140" s="34"/>
      <c r="IIS140" s="34"/>
      <c r="IIT140" s="34"/>
      <c r="IIU140" s="34"/>
      <c r="IIV140" s="34"/>
      <c r="IIW140" s="34"/>
      <c r="IIX140" s="34"/>
      <c r="IIY140" s="34"/>
      <c r="IIZ140" s="34"/>
      <c r="IJA140" s="34"/>
      <c r="IJB140" s="34"/>
      <c r="IJC140" s="34"/>
      <c r="IJD140" s="34"/>
      <c r="IJE140" s="34"/>
      <c r="IJF140" s="34"/>
      <c r="IJG140" s="34"/>
      <c r="IJH140" s="34"/>
      <c r="IJI140" s="34"/>
      <c r="IJJ140" s="34"/>
      <c r="IJK140" s="34"/>
      <c r="IJL140" s="34"/>
      <c r="IJM140" s="34"/>
      <c r="IJN140" s="34"/>
      <c r="IJO140" s="34"/>
      <c r="IJP140" s="34"/>
      <c r="IJQ140" s="34"/>
      <c r="IJR140" s="34"/>
      <c r="IJS140" s="34"/>
      <c r="IJT140" s="34"/>
      <c r="IJU140" s="34"/>
      <c r="IJV140" s="34"/>
      <c r="IJW140" s="34"/>
      <c r="IJX140" s="34"/>
      <c r="IJY140" s="34"/>
      <c r="IJZ140" s="34"/>
      <c r="IKA140" s="34"/>
      <c r="IKB140" s="34"/>
      <c r="IKC140" s="34"/>
      <c r="IKD140" s="34"/>
      <c r="IKE140" s="34"/>
      <c r="IKF140" s="34"/>
      <c r="IKG140" s="34"/>
      <c r="IKH140" s="34"/>
      <c r="IKI140" s="34"/>
      <c r="IKJ140" s="34"/>
      <c r="IKK140" s="34"/>
      <c r="IKL140" s="34"/>
      <c r="IKM140" s="34"/>
      <c r="IKN140" s="34"/>
      <c r="IKO140" s="34"/>
      <c r="IKP140" s="34"/>
      <c r="IKQ140" s="34"/>
      <c r="IKR140" s="34"/>
      <c r="IKS140" s="34"/>
      <c r="IKT140" s="34"/>
      <c r="IKU140" s="34"/>
      <c r="IKV140" s="34"/>
      <c r="IKW140" s="34"/>
      <c r="IKX140" s="34"/>
      <c r="IKY140" s="34"/>
      <c r="IKZ140" s="34"/>
      <c r="ILA140" s="34"/>
      <c r="ILB140" s="34"/>
      <c r="ILC140" s="34"/>
      <c r="ILD140" s="34"/>
      <c r="ILE140" s="34"/>
      <c r="ILF140" s="34"/>
      <c r="ILG140" s="34"/>
      <c r="ILH140" s="34"/>
      <c r="ILI140" s="34"/>
      <c r="ILJ140" s="34"/>
      <c r="ILK140" s="34"/>
      <c r="ILL140" s="34"/>
      <c r="ILM140" s="34"/>
      <c r="ILN140" s="34"/>
      <c r="ILO140" s="34"/>
      <c r="ILP140" s="34"/>
      <c r="ILQ140" s="34"/>
      <c r="ILR140" s="34"/>
      <c r="ILS140" s="34"/>
      <c r="ILT140" s="34"/>
      <c r="ILU140" s="34"/>
      <c r="ILV140" s="34"/>
      <c r="ILW140" s="34"/>
      <c r="ILX140" s="34"/>
      <c r="ILY140" s="34"/>
      <c r="ILZ140" s="34"/>
      <c r="IMA140" s="34"/>
      <c r="IMB140" s="34"/>
      <c r="IMC140" s="34"/>
      <c r="IMD140" s="34"/>
      <c r="IME140" s="34"/>
      <c r="IMF140" s="34"/>
      <c r="IMG140" s="34"/>
      <c r="IMH140" s="34"/>
      <c r="IMI140" s="34"/>
      <c r="IMJ140" s="34"/>
      <c r="IMK140" s="34"/>
      <c r="IML140" s="34"/>
      <c r="IMM140" s="34"/>
      <c r="IMN140" s="34"/>
      <c r="IMO140" s="34"/>
      <c r="IMP140" s="34"/>
      <c r="IMQ140" s="34"/>
      <c r="IMR140" s="34"/>
      <c r="IMS140" s="34"/>
      <c r="IMT140" s="34"/>
      <c r="IMU140" s="34"/>
      <c r="IMV140" s="34"/>
      <c r="IMW140" s="34"/>
      <c r="IMX140" s="34"/>
      <c r="IMY140" s="34"/>
      <c r="IMZ140" s="34"/>
      <c r="INA140" s="34"/>
      <c r="INB140" s="34"/>
      <c r="INC140" s="34"/>
      <c r="IND140" s="34"/>
      <c r="INE140" s="34"/>
      <c r="INF140" s="34"/>
      <c r="ING140" s="34"/>
      <c r="INH140" s="34"/>
      <c r="INI140" s="34"/>
      <c r="INJ140" s="34"/>
      <c r="INK140" s="34"/>
      <c r="INL140" s="34"/>
      <c r="INM140" s="34"/>
      <c r="INN140" s="34"/>
      <c r="INO140" s="34"/>
      <c r="INP140" s="34"/>
      <c r="INQ140" s="34"/>
      <c r="INR140" s="34"/>
      <c r="INS140" s="34"/>
      <c r="INT140" s="34"/>
      <c r="INU140" s="34"/>
      <c r="INV140" s="34"/>
      <c r="INW140" s="34"/>
      <c r="INX140" s="34"/>
      <c r="INY140" s="34"/>
      <c r="INZ140" s="34"/>
      <c r="IOA140" s="34"/>
      <c r="IOB140" s="34"/>
      <c r="IOC140" s="34"/>
      <c r="IOD140" s="34"/>
      <c r="IOE140" s="34"/>
      <c r="IOF140" s="34"/>
      <c r="IOG140" s="34"/>
      <c r="IOH140" s="34"/>
      <c r="IOI140" s="34"/>
      <c r="IOJ140" s="34"/>
      <c r="IOK140" s="34"/>
      <c r="IOL140" s="34"/>
      <c r="IOM140" s="34"/>
      <c r="ION140" s="34"/>
      <c r="IOO140" s="34"/>
      <c r="IOP140" s="34"/>
      <c r="IOQ140" s="34"/>
      <c r="IOR140" s="34"/>
      <c r="IOS140" s="34"/>
      <c r="IOT140" s="34"/>
      <c r="IOU140" s="34"/>
      <c r="IOV140" s="34"/>
      <c r="IOW140" s="34"/>
      <c r="IOX140" s="34"/>
      <c r="IOY140" s="34"/>
      <c r="IOZ140" s="34"/>
      <c r="IPA140" s="34"/>
      <c r="IPB140" s="34"/>
      <c r="IPC140" s="34"/>
      <c r="IPD140" s="34"/>
      <c r="IPE140" s="34"/>
      <c r="IPF140" s="34"/>
      <c r="IPG140" s="34"/>
      <c r="IPH140" s="34"/>
      <c r="IPI140" s="34"/>
      <c r="IPJ140" s="34"/>
      <c r="IPK140" s="34"/>
      <c r="IPL140" s="34"/>
      <c r="IPM140" s="34"/>
      <c r="IPN140" s="34"/>
      <c r="IPO140" s="34"/>
      <c r="IPP140" s="34"/>
      <c r="IPQ140" s="34"/>
      <c r="IPR140" s="34"/>
      <c r="IPS140" s="34"/>
      <c r="IPT140" s="34"/>
      <c r="IPU140" s="34"/>
      <c r="IPV140" s="34"/>
      <c r="IPW140" s="34"/>
      <c r="IPX140" s="34"/>
      <c r="IPY140" s="34"/>
      <c r="IPZ140" s="34"/>
      <c r="IQA140" s="34"/>
      <c r="IQB140" s="34"/>
      <c r="IQC140" s="34"/>
      <c r="IQD140" s="34"/>
      <c r="IQE140" s="34"/>
      <c r="IQF140" s="34"/>
      <c r="IQG140" s="34"/>
      <c r="IQH140" s="34"/>
      <c r="IQI140" s="34"/>
      <c r="IQJ140" s="34"/>
      <c r="IQK140" s="34"/>
      <c r="IQL140" s="34"/>
      <c r="IQM140" s="34"/>
      <c r="IQN140" s="34"/>
      <c r="IQO140" s="34"/>
      <c r="IQP140" s="34"/>
      <c r="IQQ140" s="34"/>
      <c r="IQR140" s="34"/>
      <c r="IQS140" s="34"/>
      <c r="IQT140" s="34"/>
      <c r="IQU140" s="34"/>
      <c r="IQV140" s="34"/>
      <c r="IQW140" s="34"/>
      <c r="IQX140" s="34"/>
      <c r="IQY140" s="34"/>
      <c r="IQZ140" s="34"/>
      <c r="IRA140" s="34"/>
      <c r="IRB140" s="34"/>
      <c r="IRC140" s="34"/>
      <c r="IRD140" s="34"/>
      <c r="IRE140" s="34"/>
      <c r="IRF140" s="34"/>
      <c r="IRG140" s="34"/>
      <c r="IRH140" s="34"/>
      <c r="IRI140" s="34"/>
      <c r="IRJ140" s="34"/>
      <c r="IRK140" s="34"/>
      <c r="IRL140" s="34"/>
      <c r="IRM140" s="34"/>
      <c r="IRN140" s="34"/>
      <c r="IRO140" s="34"/>
      <c r="IRP140" s="34"/>
      <c r="IRQ140" s="34"/>
      <c r="IRR140" s="34"/>
      <c r="IRS140" s="34"/>
      <c r="IRT140" s="34"/>
      <c r="IRU140" s="34"/>
      <c r="IRV140" s="34"/>
      <c r="IRW140" s="34"/>
      <c r="IRX140" s="34"/>
      <c r="IRY140" s="34"/>
      <c r="IRZ140" s="34"/>
      <c r="ISA140" s="34"/>
      <c r="ISB140" s="34"/>
      <c r="ISC140" s="34"/>
      <c r="ISD140" s="34"/>
      <c r="ISE140" s="34"/>
      <c r="ISF140" s="34"/>
      <c r="ISG140" s="34"/>
      <c r="ISH140" s="34"/>
      <c r="ISI140" s="34"/>
      <c r="ISJ140" s="34"/>
      <c r="ISK140" s="34"/>
      <c r="ISL140" s="34"/>
      <c r="ISM140" s="34"/>
      <c r="ISN140" s="34"/>
      <c r="ISO140" s="34"/>
      <c r="ISP140" s="34"/>
      <c r="ISQ140" s="34"/>
      <c r="ISR140" s="34"/>
      <c r="ISS140" s="34"/>
      <c r="IST140" s="34"/>
      <c r="ISU140" s="34"/>
      <c r="ISV140" s="34"/>
      <c r="ISW140" s="34"/>
      <c r="ISX140" s="34"/>
      <c r="ISY140" s="34"/>
      <c r="ISZ140" s="34"/>
      <c r="ITA140" s="34"/>
      <c r="ITB140" s="34"/>
      <c r="ITC140" s="34"/>
      <c r="ITD140" s="34"/>
      <c r="ITE140" s="34"/>
      <c r="ITF140" s="34"/>
      <c r="ITG140" s="34"/>
      <c r="ITH140" s="34"/>
      <c r="ITI140" s="34"/>
      <c r="ITJ140" s="34"/>
      <c r="ITK140" s="34"/>
      <c r="ITL140" s="34"/>
      <c r="ITM140" s="34"/>
      <c r="ITN140" s="34"/>
      <c r="ITO140" s="34"/>
      <c r="ITP140" s="34"/>
      <c r="ITQ140" s="34"/>
      <c r="ITR140" s="34"/>
      <c r="ITS140" s="34"/>
      <c r="ITT140" s="34"/>
      <c r="ITU140" s="34"/>
      <c r="ITV140" s="34"/>
      <c r="ITW140" s="34"/>
      <c r="ITX140" s="34"/>
      <c r="ITY140" s="34"/>
      <c r="ITZ140" s="34"/>
      <c r="IUA140" s="34"/>
      <c r="IUB140" s="34"/>
      <c r="IUC140" s="34"/>
      <c r="IUD140" s="34"/>
      <c r="IUE140" s="34"/>
      <c r="IUF140" s="34"/>
      <c r="IUG140" s="34"/>
      <c r="IUH140" s="34"/>
      <c r="IUI140" s="34"/>
      <c r="IUJ140" s="34"/>
      <c r="IUK140" s="34"/>
      <c r="IUL140" s="34"/>
      <c r="IUM140" s="34"/>
      <c r="IUN140" s="34"/>
      <c r="IUO140" s="34"/>
      <c r="IUP140" s="34"/>
      <c r="IUQ140" s="34"/>
      <c r="IUR140" s="34"/>
      <c r="IUS140" s="34"/>
      <c r="IUT140" s="34"/>
      <c r="IUU140" s="34"/>
      <c r="IUV140" s="34"/>
      <c r="IUW140" s="34"/>
      <c r="IUX140" s="34"/>
      <c r="IUY140" s="34"/>
      <c r="IUZ140" s="34"/>
      <c r="IVA140" s="34"/>
      <c r="IVB140" s="34"/>
      <c r="IVC140" s="34"/>
      <c r="IVD140" s="34"/>
      <c r="IVE140" s="34"/>
      <c r="IVF140" s="34"/>
      <c r="IVG140" s="34"/>
      <c r="IVH140" s="34"/>
      <c r="IVI140" s="34"/>
      <c r="IVJ140" s="34"/>
      <c r="IVK140" s="34"/>
      <c r="IVL140" s="34"/>
      <c r="IVM140" s="34"/>
      <c r="IVN140" s="34"/>
      <c r="IVO140" s="34"/>
      <c r="IVP140" s="34"/>
      <c r="IVQ140" s="34"/>
      <c r="IVR140" s="34"/>
      <c r="IVS140" s="34"/>
      <c r="IVT140" s="34"/>
      <c r="IVU140" s="34"/>
      <c r="IVV140" s="34"/>
      <c r="IVW140" s="34"/>
      <c r="IVX140" s="34"/>
      <c r="IVY140" s="34"/>
      <c r="IVZ140" s="34"/>
      <c r="IWA140" s="34"/>
      <c r="IWB140" s="34"/>
      <c r="IWC140" s="34"/>
      <c r="IWD140" s="34"/>
      <c r="IWE140" s="34"/>
      <c r="IWF140" s="34"/>
      <c r="IWG140" s="34"/>
      <c r="IWH140" s="34"/>
      <c r="IWI140" s="34"/>
      <c r="IWJ140" s="34"/>
      <c r="IWK140" s="34"/>
      <c r="IWL140" s="34"/>
      <c r="IWM140" s="34"/>
      <c r="IWN140" s="34"/>
      <c r="IWO140" s="34"/>
      <c r="IWP140" s="34"/>
      <c r="IWQ140" s="34"/>
      <c r="IWR140" s="34"/>
      <c r="IWS140" s="34"/>
      <c r="IWT140" s="34"/>
      <c r="IWU140" s="34"/>
      <c r="IWV140" s="34"/>
      <c r="IWW140" s="34"/>
      <c r="IWX140" s="34"/>
      <c r="IWY140" s="34"/>
      <c r="IWZ140" s="34"/>
      <c r="IXA140" s="34"/>
      <c r="IXB140" s="34"/>
      <c r="IXC140" s="34"/>
      <c r="IXD140" s="34"/>
      <c r="IXE140" s="34"/>
      <c r="IXF140" s="34"/>
      <c r="IXG140" s="34"/>
      <c r="IXH140" s="34"/>
      <c r="IXI140" s="34"/>
      <c r="IXJ140" s="34"/>
      <c r="IXK140" s="34"/>
      <c r="IXL140" s="34"/>
      <c r="IXM140" s="34"/>
      <c r="IXN140" s="34"/>
      <c r="IXO140" s="34"/>
      <c r="IXP140" s="34"/>
      <c r="IXQ140" s="34"/>
      <c r="IXR140" s="34"/>
      <c r="IXS140" s="34"/>
      <c r="IXT140" s="34"/>
      <c r="IXU140" s="34"/>
      <c r="IXV140" s="34"/>
      <c r="IXW140" s="34"/>
      <c r="IXX140" s="34"/>
      <c r="IXY140" s="34"/>
      <c r="IXZ140" s="34"/>
      <c r="IYA140" s="34"/>
      <c r="IYB140" s="34"/>
      <c r="IYC140" s="34"/>
      <c r="IYD140" s="34"/>
      <c r="IYE140" s="34"/>
      <c r="IYF140" s="34"/>
      <c r="IYG140" s="34"/>
      <c r="IYH140" s="34"/>
      <c r="IYI140" s="34"/>
      <c r="IYJ140" s="34"/>
      <c r="IYK140" s="34"/>
      <c r="IYL140" s="34"/>
      <c r="IYM140" s="34"/>
      <c r="IYN140" s="34"/>
      <c r="IYO140" s="34"/>
      <c r="IYP140" s="34"/>
      <c r="IYQ140" s="34"/>
      <c r="IYR140" s="34"/>
      <c r="IYS140" s="34"/>
      <c r="IYT140" s="34"/>
      <c r="IYU140" s="34"/>
      <c r="IYV140" s="34"/>
      <c r="IYW140" s="34"/>
      <c r="IYX140" s="34"/>
      <c r="IYY140" s="34"/>
      <c r="IYZ140" s="34"/>
      <c r="IZA140" s="34"/>
      <c r="IZB140" s="34"/>
      <c r="IZC140" s="34"/>
      <c r="IZD140" s="34"/>
      <c r="IZE140" s="34"/>
      <c r="IZF140" s="34"/>
      <c r="IZG140" s="34"/>
      <c r="IZH140" s="34"/>
      <c r="IZI140" s="34"/>
      <c r="IZJ140" s="34"/>
      <c r="IZK140" s="34"/>
      <c r="IZL140" s="34"/>
      <c r="IZM140" s="34"/>
      <c r="IZN140" s="34"/>
      <c r="IZO140" s="34"/>
      <c r="IZP140" s="34"/>
      <c r="IZQ140" s="34"/>
      <c r="IZR140" s="34"/>
      <c r="IZS140" s="34"/>
      <c r="IZT140" s="34"/>
      <c r="IZU140" s="34"/>
      <c r="IZV140" s="34"/>
      <c r="IZW140" s="34"/>
      <c r="IZX140" s="34"/>
      <c r="IZY140" s="34"/>
      <c r="IZZ140" s="34"/>
      <c r="JAA140" s="34"/>
      <c r="JAB140" s="34"/>
      <c r="JAC140" s="34"/>
      <c r="JAD140" s="34"/>
      <c r="JAE140" s="34"/>
      <c r="JAF140" s="34"/>
      <c r="JAG140" s="34"/>
      <c r="JAH140" s="34"/>
      <c r="JAI140" s="34"/>
      <c r="JAJ140" s="34"/>
      <c r="JAK140" s="34"/>
      <c r="JAL140" s="34"/>
      <c r="JAM140" s="34"/>
      <c r="JAN140" s="34"/>
      <c r="JAO140" s="34"/>
      <c r="JAP140" s="34"/>
      <c r="JAQ140" s="34"/>
      <c r="JAR140" s="34"/>
      <c r="JAS140" s="34"/>
      <c r="JAT140" s="34"/>
      <c r="JAU140" s="34"/>
      <c r="JAV140" s="34"/>
      <c r="JAW140" s="34"/>
      <c r="JAX140" s="34"/>
      <c r="JAY140" s="34"/>
      <c r="JAZ140" s="34"/>
      <c r="JBA140" s="34"/>
      <c r="JBB140" s="34"/>
      <c r="JBC140" s="34"/>
      <c r="JBD140" s="34"/>
      <c r="JBE140" s="34"/>
      <c r="JBF140" s="34"/>
      <c r="JBG140" s="34"/>
      <c r="JBH140" s="34"/>
      <c r="JBI140" s="34"/>
      <c r="JBJ140" s="34"/>
      <c r="JBK140" s="34"/>
      <c r="JBL140" s="34"/>
      <c r="JBM140" s="34"/>
      <c r="JBN140" s="34"/>
      <c r="JBO140" s="34"/>
      <c r="JBP140" s="34"/>
      <c r="JBQ140" s="34"/>
      <c r="JBR140" s="34"/>
      <c r="JBS140" s="34"/>
      <c r="JBT140" s="34"/>
      <c r="JBU140" s="34"/>
      <c r="JBV140" s="34"/>
      <c r="JBW140" s="34"/>
      <c r="JBX140" s="34"/>
      <c r="JBY140" s="34"/>
      <c r="JBZ140" s="34"/>
      <c r="JCA140" s="34"/>
      <c r="JCB140" s="34"/>
      <c r="JCC140" s="34"/>
      <c r="JCD140" s="34"/>
      <c r="JCE140" s="34"/>
      <c r="JCF140" s="34"/>
      <c r="JCG140" s="34"/>
      <c r="JCH140" s="34"/>
      <c r="JCI140" s="34"/>
      <c r="JCJ140" s="34"/>
      <c r="JCK140" s="34"/>
      <c r="JCL140" s="34"/>
      <c r="JCM140" s="34"/>
      <c r="JCN140" s="34"/>
      <c r="JCO140" s="34"/>
      <c r="JCP140" s="34"/>
      <c r="JCQ140" s="34"/>
      <c r="JCR140" s="34"/>
      <c r="JCS140" s="34"/>
      <c r="JCT140" s="34"/>
      <c r="JCU140" s="34"/>
      <c r="JCV140" s="34"/>
      <c r="JCW140" s="34"/>
      <c r="JCX140" s="34"/>
      <c r="JCY140" s="34"/>
      <c r="JCZ140" s="34"/>
      <c r="JDA140" s="34"/>
      <c r="JDB140" s="34"/>
      <c r="JDC140" s="34"/>
      <c r="JDD140" s="34"/>
      <c r="JDE140" s="34"/>
      <c r="JDF140" s="34"/>
      <c r="JDG140" s="34"/>
      <c r="JDH140" s="34"/>
      <c r="JDI140" s="34"/>
      <c r="JDJ140" s="34"/>
      <c r="JDK140" s="34"/>
      <c r="JDL140" s="34"/>
      <c r="JDM140" s="34"/>
      <c r="JDN140" s="34"/>
      <c r="JDO140" s="34"/>
      <c r="JDP140" s="34"/>
      <c r="JDQ140" s="34"/>
      <c r="JDR140" s="34"/>
      <c r="JDS140" s="34"/>
      <c r="JDT140" s="34"/>
      <c r="JDU140" s="34"/>
      <c r="JDV140" s="34"/>
      <c r="JDW140" s="34"/>
      <c r="JDX140" s="34"/>
      <c r="JDY140" s="34"/>
      <c r="JDZ140" s="34"/>
      <c r="JEA140" s="34"/>
      <c r="JEB140" s="34"/>
      <c r="JEC140" s="34"/>
      <c r="JED140" s="34"/>
      <c r="JEE140" s="34"/>
      <c r="JEF140" s="34"/>
      <c r="JEG140" s="34"/>
      <c r="JEH140" s="34"/>
      <c r="JEI140" s="34"/>
      <c r="JEJ140" s="34"/>
      <c r="JEK140" s="34"/>
      <c r="JEL140" s="34"/>
      <c r="JEM140" s="34"/>
      <c r="JEN140" s="34"/>
      <c r="JEO140" s="34"/>
      <c r="JEP140" s="34"/>
      <c r="JEQ140" s="34"/>
      <c r="JER140" s="34"/>
      <c r="JES140" s="34"/>
      <c r="JET140" s="34"/>
      <c r="JEU140" s="34"/>
      <c r="JEV140" s="34"/>
      <c r="JEW140" s="34"/>
      <c r="JEX140" s="34"/>
      <c r="JEY140" s="34"/>
      <c r="JEZ140" s="34"/>
      <c r="JFA140" s="34"/>
      <c r="JFB140" s="34"/>
      <c r="JFC140" s="34"/>
      <c r="JFD140" s="34"/>
      <c r="JFE140" s="34"/>
      <c r="JFF140" s="34"/>
      <c r="JFG140" s="34"/>
      <c r="JFH140" s="34"/>
      <c r="JFI140" s="34"/>
      <c r="JFJ140" s="34"/>
      <c r="JFK140" s="34"/>
      <c r="JFL140" s="34"/>
      <c r="JFM140" s="34"/>
      <c r="JFN140" s="34"/>
      <c r="JFO140" s="34"/>
      <c r="JFP140" s="34"/>
      <c r="JFQ140" s="34"/>
      <c r="JFR140" s="34"/>
      <c r="JFS140" s="34"/>
      <c r="JFT140" s="34"/>
      <c r="JFU140" s="34"/>
      <c r="JFV140" s="34"/>
      <c r="JFW140" s="34"/>
      <c r="JFX140" s="34"/>
      <c r="JFY140" s="34"/>
      <c r="JFZ140" s="34"/>
      <c r="JGA140" s="34"/>
      <c r="JGB140" s="34"/>
      <c r="JGC140" s="34"/>
      <c r="JGD140" s="34"/>
      <c r="JGE140" s="34"/>
      <c r="JGF140" s="34"/>
      <c r="JGG140" s="34"/>
      <c r="JGH140" s="34"/>
      <c r="JGI140" s="34"/>
      <c r="JGJ140" s="34"/>
      <c r="JGK140" s="34"/>
      <c r="JGL140" s="34"/>
      <c r="JGM140" s="34"/>
      <c r="JGN140" s="34"/>
      <c r="JGO140" s="34"/>
      <c r="JGP140" s="34"/>
      <c r="JGQ140" s="34"/>
      <c r="JGR140" s="34"/>
      <c r="JGS140" s="34"/>
      <c r="JGT140" s="34"/>
      <c r="JGU140" s="34"/>
      <c r="JGV140" s="34"/>
      <c r="JGW140" s="34"/>
      <c r="JGX140" s="34"/>
      <c r="JGY140" s="34"/>
      <c r="JGZ140" s="34"/>
      <c r="JHA140" s="34"/>
      <c r="JHB140" s="34"/>
      <c r="JHC140" s="34"/>
      <c r="JHD140" s="34"/>
      <c r="JHE140" s="34"/>
      <c r="JHF140" s="34"/>
      <c r="JHG140" s="34"/>
      <c r="JHH140" s="34"/>
      <c r="JHI140" s="34"/>
      <c r="JHJ140" s="34"/>
      <c r="JHK140" s="34"/>
      <c r="JHL140" s="34"/>
      <c r="JHM140" s="34"/>
      <c r="JHN140" s="34"/>
      <c r="JHO140" s="34"/>
      <c r="JHP140" s="34"/>
      <c r="JHQ140" s="34"/>
      <c r="JHR140" s="34"/>
      <c r="JHS140" s="34"/>
      <c r="JHT140" s="34"/>
      <c r="JHU140" s="34"/>
      <c r="JHV140" s="34"/>
      <c r="JHW140" s="34"/>
      <c r="JHX140" s="34"/>
      <c r="JHY140" s="34"/>
      <c r="JHZ140" s="34"/>
      <c r="JIA140" s="34"/>
      <c r="JIB140" s="34"/>
      <c r="JIC140" s="34"/>
      <c r="JID140" s="34"/>
      <c r="JIE140" s="34"/>
      <c r="JIF140" s="34"/>
      <c r="JIG140" s="34"/>
      <c r="JIH140" s="34"/>
      <c r="JII140" s="34"/>
      <c r="JIJ140" s="34"/>
      <c r="JIK140" s="34"/>
      <c r="JIL140" s="34"/>
      <c r="JIM140" s="34"/>
      <c r="JIN140" s="34"/>
      <c r="JIO140" s="34"/>
      <c r="JIP140" s="34"/>
      <c r="JIQ140" s="34"/>
      <c r="JIR140" s="34"/>
      <c r="JIS140" s="34"/>
      <c r="JIT140" s="34"/>
      <c r="JIU140" s="34"/>
      <c r="JIV140" s="34"/>
      <c r="JIW140" s="34"/>
      <c r="JIX140" s="34"/>
      <c r="JIY140" s="34"/>
      <c r="JIZ140" s="34"/>
      <c r="JJA140" s="34"/>
      <c r="JJB140" s="34"/>
      <c r="JJC140" s="34"/>
      <c r="JJD140" s="34"/>
      <c r="JJE140" s="34"/>
      <c r="JJF140" s="34"/>
      <c r="JJG140" s="34"/>
      <c r="JJH140" s="34"/>
      <c r="JJI140" s="34"/>
      <c r="JJJ140" s="34"/>
      <c r="JJK140" s="34"/>
      <c r="JJL140" s="34"/>
      <c r="JJM140" s="34"/>
      <c r="JJN140" s="34"/>
      <c r="JJO140" s="34"/>
      <c r="JJP140" s="34"/>
      <c r="JJQ140" s="34"/>
      <c r="JJR140" s="34"/>
      <c r="JJS140" s="34"/>
      <c r="JJT140" s="34"/>
      <c r="JJU140" s="34"/>
      <c r="JJV140" s="34"/>
      <c r="JJW140" s="34"/>
      <c r="JJX140" s="34"/>
      <c r="JJY140" s="34"/>
      <c r="JJZ140" s="34"/>
      <c r="JKA140" s="34"/>
      <c r="JKB140" s="34"/>
      <c r="JKC140" s="34"/>
      <c r="JKD140" s="34"/>
      <c r="JKE140" s="34"/>
      <c r="JKF140" s="34"/>
      <c r="JKG140" s="34"/>
      <c r="JKH140" s="34"/>
      <c r="JKI140" s="34"/>
      <c r="JKJ140" s="34"/>
      <c r="JKK140" s="34"/>
      <c r="JKL140" s="34"/>
      <c r="JKM140" s="34"/>
      <c r="JKN140" s="34"/>
      <c r="JKO140" s="34"/>
      <c r="JKP140" s="34"/>
      <c r="JKQ140" s="34"/>
      <c r="JKR140" s="34"/>
      <c r="JKS140" s="34"/>
      <c r="JKT140" s="34"/>
      <c r="JKU140" s="34"/>
      <c r="JKV140" s="34"/>
      <c r="JKW140" s="34"/>
      <c r="JKX140" s="34"/>
      <c r="JKY140" s="34"/>
      <c r="JKZ140" s="34"/>
      <c r="JLA140" s="34"/>
      <c r="JLB140" s="34"/>
      <c r="JLC140" s="34"/>
      <c r="JLD140" s="34"/>
      <c r="JLE140" s="34"/>
      <c r="JLF140" s="34"/>
      <c r="JLG140" s="34"/>
      <c r="JLH140" s="34"/>
      <c r="JLI140" s="34"/>
      <c r="JLJ140" s="34"/>
      <c r="JLK140" s="34"/>
      <c r="JLL140" s="34"/>
      <c r="JLM140" s="34"/>
      <c r="JLN140" s="34"/>
      <c r="JLO140" s="34"/>
      <c r="JLP140" s="34"/>
      <c r="JLQ140" s="34"/>
      <c r="JLR140" s="34"/>
      <c r="JLS140" s="34"/>
      <c r="JLT140" s="34"/>
      <c r="JLU140" s="34"/>
      <c r="JLV140" s="34"/>
      <c r="JLW140" s="34"/>
      <c r="JLX140" s="34"/>
      <c r="JLY140" s="34"/>
      <c r="JLZ140" s="34"/>
      <c r="JMA140" s="34"/>
      <c r="JMB140" s="34"/>
      <c r="JMC140" s="34"/>
      <c r="JMD140" s="34"/>
      <c r="JME140" s="34"/>
      <c r="JMF140" s="34"/>
      <c r="JMG140" s="34"/>
      <c r="JMH140" s="34"/>
      <c r="JMI140" s="34"/>
      <c r="JMJ140" s="34"/>
      <c r="JMK140" s="34"/>
      <c r="JML140" s="34"/>
      <c r="JMM140" s="34"/>
      <c r="JMN140" s="34"/>
      <c r="JMO140" s="34"/>
      <c r="JMP140" s="34"/>
      <c r="JMQ140" s="34"/>
      <c r="JMR140" s="34"/>
      <c r="JMS140" s="34"/>
      <c r="JMT140" s="34"/>
      <c r="JMU140" s="34"/>
      <c r="JMV140" s="34"/>
      <c r="JMW140" s="34"/>
      <c r="JMX140" s="34"/>
      <c r="JMY140" s="34"/>
      <c r="JMZ140" s="34"/>
      <c r="JNA140" s="34"/>
      <c r="JNB140" s="34"/>
      <c r="JNC140" s="34"/>
      <c r="JND140" s="34"/>
      <c r="JNE140" s="34"/>
      <c r="JNF140" s="34"/>
      <c r="JNG140" s="34"/>
      <c r="JNH140" s="34"/>
      <c r="JNI140" s="34"/>
      <c r="JNJ140" s="34"/>
      <c r="JNK140" s="34"/>
      <c r="JNL140" s="34"/>
      <c r="JNM140" s="34"/>
      <c r="JNN140" s="34"/>
      <c r="JNO140" s="34"/>
      <c r="JNP140" s="34"/>
      <c r="JNQ140" s="34"/>
      <c r="JNR140" s="34"/>
      <c r="JNS140" s="34"/>
      <c r="JNT140" s="34"/>
      <c r="JNU140" s="34"/>
      <c r="JNV140" s="34"/>
      <c r="JNW140" s="34"/>
      <c r="JNX140" s="34"/>
      <c r="JNY140" s="34"/>
      <c r="JNZ140" s="34"/>
      <c r="JOA140" s="34"/>
      <c r="JOB140" s="34"/>
      <c r="JOC140" s="34"/>
      <c r="JOD140" s="34"/>
      <c r="JOE140" s="34"/>
      <c r="JOF140" s="34"/>
      <c r="JOG140" s="34"/>
      <c r="JOH140" s="34"/>
      <c r="JOI140" s="34"/>
      <c r="JOJ140" s="34"/>
      <c r="JOK140" s="34"/>
      <c r="JOL140" s="34"/>
      <c r="JOM140" s="34"/>
      <c r="JON140" s="34"/>
      <c r="JOO140" s="34"/>
      <c r="JOP140" s="34"/>
      <c r="JOQ140" s="34"/>
      <c r="JOR140" s="34"/>
      <c r="JOS140" s="34"/>
      <c r="JOT140" s="34"/>
      <c r="JOU140" s="34"/>
      <c r="JOV140" s="34"/>
      <c r="JOW140" s="34"/>
      <c r="JOX140" s="34"/>
      <c r="JOY140" s="34"/>
      <c r="JOZ140" s="34"/>
      <c r="JPA140" s="34"/>
      <c r="JPB140" s="34"/>
      <c r="JPC140" s="34"/>
      <c r="JPD140" s="34"/>
      <c r="JPE140" s="34"/>
      <c r="JPF140" s="34"/>
      <c r="JPG140" s="34"/>
      <c r="JPH140" s="34"/>
      <c r="JPI140" s="34"/>
      <c r="JPJ140" s="34"/>
      <c r="JPK140" s="34"/>
      <c r="JPL140" s="34"/>
      <c r="JPM140" s="34"/>
      <c r="JPN140" s="34"/>
      <c r="JPO140" s="34"/>
      <c r="JPP140" s="34"/>
      <c r="JPQ140" s="34"/>
      <c r="JPR140" s="34"/>
      <c r="JPS140" s="34"/>
      <c r="JPT140" s="34"/>
      <c r="JPU140" s="34"/>
      <c r="JPV140" s="34"/>
      <c r="JPW140" s="34"/>
      <c r="JPX140" s="34"/>
      <c r="JPY140" s="34"/>
      <c r="JPZ140" s="34"/>
      <c r="JQA140" s="34"/>
      <c r="JQB140" s="34"/>
      <c r="JQC140" s="34"/>
      <c r="JQD140" s="34"/>
      <c r="JQE140" s="34"/>
      <c r="JQF140" s="34"/>
      <c r="JQG140" s="34"/>
      <c r="JQH140" s="34"/>
      <c r="JQI140" s="34"/>
      <c r="JQJ140" s="34"/>
      <c r="JQK140" s="34"/>
      <c r="JQL140" s="34"/>
      <c r="JQM140" s="34"/>
      <c r="JQN140" s="34"/>
      <c r="JQO140" s="34"/>
      <c r="JQP140" s="34"/>
      <c r="JQQ140" s="34"/>
      <c r="JQR140" s="34"/>
      <c r="JQS140" s="34"/>
      <c r="JQT140" s="34"/>
      <c r="JQU140" s="34"/>
      <c r="JQV140" s="34"/>
      <c r="JQW140" s="34"/>
      <c r="JQX140" s="34"/>
      <c r="JQY140" s="34"/>
      <c r="JQZ140" s="34"/>
      <c r="JRA140" s="34"/>
      <c r="JRB140" s="34"/>
      <c r="JRC140" s="34"/>
      <c r="JRD140" s="34"/>
      <c r="JRE140" s="34"/>
      <c r="JRF140" s="34"/>
      <c r="JRG140" s="34"/>
      <c r="JRH140" s="34"/>
      <c r="JRI140" s="34"/>
      <c r="JRJ140" s="34"/>
      <c r="JRK140" s="34"/>
      <c r="JRL140" s="34"/>
      <c r="JRM140" s="34"/>
      <c r="JRN140" s="34"/>
      <c r="JRO140" s="34"/>
      <c r="JRP140" s="34"/>
      <c r="JRQ140" s="34"/>
      <c r="JRR140" s="34"/>
      <c r="JRS140" s="34"/>
      <c r="JRT140" s="34"/>
      <c r="JRU140" s="34"/>
      <c r="JRV140" s="34"/>
      <c r="JRW140" s="34"/>
      <c r="JRX140" s="34"/>
      <c r="JRY140" s="34"/>
      <c r="JRZ140" s="34"/>
      <c r="JSA140" s="34"/>
      <c r="JSB140" s="34"/>
      <c r="JSC140" s="34"/>
      <c r="JSD140" s="34"/>
      <c r="JSE140" s="34"/>
      <c r="JSF140" s="34"/>
      <c r="JSG140" s="34"/>
      <c r="JSH140" s="34"/>
      <c r="JSI140" s="34"/>
      <c r="JSJ140" s="34"/>
      <c r="JSK140" s="34"/>
      <c r="JSL140" s="34"/>
      <c r="JSM140" s="34"/>
      <c r="JSN140" s="34"/>
      <c r="JSO140" s="34"/>
      <c r="JSP140" s="34"/>
      <c r="JSQ140" s="34"/>
      <c r="JSR140" s="34"/>
      <c r="JSS140" s="34"/>
      <c r="JST140" s="34"/>
      <c r="JSU140" s="34"/>
      <c r="JSV140" s="34"/>
      <c r="JSW140" s="34"/>
      <c r="JSX140" s="34"/>
      <c r="JSY140" s="34"/>
      <c r="JSZ140" s="34"/>
      <c r="JTA140" s="34"/>
      <c r="JTB140" s="34"/>
      <c r="JTC140" s="34"/>
      <c r="JTD140" s="34"/>
      <c r="JTE140" s="34"/>
      <c r="JTF140" s="34"/>
      <c r="JTG140" s="34"/>
      <c r="JTH140" s="34"/>
      <c r="JTI140" s="34"/>
      <c r="JTJ140" s="34"/>
      <c r="JTK140" s="34"/>
      <c r="JTL140" s="34"/>
      <c r="JTM140" s="34"/>
      <c r="JTN140" s="34"/>
      <c r="JTO140" s="34"/>
      <c r="JTP140" s="34"/>
      <c r="JTQ140" s="34"/>
      <c r="JTR140" s="34"/>
      <c r="JTS140" s="34"/>
      <c r="JTT140" s="34"/>
      <c r="JTU140" s="34"/>
      <c r="JTV140" s="34"/>
      <c r="JTW140" s="34"/>
      <c r="JTX140" s="34"/>
      <c r="JTY140" s="34"/>
      <c r="JTZ140" s="34"/>
      <c r="JUA140" s="34"/>
      <c r="JUB140" s="34"/>
      <c r="JUC140" s="34"/>
      <c r="JUD140" s="34"/>
      <c r="JUE140" s="34"/>
      <c r="JUF140" s="34"/>
      <c r="JUG140" s="34"/>
      <c r="JUH140" s="34"/>
      <c r="JUI140" s="34"/>
      <c r="JUJ140" s="34"/>
      <c r="JUK140" s="34"/>
      <c r="JUL140" s="34"/>
      <c r="JUM140" s="34"/>
      <c r="JUN140" s="34"/>
      <c r="JUO140" s="34"/>
      <c r="JUP140" s="34"/>
      <c r="JUQ140" s="34"/>
      <c r="JUR140" s="34"/>
      <c r="JUS140" s="34"/>
      <c r="JUT140" s="34"/>
      <c r="JUU140" s="34"/>
      <c r="JUV140" s="34"/>
      <c r="JUW140" s="34"/>
      <c r="JUX140" s="34"/>
      <c r="JUY140" s="34"/>
      <c r="JUZ140" s="34"/>
      <c r="JVA140" s="34"/>
      <c r="JVB140" s="34"/>
      <c r="JVC140" s="34"/>
      <c r="JVD140" s="34"/>
      <c r="JVE140" s="34"/>
      <c r="JVF140" s="34"/>
      <c r="JVG140" s="34"/>
      <c r="JVH140" s="34"/>
      <c r="JVI140" s="34"/>
      <c r="JVJ140" s="34"/>
      <c r="JVK140" s="34"/>
      <c r="JVL140" s="34"/>
      <c r="JVM140" s="34"/>
      <c r="JVN140" s="34"/>
      <c r="JVO140" s="34"/>
      <c r="JVP140" s="34"/>
      <c r="JVQ140" s="34"/>
      <c r="JVR140" s="34"/>
      <c r="JVS140" s="34"/>
      <c r="JVT140" s="34"/>
      <c r="JVU140" s="34"/>
      <c r="JVV140" s="34"/>
      <c r="JVW140" s="34"/>
      <c r="JVX140" s="34"/>
      <c r="JVY140" s="34"/>
      <c r="JVZ140" s="34"/>
      <c r="JWA140" s="34"/>
      <c r="JWB140" s="34"/>
      <c r="JWC140" s="34"/>
      <c r="JWD140" s="34"/>
      <c r="JWE140" s="34"/>
      <c r="JWF140" s="34"/>
      <c r="JWG140" s="34"/>
      <c r="JWH140" s="34"/>
      <c r="JWI140" s="34"/>
      <c r="JWJ140" s="34"/>
      <c r="JWK140" s="34"/>
      <c r="JWL140" s="34"/>
      <c r="JWM140" s="34"/>
      <c r="JWN140" s="34"/>
      <c r="JWO140" s="34"/>
      <c r="JWP140" s="34"/>
      <c r="JWQ140" s="34"/>
      <c r="JWR140" s="34"/>
      <c r="JWS140" s="34"/>
      <c r="JWT140" s="34"/>
      <c r="JWU140" s="34"/>
      <c r="JWV140" s="34"/>
      <c r="JWW140" s="34"/>
      <c r="JWX140" s="34"/>
      <c r="JWY140" s="34"/>
      <c r="JWZ140" s="34"/>
      <c r="JXA140" s="34"/>
      <c r="JXB140" s="34"/>
      <c r="JXC140" s="34"/>
      <c r="JXD140" s="34"/>
      <c r="JXE140" s="34"/>
      <c r="JXF140" s="34"/>
      <c r="JXG140" s="34"/>
      <c r="JXH140" s="34"/>
      <c r="JXI140" s="34"/>
      <c r="JXJ140" s="34"/>
      <c r="JXK140" s="34"/>
      <c r="JXL140" s="34"/>
      <c r="JXM140" s="34"/>
      <c r="JXN140" s="34"/>
      <c r="JXO140" s="34"/>
      <c r="JXP140" s="34"/>
      <c r="JXQ140" s="34"/>
      <c r="JXR140" s="34"/>
      <c r="JXS140" s="34"/>
      <c r="JXT140" s="34"/>
      <c r="JXU140" s="34"/>
      <c r="JXV140" s="34"/>
      <c r="JXW140" s="34"/>
      <c r="JXX140" s="34"/>
      <c r="JXY140" s="34"/>
      <c r="JXZ140" s="34"/>
      <c r="JYA140" s="34"/>
      <c r="JYB140" s="34"/>
      <c r="JYC140" s="34"/>
      <c r="JYD140" s="34"/>
      <c r="JYE140" s="34"/>
      <c r="JYF140" s="34"/>
      <c r="JYG140" s="34"/>
      <c r="JYH140" s="34"/>
      <c r="JYI140" s="34"/>
      <c r="JYJ140" s="34"/>
      <c r="JYK140" s="34"/>
      <c r="JYL140" s="34"/>
      <c r="JYM140" s="34"/>
      <c r="JYN140" s="34"/>
      <c r="JYO140" s="34"/>
      <c r="JYP140" s="34"/>
      <c r="JYQ140" s="34"/>
      <c r="JYR140" s="34"/>
      <c r="JYS140" s="34"/>
      <c r="JYT140" s="34"/>
      <c r="JYU140" s="34"/>
      <c r="JYV140" s="34"/>
      <c r="JYW140" s="34"/>
      <c r="JYX140" s="34"/>
      <c r="JYY140" s="34"/>
      <c r="JYZ140" s="34"/>
      <c r="JZA140" s="34"/>
      <c r="JZB140" s="34"/>
      <c r="JZC140" s="34"/>
      <c r="JZD140" s="34"/>
      <c r="JZE140" s="34"/>
      <c r="JZF140" s="34"/>
      <c r="JZG140" s="34"/>
      <c r="JZH140" s="34"/>
      <c r="JZI140" s="34"/>
      <c r="JZJ140" s="34"/>
      <c r="JZK140" s="34"/>
      <c r="JZL140" s="34"/>
      <c r="JZM140" s="34"/>
      <c r="JZN140" s="34"/>
      <c r="JZO140" s="34"/>
      <c r="JZP140" s="34"/>
      <c r="JZQ140" s="34"/>
      <c r="JZR140" s="34"/>
      <c r="JZS140" s="34"/>
      <c r="JZT140" s="34"/>
      <c r="JZU140" s="34"/>
      <c r="JZV140" s="34"/>
      <c r="JZW140" s="34"/>
      <c r="JZX140" s="34"/>
      <c r="JZY140" s="34"/>
      <c r="JZZ140" s="34"/>
      <c r="KAA140" s="34"/>
      <c r="KAB140" s="34"/>
      <c r="KAC140" s="34"/>
      <c r="KAD140" s="34"/>
      <c r="KAE140" s="34"/>
      <c r="KAF140" s="34"/>
      <c r="KAG140" s="34"/>
      <c r="KAH140" s="34"/>
      <c r="KAI140" s="34"/>
      <c r="KAJ140" s="34"/>
      <c r="KAK140" s="34"/>
      <c r="KAL140" s="34"/>
      <c r="KAM140" s="34"/>
      <c r="KAN140" s="34"/>
      <c r="KAO140" s="34"/>
      <c r="KAP140" s="34"/>
      <c r="KAQ140" s="34"/>
      <c r="KAR140" s="34"/>
      <c r="KAS140" s="34"/>
      <c r="KAT140" s="34"/>
      <c r="KAU140" s="34"/>
      <c r="KAV140" s="34"/>
      <c r="KAW140" s="34"/>
      <c r="KAX140" s="34"/>
      <c r="KAY140" s="34"/>
      <c r="KAZ140" s="34"/>
      <c r="KBA140" s="34"/>
      <c r="KBB140" s="34"/>
      <c r="KBC140" s="34"/>
      <c r="KBD140" s="34"/>
      <c r="KBE140" s="34"/>
      <c r="KBF140" s="34"/>
      <c r="KBG140" s="34"/>
      <c r="KBH140" s="34"/>
      <c r="KBI140" s="34"/>
      <c r="KBJ140" s="34"/>
      <c r="KBK140" s="34"/>
      <c r="KBL140" s="34"/>
      <c r="KBM140" s="34"/>
      <c r="KBN140" s="34"/>
      <c r="KBO140" s="34"/>
      <c r="KBP140" s="34"/>
      <c r="KBQ140" s="34"/>
      <c r="KBR140" s="34"/>
      <c r="KBS140" s="34"/>
      <c r="KBT140" s="34"/>
      <c r="KBU140" s="34"/>
      <c r="KBV140" s="34"/>
      <c r="KBW140" s="34"/>
      <c r="KBX140" s="34"/>
      <c r="KBY140" s="34"/>
      <c r="KBZ140" s="34"/>
      <c r="KCA140" s="34"/>
      <c r="KCB140" s="34"/>
      <c r="KCC140" s="34"/>
      <c r="KCD140" s="34"/>
      <c r="KCE140" s="34"/>
      <c r="KCF140" s="34"/>
      <c r="KCG140" s="34"/>
      <c r="KCH140" s="34"/>
      <c r="KCI140" s="34"/>
      <c r="KCJ140" s="34"/>
      <c r="KCK140" s="34"/>
      <c r="KCL140" s="34"/>
      <c r="KCM140" s="34"/>
      <c r="KCN140" s="34"/>
      <c r="KCO140" s="34"/>
      <c r="KCP140" s="34"/>
      <c r="KCQ140" s="34"/>
      <c r="KCR140" s="34"/>
      <c r="KCS140" s="34"/>
      <c r="KCT140" s="34"/>
      <c r="KCU140" s="34"/>
      <c r="KCV140" s="34"/>
      <c r="KCW140" s="34"/>
      <c r="KCX140" s="34"/>
      <c r="KCY140" s="34"/>
      <c r="KCZ140" s="34"/>
      <c r="KDA140" s="34"/>
      <c r="KDB140" s="34"/>
      <c r="KDC140" s="34"/>
      <c r="KDD140" s="34"/>
      <c r="KDE140" s="34"/>
      <c r="KDF140" s="34"/>
      <c r="KDG140" s="34"/>
      <c r="KDH140" s="34"/>
      <c r="KDI140" s="34"/>
      <c r="KDJ140" s="34"/>
      <c r="KDK140" s="34"/>
      <c r="KDL140" s="34"/>
      <c r="KDM140" s="34"/>
      <c r="KDN140" s="34"/>
      <c r="KDO140" s="34"/>
      <c r="KDP140" s="34"/>
      <c r="KDQ140" s="34"/>
      <c r="KDR140" s="34"/>
      <c r="KDS140" s="34"/>
      <c r="KDT140" s="34"/>
      <c r="KDU140" s="34"/>
      <c r="KDV140" s="34"/>
      <c r="KDW140" s="34"/>
      <c r="KDX140" s="34"/>
      <c r="KDY140" s="34"/>
      <c r="KDZ140" s="34"/>
      <c r="KEA140" s="34"/>
      <c r="KEB140" s="34"/>
      <c r="KEC140" s="34"/>
      <c r="KED140" s="34"/>
      <c r="KEE140" s="34"/>
      <c r="KEF140" s="34"/>
      <c r="KEG140" s="34"/>
      <c r="KEH140" s="34"/>
      <c r="KEI140" s="34"/>
      <c r="KEJ140" s="34"/>
      <c r="KEK140" s="34"/>
      <c r="KEL140" s="34"/>
      <c r="KEM140" s="34"/>
      <c r="KEN140" s="34"/>
      <c r="KEO140" s="34"/>
      <c r="KEP140" s="34"/>
      <c r="KEQ140" s="34"/>
      <c r="KER140" s="34"/>
      <c r="KES140" s="34"/>
      <c r="KET140" s="34"/>
      <c r="KEU140" s="34"/>
      <c r="KEV140" s="34"/>
      <c r="KEW140" s="34"/>
      <c r="KEX140" s="34"/>
      <c r="KEY140" s="34"/>
      <c r="KEZ140" s="34"/>
      <c r="KFA140" s="34"/>
      <c r="KFB140" s="34"/>
      <c r="KFC140" s="34"/>
      <c r="KFD140" s="34"/>
      <c r="KFE140" s="34"/>
      <c r="KFF140" s="34"/>
      <c r="KFG140" s="34"/>
      <c r="KFH140" s="34"/>
      <c r="KFI140" s="34"/>
      <c r="KFJ140" s="34"/>
      <c r="KFK140" s="34"/>
      <c r="KFL140" s="34"/>
      <c r="KFM140" s="34"/>
      <c r="KFN140" s="34"/>
      <c r="KFO140" s="34"/>
      <c r="KFP140" s="34"/>
      <c r="KFQ140" s="34"/>
      <c r="KFR140" s="34"/>
      <c r="KFS140" s="34"/>
      <c r="KFT140" s="34"/>
      <c r="KFU140" s="34"/>
      <c r="KFV140" s="34"/>
      <c r="KFW140" s="34"/>
      <c r="KFX140" s="34"/>
      <c r="KFY140" s="34"/>
      <c r="KFZ140" s="34"/>
      <c r="KGA140" s="34"/>
      <c r="KGB140" s="34"/>
      <c r="KGC140" s="34"/>
      <c r="KGD140" s="34"/>
      <c r="KGE140" s="34"/>
      <c r="KGF140" s="34"/>
      <c r="KGG140" s="34"/>
      <c r="KGH140" s="34"/>
      <c r="KGI140" s="34"/>
      <c r="KGJ140" s="34"/>
      <c r="KGK140" s="34"/>
      <c r="KGL140" s="34"/>
      <c r="KGM140" s="34"/>
      <c r="KGN140" s="34"/>
      <c r="KGO140" s="34"/>
      <c r="KGP140" s="34"/>
      <c r="KGQ140" s="34"/>
      <c r="KGR140" s="34"/>
      <c r="KGS140" s="34"/>
      <c r="KGT140" s="34"/>
      <c r="KGU140" s="34"/>
      <c r="KGV140" s="34"/>
      <c r="KGW140" s="34"/>
      <c r="KGX140" s="34"/>
      <c r="KGY140" s="34"/>
      <c r="KGZ140" s="34"/>
      <c r="KHA140" s="34"/>
      <c r="KHB140" s="34"/>
      <c r="KHC140" s="34"/>
      <c r="KHD140" s="34"/>
      <c r="KHE140" s="34"/>
      <c r="KHF140" s="34"/>
      <c r="KHG140" s="34"/>
      <c r="KHH140" s="34"/>
      <c r="KHI140" s="34"/>
      <c r="KHJ140" s="34"/>
      <c r="KHK140" s="34"/>
      <c r="KHL140" s="34"/>
      <c r="KHM140" s="34"/>
      <c r="KHN140" s="34"/>
      <c r="KHO140" s="34"/>
      <c r="KHP140" s="34"/>
      <c r="KHQ140" s="34"/>
      <c r="KHR140" s="34"/>
      <c r="KHS140" s="34"/>
      <c r="KHT140" s="34"/>
      <c r="KHU140" s="34"/>
      <c r="KHV140" s="34"/>
      <c r="KHW140" s="34"/>
      <c r="KHX140" s="34"/>
      <c r="KHY140" s="34"/>
      <c r="KHZ140" s="34"/>
      <c r="KIA140" s="34"/>
      <c r="KIB140" s="34"/>
      <c r="KIC140" s="34"/>
      <c r="KID140" s="34"/>
      <c r="KIE140" s="34"/>
      <c r="KIF140" s="34"/>
      <c r="KIG140" s="34"/>
      <c r="KIH140" s="34"/>
      <c r="KII140" s="34"/>
      <c r="KIJ140" s="34"/>
      <c r="KIK140" s="34"/>
      <c r="KIL140" s="34"/>
      <c r="KIM140" s="34"/>
      <c r="KIN140" s="34"/>
      <c r="KIO140" s="34"/>
      <c r="KIP140" s="34"/>
      <c r="KIQ140" s="34"/>
      <c r="KIR140" s="34"/>
      <c r="KIS140" s="34"/>
      <c r="KIT140" s="34"/>
      <c r="KIU140" s="34"/>
      <c r="KIV140" s="34"/>
      <c r="KIW140" s="34"/>
      <c r="KIX140" s="34"/>
      <c r="KIY140" s="34"/>
      <c r="KIZ140" s="34"/>
      <c r="KJA140" s="34"/>
      <c r="KJB140" s="34"/>
      <c r="KJC140" s="34"/>
      <c r="KJD140" s="34"/>
      <c r="KJE140" s="34"/>
      <c r="KJF140" s="34"/>
      <c r="KJG140" s="34"/>
      <c r="KJH140" s="34"/>
      <c r="KJI140" s="34"/>
      <c r="KJJ140" s="34"/>
      <c r="KJK140" s="34"/>
      <c r="KJL140" s="34"/>
      <c r="KJM140" s="34"/>
      <c r="KJN140" s="34"/>
      <c r="KJO140" s="34"/>
      <c r="KJP140" s="34"/>
      <c r="KJQ140" s="34"/>
      <c r="KJR140" s="34"/>
      <c r="KJS140" s="34"/>
      <c r="KJT140" s="34"/>
      <c r="KJU140" s="34"/>
      <c r="KJV140" s="34"/>
      <c r="KJW140" s="34"/>
      <c r="KJX140" s="34"/>
      <c r="KJY140" s="34"/>
      <c r="KJZ140" s="34"/>
      <c r="KKA140" s="34"/>
      <c r="KKB140" s="34"/>
      <c r="KKC140" s="34"/>
      <c r="KKD140" s="34"/>
      <c r="KKE140" s="34"/>
      <c r="KKF140" s="34"/>
      <c r="KKG140" s="34"/>
      <c r="KKH140" s="34"/>
      <c r="KKI140" s="34"/>
      <c r="KKJ140" s="34"/>
      <c r="KKK140" s="34"/>
      <c r="KKL140" s="34"/>
      <c r="KKM140" s="34"/>
      <c r="KKN140" s="34"/>
      <c r="KKO140" s="34"/>
      <c r="KKP140" s="34"/>
      <c r="KKQ140" s="34"/>
      <c r="KKR140" s="34"/>
      <c r="KKS140" s="34"/>
      <c r="KKT140" s="34"/>
      <c r="KKU140" s="34"/>
      <c r="KKV140" s="34"/>
      <c r="KKW140" s="34"/>
      <c r="KKX140" s="34"/>
      <c r="KKY140" s="34"/>
      <c r="KKZ140" s="34"/>
      <c r="KLA140" s="34"/>
      <c r="KLB140" s="34"/>
      <c r="KLC140" s="34"/>
      <c r="KLD140" s="34"/>
      <c r="KLE140" s="34"/>
      <c r="KLF140" s="34"/>
      <c r="KLG140" s="34"/>
      <c r="KLH140" s="34"/>
      <c r="KLI140" s="34"/>
      <c r="KLJ140" s="34"/>
      <c r="KLK140" s="34"/>
      <c r="KLL140" s="34"/>
      <c r="KLM140" s="34"/>
      <c r="KLN140" s="34"/>
      <c r="KLO140" s="34"/>
      <c r="KLP140" s="34"/>
      <c r="KLQ140" s="34"/>
      <c r="KLR140" s="34"/>
      <c r="KLS140" s="34"/>
      <c r="KLT140" s="34"/>
      <c r="KLU140" s="34"/>
      <c r="KLV140" s="34"/>
      <c r="KLW140" s="34"/>
      <c r="KLX140" s="34"/>
      <c r="KLY140" s="34"/>
      <c r="KLZ140" s="34"/>
      <c r="KMA140" s="34"/>
      <c r="KMB140" s="34"/>
      <c r="KMC140" s="34"/>
      <c r="KMD140" s="34"/>
      <c r="KME140" s="34"/>
      <c r="KMF140" s="34"/>
      <c r="KMG140" s="34"/>
      <c r="KMH140" s="34"/>
      <c r="KMI140" s="34"/>
      <c r="KMJ140" s="34"/>
      <c r="KMK140" s="34"/>
      <c r="KML140" s="34"/>
      <c r="KMM140" s="34"/>
      <c r="KMN140" s="34"/>
      <c r="KMO140" s="34"/>
      <c r="KMP140" s="34"/>
      <c r="KMQ140" s="34"/>
      <c r="KMR140" s="34"/>
      <c r="KMS140" s="34"/>
      <c r="KMT140" s="34"/>
      <c r="KMU140" s="34"/>
      <c r="KMV140" s="34"/>
      <c r="KMW140" s="34"/>
      <c r="KMX140" s="34"/>
      <c r="KMY140" s="34"/>
      <c r="KMZ140" s="34"/>
      <c r="KNA140" s="34"/>
      <c r="KNB140" s="34"/>
      <c r="KNC140" s="34"/>
      <c r="KND140" s="34"/>
      <c r="KNE140" s="34"/>
      <c r="KNF140" s="34"/>
      <c r="KNG140" s="34"/>
      <c r="KNH140" s="34"/>
      <c r="KNI140" s="34"/>
      <c r="KNJ140" s="34"/>
      <c r="KNK140" s="34"/>
      <c r="KNL140" s="34"/>
      <c r="KNM140" s="34"/>
      <c r="KNN140" s="34"/>
      <c r="KNO140" s="34"/>
      <c r="KNP140" s="34"/>
      <c r="KNQ140" s="34"/>
      <c r="KNR140" s="34"/>
      <c r="KNS140" s="34"/>
      <c r="KNT140" s="34"/>
      <c r="KNU140" s="34"/>
      <c r="KNV140" s="34"/>
      <c r="KNW140" s="34"/>
      <c r="KNX140" s="34"/>
      <c r="KNY140" s="34"/>
      <c r="KNZ140" s="34"/>
      <c r="KOA140" s="34"/>
      <c r="KOB140" s="34"/>
      <c r="KOC140" s="34"/>
      <c r="KOD140" s="34"/>
      <c r="KOE140" s="34"/>
      <c r="KOF140" s="34"/>
      <c r="KOG140" s="34"/>
      <c r="KOH140" s="34"/>
      <c r="KOI140" s="34"/>
      <c r="KOJ140" s="34"/>
      <c r="KOK140" s="34"/>
      <c r="KOL140" s="34"/>
      <c r="KOM140" s="34"/>
      <c r="KON140" s="34"/>
      <c r="KOO140" s="34"/>
      <c r="KOP140" s="34"/>
      <c r="KOQ140" s="34"/>
      <c r="KOR140" s="34"/>
      <c r="KOS140" s="34"/>
      <c r="KOT140" s="34"/>
      <c r="KOU140" s="34"/>
      <c r="KOV140" s="34"/>
      <c r="KOW140" s="34"/>
      <c r="KOX140" s="34"/>
      <c r="KOY140" s="34"/>
      <c r="KOZ140" s="34"/>
      <c r="KPA140" s="34"/>
      <c r="KPB140" s="34"/>
      <c r="KPC140" s="34"/>
      <c r="KPD140" s="34"/>
      <c r="KPE140" s="34"/>
      <c r="KPF140" s="34"/>
      <c r="KPG140" s="34"/>
      <c r="KPH140" s="34"/>
      <c r="KPI140" s="34"/>
      <c r="KPJ140" s="34"/>
      <c r="KPK140" s="34"/>
      <c r="KPL140" s="34"/>
      <c r="KPM140" s="34"/>
      <c r="KPN140" s="34"/>
      <c r="KPO140" s="34"/>
      <c r="KPP140" s="34"/>
      <c r="KPQ140" s="34"/>
      <c r="KPR140" s="34"/>
      <c r="KPS140" s="34"/>
      <c r="KPT140" s="34"/>
      <c r="KPU140" s="34"/>
      <c r="KPV140" s="34"/>
      <c r="KPW140" s="34"/>
      <c r="KPX140" s="34"/>
      <c r="KPY140" s="34"/>
      <c r="KPZ140" s="34"/>
      <c r="KQA140" s="34"/>
      <c r="KQB140" s="34"/>
      <c r="KQC140" s="34"/>
      <c r="KQD140" s="34"/>
      <c r="KQE140" s="34"/>
      <c r="KQF140" s="34"/>
      <c r="KQG140" s="34"/>
      <c r="KQH140" s="34"/>
      <c r="KQI140" s="34"/>
      <c r="KQJ140" s="34"/>
      <c r="KQK140" s="34"/>
      <c r="KQL140" s="34"/>
      <c r="KQM140" s="34"/>
      <c r="KQN140" s="34"/>
      <c r="KQO140" s="34"/>
      <c r="KQP140" s="34"/>
      <c r="KQQ140" s="34"/>
      <c r="KQR140" s="34"/>
      <c r="KQS140" s="34"/>
      <c r="KQT140" s="34"/>
      <c r="KQU140" s="34"/>
      <c r="KQV140" s="34"/>
      <c r="KQW140" s="34"/>
      <c r="KQX140" s="34"/>
      <c r="KQY140" s="34"/>
      <c r="KQZ140" s="34"/>
      <c r="KRA140" s="34"/>
      <c r="KRB140" s="34"/>
      <c r="KRC140" s="34"/>
      <c r="KRD140" s="34"/>
      <c r="KRE140" s="34"/>
      <c r="KRF140" s="34"/>
      <c r="KRG140" s="34"/>
      <c r="KRH140" s="34"/>
      <c r="KRI140" s="34"/>
      <c r="KRJ140" s="34"/>
      <c r="KRK140" s="34"/>
      <c r="KRL140" s="34"/>
      <c r="KRM140" s="34"/>
      <c r="KRN140" s="34"/>
      <c r="KRO140" s="34"/>
      <c r="KRP140" s="34"/>
      <c r="KRQ140" s="34"/>
      <c r="KRR140" s="34"/>
      <c r="KRS140" s="34"/>
      <c r="KRT140" s="34"/>
      <c r="KRU140" s="34"/>
      <c r="KRV140" s="34"/>
      <c r="KRW140" s="34"/>
      <c r="KRX140" s="34"/>
      <c r="KRY140" s="34"/>
      <c r="KRZ140" s="34"/>
      <c r="KSA140" s="34"/>
      <c r="KSB140" s="34"/>
      <c r="KSC140" s="34"/>
      <c r="KSD140" s="34"/>
      <c r="KSE140" s="34"/>
      <c r="KSF140" s="34"/>
      <c r="KSG140" s="34"/>
      <c r="KSH140" s="34"/>
      <c r="KSI140" s="34"/>
      <c r="KSJ140" s="34"/>
      <c r="KSK140" s="34"/>
      <c r="KSL140" s="34"/>
      <c r="KSM140" s="34"/>
      <c r="KSN140" s="34"/>
      <c r="KSO140" s="34"/>
      <c r="KSP140" s="34"/>
      <c r="KSQ140" s="34"/>
      <c r="KSR140" s="34"/>
      <c r="KSS140" s="34"/>
      <c r="KST140" s="34"/>
      <c r="KSU140" s="34"/>
      <c r="KSV140" s="34"/>
      <c r="KSW140" s="34"/>
      <c r="KSX140" s="34"/>
      <c r="KSY140" s="34"/>
      <c r="KSZ140" s="34"/>
      <c r="KTA140" s="34"/>
      <c r="KTB140" s="34"/>
      <c r="KTC140" s="34"/>
      <c r="KTD140" s="34"/>
      <c r="KTE140" s="34"/>
      <c r="KTF140" s="34"/>
      <c r="KTG140" s="34"/>
      <c r="KTH140" s="34"/>
      <c r="KTI140" s="34"/>
      <c r="KTJ140" s="34"/>
      <c r="KTK140" s="34"/>
      <c r="KTL140" s="34"/>
      <c r="KTM140" s="34"/>
      <c r="KTN140" s="34"/>
      <c r="KTO140" s="34"/>
      <c r="KTP140" s="34"/>
      <c r="KTQ140" s="34"/>
      <c r="KTR140" s="34"/>
      <c r="KTS140" s="34"/>
      <c r="KTT140" s="34"/>
      <c r="KTU140" s="34"/>
      <c r="KTV140" s="34"/>
      <c r="KTW140" s="34"/>
      <c r="KTX140" s="34"/>
      <c r="KTY140" s="34"/>
      <c r="KTZ140" s="34"/>
      <c r="KUA140" s="34"/>
      <c r="KUB140" s="34"/>
      <c r="KUC140" s="34"/>
      <c r="KUD140" s="34"/>
      <c r="KUE140" s="34"/>
      <c r="KUF140" s="34"/>
      <c r="KUG140" s="34"/>
      <c r="KUH140" s="34"/>
      <c r="KUI140" s="34"/>
      <c r="KUJ140" s="34"/>
      <c r="KUK140" s="34"/>
      <c r="KUL140" s="34"/>
      <c r="KUM140" s="34"/>
      <c r="KUN140" s="34"/>
      <c r="KUO140" s="34"/>
      <c r="KUP140" s="34"/>
      <c r="KUQ140" s="34"/>
      <c r="KUR140" s="34"/>
      <c r="KUS140" s="34"/>
      <c r="KUT140" s="34"/>
      <c r="KUU140" s="34"/>
      <c r="KUV140" s="34"/>
      <c r="KUW140" s="34"/>
      <c r="KUX140" s="34"/>
      <c r="KUY140" s="34"/>
      <c r="KUZ140" s="34"/>
      <c r="KVA140" s="34"/>
      <c r="KVB140" s="34"/>
      <c r="KVC140" s="34"/>
      <c r="KVD140" s="34"/>
      <c r="KVE140" s="34"/>
      <c r="KVF140" s="34"/>
      <c r="KVG140" s="34"/>
      <c r="KVH140" s="34"/>
      <c r="KVI140" s="34"/>
      <c r="KVJ140" s="34"/>
      <c r="KVK140" s="34"/>
      <c r="KVL140" s="34"/>
      <c r="KVM140" s="34"/>
      <c r="KVN140" s="34"/>
      <c r="KVO140" s="34"/>
      <c r="KVP140" s="34"/>
      <c r="KVQ140" s="34"/>
      <c r="KVR140" s="34"/>
      <c r="KVS140" s="34"/>
      <c r="KVT140" s="34"/>
      <c r="KVU140" s="34"/>
      <c r="KVV140" s="34"/>
      <c r="KVW140" s="34"/>
      <c r="KVX140" s="34"/>
      <c r="KVY140" s="34"/>
      <c r="KVZ140" s="34"/>
      <c r="KWA140" s="34"/>
      <c r="KWB140" s="34"/>
      <c r="KWC140" s="34"/>
      <c r="KWD140" s="34"/>
      <c r="KWE140" s="34"/>
      <c r="KWF140" s="34"/>
      <c r="KWG140" s="34"/>
      <c r="KWH140" s="34"/>
      <c r="KWI140" s="34"/>
      <c r="KWJ140" s="34"/>
      <c r="KWK140" s="34"/>
      <c r="KWL140" s="34"/>
      <c r="KWM140" s="34"/>
      <c r="KWN140" s="34"/>
      <c r="KWO140" s="34"/>
      <c r="KWP140" s="34"/>
      <c r="KWQ140" s="34"/>
      <c r="KWR140" s="34"/>
      <c r="KWS140" s="34"/>
      <c r="KWT140" s="34"/>
      <c r="KWU140" s="34"/>
      <c r="KWV140" s="34"/>
      <c r="KWW140" s="34"/>
      <c r="KWX140" s="34"/>
      <c r="KWY140" s="34"/>
      <c r="KWZ140" s="34"/>
      <c r="KXA140" s="34"/>
      <c r="KXB140" s="34"/>
      <c r="KXC140" s="34"/>
      <c r="KXD140" s="34"/>
      <c r="KXE140" s="34"/>
      <c r="KXF140" s="34"/>
      <c r="KXG140" s="34"/>
      <c r="KXH140" s="34"/>
      <c r="KXI140" s="34"/>
      <c r="KXJ140" s="34"/>
      <c r="KXK140" s="34"/>
      <c r="KXL140" s="34"/>
      <c r="KXM140" s="34"/>
      <c r="KXN140" s="34"/>
      <c r="KXO140" s="34"/>
      <c r="KXP140" s="34"/>
      <c r="KXQ140" s="34"/>
      <c r="KXR140" s="34"/>
      <c r="KXS140" s="34"/>
      <c r="KXT140" s="34"/>
      <c r="KXU140" s="34"/>
      <c r="KXV140" s="34"/>
      <c r="KXW140" s="34"/>
      <c r="KXX140" s="34"/>
      <c r="KXY140" s="34"/>
      <c r="KXZ140" s="34"/>
      <c r="KYA140" s="34"/>
      <c r="KYB140" s="34"/>
      <c r="KYC140" s="34"/>
      <c r="KYD140" s="34"/>
      <c r="KYE140" s="34"/>
      <c r="KYF140" s="34"/>
      <c r="KYG140" s="34"/>
      <c r="KYH140" s="34"/>
      <c r="KYI140" s="34"/>
      <c r="KYJ140" s="34"/>
      <c r="KYK140" s="34"/>
      <c r="KYL140" s="34"/>
      <c r="KYM140" s="34"/>
      <c r="KYN140" s="34"/>
      <c r="KYO140" s="34"/>
      <c r="KYP140" s="34"/>
      <c r="KYQ140" s="34"/>
      <c r="KYR140" s="34"/>
      <c r="KYS140" s="34"/>
      <c r="KYT140" s="34"/>
      <c r="KYU140" s="34"/>
      <c r="KYV140" s="34"/>
      <c r="KYW140" s="34"/>
      <c r="KYX140" s="34"/>
      <c r="KYY140" s="34"/>
      <c r="KYZ140" s="34"/>
      <c r="KZA140" s="34"/>
      <c r="KZB140" s="34"/>
      <c r="KZC140" s="34"/>
      <c r="KZD140" s="34"/>
      <c r="KZE140" s="34"/>
      <c r="KZF140" s="34"/>
      <c r="KZG140" s="34"/>
      <c r="KZH140" s="34"/>
      <c r="KZI140" s="34"/>
      <c r="KZJ140" s="34"/>
      <c r="KZK140" s="34"/>
      <c r="KZL140" s="34"/>
      <c r="KZM140" s="34"/>
      <c r="KZN140" s="34"/>
      <c r="KZO140" s="34"/>
      <c r="KZP140" s="34"/>
      <c r="KZQ140" s="34"/>
      <c r="KZR140" s="34"/>
      <c r="KZS140" s="34"/>
      <c r="KZT140" s="34"/>
      <c r="KZU140" s="34"/>
      <c r="KZV140" s="34"/>
      <c r="KZW140" s="34"/>
      <c r="KZX140" s="34"/>
      <c r="KZY140" s="34"/>
      <c r="KZZ140" s="34"/>
      <c r="LAA140" s="34"/>
      <c r="LAB140" s="34"/>
      <c r="LAC140" s="34"/>
      <c r="LAD140" s="34"/>
      <c r="LAE140" s="34"/>
      <c r="LAF140" s="34"/>
      <c r="LAG140" s="34"/>
      <c r="LAH140" s="34"/>
      <c r="LAI140" s="34"/>
      <c r="LAJ140" s="34"/>
      <c r="LAK140" s="34"/>
      <c r="LAL140" s="34"/>
      <c r="LAM140" s="34"/>
      <c r="LAN140" s="34"/>
      <c r="LAO140" s="34"/>
      <c r="LAP140" s="34"/>
      <c r="LAQ140" s="34"/>
      <c r="LAR140" s="34"/>
      <c r="LAS140" s="34"/>
      <c r="LAT140" s="34"/>
      <c r="LAU140" s="34"/>
      <c r="LAV140" s="34"/>
      <c r="LAW140" s="34"/>
      <c r="LAX140" s="34"/>
      <c r="LAY140" s="34"/>
      <c r="LAZ140" s="34"/>
      <c r="LBA140" s="34"/>
      <c r="LBB140" s="34"/>
      <c r="LBC140" s="34"/>
      <c r="LBD140" s="34"/>
      <c r="LBE140" s="34"/>
      <c r="LBF140" s="34"/>
      <c r="LBG140" s="34"/>
      <c r="LBH140" s="34"/>
      <c r="LBI140" s="34"/>
      <c r="LBJ140" s="34"/>
      <c r="LBK140" s="34"/>
      <c r="LBL140" s="34"/>
      <c r="LBM140" s="34"/>
      <c r="LBN140" s="34"/>
      <c r="LBO140" s="34"/>
      <c r="LBP140" s="34"/>
      <c r="LBQ140" s="34"/>
      <c r="LBR140" s="34"/>
      <c r="LBS140" s="34"/>
      <c r="LBT140" s="34"/>
      <c r="LBU140" s="34"/>
      <c r="LBV140" s="34"/>
      <c r="LBW140" s="34"/>
      <c r="LBX140" s="34"/>
      <c r="LBY140" s="34"/>
      <c r="LBZ140" s="34"/>
      <c r="LCA140" s="34"/>
      <c r="LCB140" s="34"/>
      <c r="LCC140" s="34"/>
      <c r="LCD140" s="34"/>
      <c r="LCE140" s="34"/>
      <c r="LCF140" s="34"/>
      <c r="LCG140" s="34"/>
      <c r="LCH140" s="34"/>
      <c r="LCI140" s="34"/>
      <c r="LCJ140" s="34"/>
      <c r="LCK140" s="34"/>
      <c r="LCL140" s="34"/>
      <c r="LCM140" s="34"/>
      <c r="LCN140" s="34"/>
      <c r="LCO140" s="34"/>
      <c r="LCP140" s="34"/>
      <c r="LCQ140" s="34"/>
      <c r="LCR140" s="34"/>
      <c r="LCS140" s="34"/>
      <c r="LCT140" s="34"/>
      <c r="LCU140" s="34"/>
      <c r="LCV140" s="34"/>
      <c r="LCW140" s="34"/>
      <c r="LCX140" s="34"/>
      <c r="LCY140" s="34"/>
      <c r="LCZ140" s="34"/>
      <c r="LDA140" s="34"/>
      <c r="LDB140" s="34"/>
      <c r="LDC140" s="34"/>
      <c r="LDD140" s="34"/>
      <c r="LDE140" s="34"/>
      <c r="LDF140" s="34"/>
      <c r="LDG140" s="34"/>
      <c r="LDH140" s="34"/>
      <c r="LDI140" s="34"/>
      <c r="LDJ140" s="34"/>
      <c r="LDK140" s="34"/>
      <c r="LDL140" s="34"/>
      <c r="LDM140" s="34"/>
      <c r="LDN140" s="34"/>
      <c r="LDO140" s="34"/>
      <c r="LDP140" s="34"/>
      <c r="LDQ140" s="34"/>
      <c r="LDR140" s="34"/>
      <c r="LDS140" s="34"/>
      <c r="LDT140" s="34"/>
      <c r="LDU140" s="34"/>
      <c r="LDV140" s="34"/>
      <c r="LDW140" s="34"/>
      <c r="LDX140" s="34"/>
      <c r="LDY140" s="34"/>
      <c r="LDZ140" s="34"/>
      <c r="LEA140" s="34"/>
      <c r="LEB140" s="34"/>
      <c r="LEC140" s="34"/>
      <c r="LED140" s="34"/>
      <c r="LEE140" s="34"/>
      <c r="LEF140" s="34"/>
      <c r="LEG140" s="34"/>
      <c r="LEH140" s="34"/>
      <c r="LEI140" s="34"/>
      <c r="LEJ140" s="34"/>
      <c r="LEK140" s="34"/>
      <c r="LEL140" s="34"/>
      <c r="LEM140" s="34"/>
      <c r="LEN140" s="34"/>
      <c r="LEO140" s="34"/>
      <c r="LEP140" s="34"/>
      <c r="LEQ140" s="34"/>
      <c r="LER140" s="34"/>
      <c r="LES140" s="34"/>
      <c r="LET140" s="34"/>
      <c r="LEU140" s="34"/>
      <c r="LEV140" s="34"/>
      <c r="LEW140" s="34"/>
      <c r="LEX140" s="34"/>
      <c r="LEY140" s="34"/>
      <c r="LEZ140" s="34"/>
      <c r="LFA140" s="34"/>
      <c r="LFB140" s="34"/>
      <c r="LFC140" s="34"/>
      <c r="LFD140" s="34"/>
      <c r="LFE140" s="34"/>
      <c r="LFF140" s="34"/>
      <c r="LFG140" s="34"/>
      <c r="LFH140" s="34"/>
      <c r="LFI140" s="34"/>
      <c r="LFJ140" s="34"/>
      <c r="LFK140" s="34"/>
      <c r="LFL140" s="34"/>
      <c r="LFM140" s="34"/>
      <c r="LFN140" s="34"/>
      <c r="LFO140" s="34"/>
      <c r="LFP140" s="34"/>
      <c r="LFQ140" s="34"/>
      <c r="LFR140" s="34"/>
      <c r="LFS140" s="34"/>
      <c r="LFT140" s="34"/>
      <c r="LFU140" s="34"/>
      <c r="LFV140" s="34"/>
      <c r="LFW140" s="34"/>
      <c r="LFX140" s="34"/>
      <c r="LFY140" s="34"/>
      <c r="LFZ140" s="34"/>
      <c r="LGA140" s="34"/>
      <c r="LGB140" s="34"/>
      <c r="LGC140" s="34"/>
      <c r="LGD140" s="34"/>
      <c r="LGE140" s="34"/>
      <c r="LGF140" s="34"/>
      <c r="LGG140" s="34"/>
      <c r="LGH140" s="34"/>
      <c r="LGI140" s="34"/>
      <c r="LGJ140" s="34"/>
      <c r="LGK140" s="34"/>
      <c r="LGL140" s="34"/>
      <c r="LGM140" s="34"/>
      <c r="LGN140" s="34"/>
      <c r="LGO140" s="34"/>
      <c r="LGP140" s="34"/>
      <c r="LGQ140" s="34"/>
      <c r="LGR140" s="34"/>
      <c r="LGS140" s="34"/>
      <c r="LGT140" s="34"/>
      <c r="LGU140" s="34"/>
      <c r="LGV140" s="34"/>
      <c r="LGW140" s="34"/>
      <c r="LGX140" s="34"/>
      <c r="LGY140" s="34"/>
      <c r="LGZ140" s="34"/>
      <c r="LHA140" s="34"/>
      <c r="LHB140" s="34"/>
      <c r="LHC140" s="34"/>
      <c r="LHD140" s="34"/>
      <c r="LHE140" s="34"/>
      <c r="LHF140" s="34"/>
      <c r="LHG140" s="34"/>
      <c r="LHH140" s="34"/>
      <c r="LHI140" s="34"/>
      <c r="LHJ140" s="34"/>
      <c r="LHK140" s="34"/>
      <c r="LHL140" s="34"/>
      <c r="LHM140" s="34"/>
      <c r="LHN140" s="34"/>
      <c r="LHO140" s="34"/>
      <c r="LHP140" s="34"/>
      <c r="LHQ140" s="34"/>
      <c r="LHR140" s="34"/>
      <c r="LHS140" s="34"/>
      <c r="LHT140" s="34"/>
      <c r="LHU140" s="34"/>
      <c r="LHV140" s="34"/>
      <c r="LHW140" s="34"/>
      <c r="LHX140" s="34"/>
      <c r="LHY140" s="34"/>
      <c r="LHZ140" s="34"/>
      <c r="LIA140" s="34"/>
      <c r="LIB140" s="34"/>
      <c r="LIC140" s="34"/>
      <c r="LID140" s="34"/>
      <c r="LIE140" s="34"/>
      <c r="LIF140" s="34"/>
      <c r="LIG140" s="34"/>
      <c r="LIH140" s="34"/>
      <c r="LII140" s="34"/>
      <c r="LIJ140" s="34"/>
      <c r="LIK140" s="34"/>
      <c r="LIL140" s="34"/>
      <c r="LIM140" s="34"/>
      <c r="LIN140" s="34"/>
      <c r="LIO140" s="34"/>
      <c r="LIP140" s="34"/>
      <c r="LIQ140" s="34"/>
      <c r="LIR140" s="34"/>
      <c r="LIS140" s="34"/>
      <c r="LIT140" s="34"/>
      <c r="LIU140" s="34"/>
      <c r="LIV140" s="34"/>
      <c r="LIW140" s="34"/>
      <c r="LIX140" s="34"/>
      <c r="LIY140" s="34"/>
      <c r="LIZ140" s="34"/>
      <c r="LJA140" s="34"/>
      <c r="LJB140" s="34"/>
      <c r="LJC140" s="34"/>
      <c r="LJD140" s="34"/>
      <c r="LJE140" s="34"/>
      <c r="LJF140" s="34"/>
      <c r="LJG140" s="34"/>
      <c r="LJH140" s="34"/>
      <c r="LJI140" s="34"/>
      <c r="LJJ140" s="34"/>
      <c r="LJK140" s="34"/>
      <c r="LJL140" s="34"/>
      <c r="LJM140" s="34"/>
      <c r="LJN140" s="34"/>
      <c r="LJO140" s="34"/>
      <c r="LJP140" s="34"/>
      <c r="LJQ140" s="34"/>
      <c r="LJR140" s="34"/>
      <c r="LJS140" s="34"/>
      <c r="LJT140" s="34"/>
      <c r="LJU140" s="34"/>
      <c r="LJV140" s="34"/>
      <c r="LJW140" s="34"/>
      <c r="LJX140" s="34"/>
      <c r="LJY140" s="34"/>
      <c r="LJZ140" s="34"/>
      <c r="LKA140" s="34"/>
      <c r="LKB140" s="34"/>
      <c r="LKC140" s="34"/>
      <c r="LKD140" s="34"/>
      <c r="LKE140" s="34"/>
      <c r="LKF140" s="34"/>
      <c r="LKG140" s="34"/>
      <c r="LKH140" s="34"/>
      <c r="LKI140" s="34"/>
      <c r="LKJ140" s="34"/>
      <c r="LKK140" s="34"/>
      <c r="LKL140" s="34"/>
      <c r="LKM140" s="34"/>
      <c r="LKN140" s="34"/>
      <c r="LKO140" s="34"/>
      <c r="LKP140" s="34"/>
      <c r="LKQ140" s="34"/>
      <c r="LKR140" s="34"/>
      <c r="LKS140" s="34"/>
      <c r="LKT140" s="34"/>
      <c r="LKU140" s="34"/>
      <c r="LKV140" s="34"/>
      <c r="LKW140" s="34"/>
      <c r="LKX140" s="34"/>
      <c r="LKY140" s="34"/>
      <c r="LKZ140" s="34"/>
      <c r="LLA140" s="34"/>
      <c r="LLB140" s="34"/>
      <c r="LLC140" s="34"/>
      <c r="LLD140" s="34"/>
      <c r="LLE140" s="34"/>
      <c r="LLF140" s="34"/>
      <c r="LLG140" s="34"/>
      <c r="LLH140" s="34"/>
      <c r="LLI140" s="34"/>
      <c r="LLJ140" s="34"/>
      <c r="LLK140" s="34"/>
      <c r="LLL140" s="34"/>
      <c r="LLM140" s="34"/>
      <c r="LLN140" s="34"/>
      <c r="LLO140" s="34"/>
      <c r="LLP140" s="34"/>
      <c r="LLQ140" s="34"/>
      <c r="LLR140" s="34"/>
      <c r="LLS140" s="34"/>
      <c r="LLT140" s="34"/>
      <c r="LLU140" s="34"/>
      <c r="LLV140" s="34"/>
      <c r="LLW140" s="34"/>
      <c r="LLX140" s="34"/>
      <c r="LLY140" s="34"/>
      <c r="LLZ140" s="34"/>
      <c r="LMA140" s="34"/>
      <c r="LMB140" s="34"/>
      <c r="LMC140" s="34"/>
      <c r="LMD140" s="34"/>
      <c r="LME140" s="34"/>
      <c r="LMF140" s="34"/>
      <c r="LMG140" s="34"/>
      <c r="LMH140" s="34"/>
      <c r="LMI140" s="34"/>
      <c r="LMJ140" s="34"/>
      <c r="LMK140" s="34"/>
      <c r="LML140" s="34"/>
      <c r="LMM140" s="34"/>
      <c r="LMN140" s="34"/>
      <c r="LMO140" s="34"/>
      <c r="LMP140" s="34"/>
      <c r="LMQ140" s="34"/>
      <c r="LMR140" s="34"/>
      <c r="LMS140" s="34"/>
      <c r="LMT140" s="34"/>
      <c r="LMU140" s="34"/>
      <c r="LMV140" s="34"/>
      <c r="LMW140" s="34"/>
      <c r="LMX140" s="34"/>
      <c r="LMY140" s="34"/>
      <c r="LMZ140" s="34"/>
      <c r="LNA140" s="34"/>
      <c r="LNB140" s="34"/>
      <c r="LNC140" s="34"/>
      <c r="LND140" s="34"/>
      <c r="LNE140" s="34"/>
      <c r="LNF140" s="34"/>
      <c r="LNG140" s="34"/>
      <c r="LNH140" s="34"/>
      <c r="LNI140" s="34"/>
      <c r="LNJ140" s="34"/>
      <c r="LNK140" s="34"/>
      <c r="LNL140" s="34"/>
      <c r="LNM140" s="34"/>
      <c r="LNN140" s="34"/>
      <c r="LNO140" s="34"/>
      <c r="LNP140" s="34"/>
      <c r="LNQ140" s="34"/>
      <c r="LNR140" s="34"/>
      <c r="LNS140" s="34"/>
      <c r="LNT140" s="34"/>
      <c r="LNU140" s="34"/>
      <c r="LNV140" s="34"/>
      <c r="LNW140" s="34"/>
      <c r="LNX140" s="34"/>
      <c r="LNY140" s="34"/>
      <c r="LNZ140" s="34"/>
      <c r="LOA140" s="34"/>
      <c r="LOB140" s="34"/>
      <c r="LOC140" s="34"/>
      <c r="LOD140" s="34"/>
      <c r="LOE140" s="34"/>
      <c r="LOF140" s="34"/>
      <c r="LOG140" s="34"/>
      <c r="LOH140" s="34"/>
      <c r="LOI140" s="34"/>
      <c r="LOJ140" s="34"/>
      <c r="LOK140" s="34"/>
      <c r="LOL140" s="34"/>
      <c r="LOM140" s="34"/>
      <c r="LON140" s="34"/>
      <c r="LOO140" s="34"/>
      <c r="LOP140" s="34"/>
      <c r="LOQ140" s="34"/>
      <c r="LOR140" s="34"/>
      <c r="LOS140" s="34"/>
      <c r="LOT140" s="34"/>
      <c r="LOU140" s="34"/>
      <c r="LOV140" s="34"/>
      <c r="LOW140" s="34"/>
      <c r="LOX140" s="34"/>
      <c r="LOY140" s="34"/>
      <c r="LOZ140" s="34"/>
      <c r="LPA140" s="34"/>
      <c r="LPB140" s="34"/>
      <c r="LPC140" s="34"/>
      <c r="LPD140" s="34"/>
      <c r="LPE140" s="34"/>
      <c r="LPF140" s="34"/>
      <c r="LPG140" s="34"/>
      <c r="LPH140" s="34"/>
      <c r="LPI140" s="34"/>
      <c r="LPJ140" s="34"/>
      <c r="LPK140" s="34"/>
      <c r="LPL140" s="34"/>
      <c r="LPM140" s="34"/>
      <c r="LPN140" s="34"/>
      <c r="LPO140" s="34"/>
      <c r="LPP140" s="34"/>
      <c r="LPQ140" s="34"/>
      <c r="LPR140" s="34"/>
      <c r="LPS140" s="34"/>
      <c r="LPT140" s="34"/>
      <c r="LPU140" s="34"/>
      <c r="LPV140" s="34"/>
      <c r="LPW140" s="34"/>
      <c r="LPX140" s="34"/>
      <c r="LPY140" s="34"/>
      <c r="LPZ140" s="34"/>
      <c r="LQA140" s="34"/>
      <c r="LQB140" s="34"/>
      <c r="LQC140" s="34"/>
      <c r="LQD140" s="34"/>
      <c r="LQE140" s="34"/>
      <c r="LQF140" s="34"/>
      <c r="LQG140" s="34"/>
      <c r="LQH140" s="34"/>
      <c r="LQI140" s="34"/>
      <c r="LQJ140" s="34"/>
      <c r="LQK140" s="34"/>
      <c r="LQL140" s="34"/>
      <c r="LQM140" s="34"/>
      <c r="LQN140" s="34"/>
      <c r="LQO140" s="34"/>
      <c r="LQP140" s="34"/>
      <c r="LQQ140" s="34"/>
      <c r="LQR140" s="34"/>
      <c r="LQS140" s="34"/>
      <c r="LQT140" s="34"/>
      <c r="LQU140" s="34"/>
      <c r="LQV140" s="34"/>
      <c r="LQW140" s="34"/>
      <c r="LQX140" s="34"/>
      <c r="LQY140" s="34"/>
      <c r="LQZ140" s="34"/>
      <c r="LRA140" s="34"/>
      <c r="LRB140" s="34"/>
      <c r="LRC140" s="34"/>
      <c r="LRD140" s="34"/>
      <c r="LRE140" s="34"/>
      <c r="LRF140" s="34"/>
      <c r="LRG140" s="34"/>
      <c r="LRH140" s="34"/>
      <c r="LRI140" s="34"/>
      <c r="LRJ140" s="34"/>
      <c r="LRK140" s="34"/>
      <c r="LRL140" s="34"/>
      <c r="LRM140" s="34"/>
      <c r="LRN140" s="34"/>
      <c r="LRO140" s="34"/>
      <c r="LRP140" s="34"/>
      <c r="LRQ140" s="34"/>
      <c r="LRR140" s="34"/>
      <c r="LRS140" s="34"/>
      <c r="LRT140" s="34"/>
      <c r="LRU140" s="34"/>
      <c r="LRV140" s="34"/>
      <c r="LRW140" s="34"/>
      <c r="LRX140" s="34"/>
      <c r="LRY140" s="34"/>
      <c r="LRZ140" s="34"/>
      <c r="LSA140" s="34"/>
      <c r="LSB140" s="34"/>
      <c r="LSC140" s="34"/>
      <c r="LSD140" s="34"/>
      <c r="LSE140" s="34"/>
      <c r="LSF140" s="34"/>
      <c r="LSG140" s="34"/>
      <c r="LSH140" s="34"/>
      <c r="LSI140" s="34"/>
      <c r="LSJ140" s="34"/>
      <c r="LSK140" s="34"/>
      <c r="LSL140" s="34"/>
      <c r="LSM140" s="34"/>
      <c r="LSN140" s="34"/>
      <c r="LSO140" s="34"/>
      <c r="LSP140" s="34"/>
      <c r="LSQ140" s="34"/>
      <c r="LSR140" s="34"/>
      <c r="LSS140" s="34"/>
      <c r="LST140" s="34"/>
      <c r="LSU140" s="34"/>
      <c r="LSV140" s="34"/>
      <c r="LSW140" s="34"/>
      <c r="LSX140" s="34"/>
      <c r="LSY140" s="34"/>
      <c r="LSZ140" s="34"/>
      <c r="LTA140" s="34"/>
      <c r="LTB140" s="34"/>
      <c r="LTC140" s="34"/>
      <c r="LTD140" s="34"/>
      <c r="LTE140" s="34"/>
      <c r="LTF140" s="34"/>
      <c r="LTG140" s="34"/>
      <c r="LTH140" s="34"/>
      <c r="LTI140" s="34"/>
      <c r="LTJ140" s="34"/>
      <c r="LTK140" s="34"/>
      <c r="LTL140" s="34"/>
      <c r="LTM140" s="34"/>
      <c r="LTN140" s="34"/>
      <c r="LTO140" s="34"/>
      <c r="LTP140" s="34"/>
      <c r="LTQ140" s="34"/>
      <c r="LTR140" s="34"/>
      <c r="LTS140" s="34"/>
      <c r="LTT140" s="34"/>
      <c r="LTU140" s="34"/>
      <c r="LTV140" s="34"/>
      <c r="LTW140" s="34"/>
      <c r="LTX140" s="34"/>
      <c r="LTY140" s="34"/>
      <c r="LTZ140" s="34"/>
      <c r="LUA140" s="34"/>
      <c r="LUB140" s="34"/>
      <c r="LUC140" s="34"/>
      <c r="LUD140" s="34"/>
      <c r="LUE140" s="34"/>
      <c r="LUF140" s="34"/>
      <c r="LUG140" s="34"/>
      <c r="LUH140" s="34"/>
      <c r="LUI140" s="34"/>
      <c r="LUJ140" s="34"/>
      <c r="LUK140" s="34"/>
      <c r="LUL140" s="34"/>
      <c r="LUM140" s="34"/>
      <c r="LUN140" s="34"/>
      <c r="LUO140" s="34"/>
      <c r="LUP140" s="34"/>
      <c r="LUQ140" s="34"/>
      <c r="LUR140" s="34"/>
      <c r="LUS140" s="34"/>
      <c r="LUT140" s="34"/>
      <c r="LUU140" s="34"/>
      <c r="LUV140" s="34"/>
      <c r="LUW140" s="34"/>
      <c r="LUX140" s="34"/>
      <c r="LUY140" s="34"/>
      <c r="LUZ140" s="34"/>
      <c r="LVA140" s="34"/>
      <c r="LVB140" s="34"/>
      <c r="LVC140" s="34"/>
      <c r="LVD140" s="34"/>
      <c r="LVE140" s="34"/>
      <c r="LVF140" s="34"/>
      <c r="LVG140" s="34"/>
      <c r="LVH140" s="34"/>
      <c r="LVI140" s="34"/>
      <c r="LVJ140" s="34"/>
      <c r="LVK140" s="34"/>
      <c r="LVL140" s="34"/>
      <c r="LVM140" s="34"/>
      <c r="LVN140" s="34"/>
      <c r="LVO140" s="34"/>
      <c r="LVP140" s="34"/>
      <c r="LVQ140" s="34"/>
      <c r="LVR140" s="34"/>
      <c r="LVS140" s="34"/>
      <c r="LVT140" s="34"/>
      <c r="LVU140" s="34"/>
      <c r="LVV140" s="34"/>
      <c r="LVW140" s="34"/>
      <c r="LVX140" s="34"/>
      <c r="LVY140" s="34"/>
      <c r="LVZ140" s="34"/>
      <c r="LWA140" s="34"/>
      <c r="LWB140" s="34"/>
      <c r="LWC140" s="34"/>
      <c r="LWD140" s="34"/>
      <c r="LWE140" s="34"/>
      <c r="LWF140" s="34"/>
      <c r="LWG140" s="34"/>
      <c r="LWH140" s="34"/>
      <c r="LWI140" s="34"/>
      <c r="LWJ140" s="34"/>
      <c r="LWK140" s="34"/>
      <c r="LWL140" s="34"/>
      <c r="LWM140" s="34"/>
      <c r="LWN140" s="34"/>
      <c r="LWO140" s="34"/>
      <c r="LWP140" s="34"/>
      <c r="LWQ140" s="34"/>
      <c r="LWR140" s="34"/>
      <c r="LWS140" s="34"/>
      <c r="LWT140" s="34"/>
      <c r="LWU140" s="34"/>
      <c r="LWV140" s="34"/>
      <c r="LWW140" s="34"/>
      <c r="LWX140" s="34"/>
      <c r="LWY140" s="34"/>
      <c r="LWZ140" s="34"/>
      <c r="LXA140" s="34"/>
      <c r="LXB140" s="34"/>
      <c r="LXC140" s="34"/>
      <c r="LXD140" s="34"/>
      <c r="LXE140" s="34"/>
      <c r="LXF140" s="34"/>
      <c r="LXG140" s="34"/>
      <c r="LXH140" s="34"/>
      <c r="LXI140" s="34"/>
      <c r="LXJ140" s="34"/>
      <c r="LXK140" s="34"/>
      <c r="LXL140" s="34"/>
      <c r="LXM140" s="34"/>
      <c r="LXN140" s="34"/>
      <c r="LXO140" s="34"/>
      <c r="LXP140" s="34"/>
      <c r="LXQ140" s="34"/>
      <c r="LXR140" s="34"/>
      <c r="LXS140" s="34"/>
      <c r="LXT140" s="34"/>
      <c r="LXU140" s="34"/>
      <c r="LXV140" s="34"/>
      <c r="LXW140" s="34"/>
      <c r="LXX140" s="34"/>
      <c r="LXY140" s="34"/>
      <c r="LXZ140" s="34"/>
      <c r="LYA140" s="34"/>
      <c r="LYB140" s="34"/>
      <c r="LYC140" s="34"/>
      <c r="LYD140" s="34"/>
      <c r="LYE140" s="34"/>
      <c r="LYF140" s="34"/>
      <c r="LYG140" s="34"/>
      <c r="LYH140" s="34"/>
      <c r="LYI140" s="34"/>
      <c r="LYJ140" s="34"/>
      <c r="LYK140" s="34"/>
      <c r="LYL140" s="34"/>
      <c r="LYM140" s="34"/>
      <c r="LYN140" s="34"/>
      <c r="LYO140" s="34"/>
      <c r="LYP140" s="34"/>
      <c r="LYQ140" s="34"/>
      <c r="LYR140" s="34"/>
      <c r="LYS140" s="34"/>
      <c r="LYT140" s="34"/>
      <c r="LYU140" s="34"/>
      <c r="LYV140" s="34"/>
      <c r="LYW140" s="34"/>
      <c r="LYX140" s="34"/>
      <c r="LYY140" s="34"/>
      <c r="LYZ140" s="34"/>
      <c r="LZA140" s="34"/>
      <c r="LZB140" s="34"/>
      <c r="LZC140" s="34"/>
      <c r="LZD140" s="34"/>
      <c r="LZE140" s="34"/>
      <c r="LZF140" s="34"/>
      <c r="LZG140" s="34"/>
      <c r="LZH140" s="34"/>
      <c r="LZI140" s="34"/>
      <c r="LZJ140" s="34"/>
      <c r="LZK140" s="34"/>
      <c r="LZL140" s="34"/>
      <c r="LZM140" s="34"/>
      <c r="LZN140" s="34"/>
      <c r="LZO140" s="34"/>
      <c r="LZP140" s="34"/>
      <c r="LZQ140" s="34"/>
      <c r="LZR140" s="34"/>
      <c r="LZS140" s="34"/>
      <c r="LZT140" s="34"/>
      <c r="LZU140" s="34"/>
      <c r="LZV140" s="34"/>
      <c r="LZW140" s="34"/>
      <c r="LZX140" s="34"/>
      <c r="LZY140" s="34"/>
      <c r="LZZ140" s="34"/>
      <c r="MAA140" s="34"/>
      <c r="MAB140" s="34"/>
      <c r="MAC140" s="34"/>
      <c r="MAD140" s="34"/>
      <c r="MAE140" s="34"/>
      <c r="MAF140" s="34"/>
      <c r="MAG140" s="34"/>
      <c r="MAH140" s="34"/>
      <c r="MAI140" s="34"/>
      <c r="MAJ140" s="34"/>
      <c r="MAK140" s="34"/>
      <c r="MAL140" s="34"/>
      <c r="MAM140" s="34"/>
      <c r="MAN140" s="34"/>
      <c r="MAO140" s="34"/>
      <c r="MAP140" s="34"/>
      <c r="MAQ140" s="34"/>
      <c r="MAR140" s="34"/>
      <c r="MAS140" s="34"/>
      <c r="MAT140" s="34"/>
      <c r="MAU140" s="34"/>
      <c r="MAV140" s="34"/>
      <c r="MAW140" s="34"/>
      <c r="MAX140" s="34"/>
      <c r="MAY140" s="34"/>
      <c r="MAZ140" s="34"/>
      <c r="MBA140" s="34"/>
      <c r="MBB140" s="34"/>
      <c r="MBC140" s="34"/>
      <c r="MBD140" s="34"/>
      <c r="MBE140" s="34"/>
      <c r="MBF140" s="34"/>
      <c r="MBG140" s="34"/>
      <c r="MBH140" s="34"/>
      <c r="MBI140" s="34"/>
      <c r="MBJ140" s="34"/>
      <c r="MBK140" s="34"/>
      <c r="MBL140" s="34"/>
      <c r="MBM140" s="34"/>
      <c r="MBN140" s="34"/>
      <c r="MBO140" s="34"/>
      <c r="MBP140" s="34"/>
      <c r="MBQ140" s="34"/>
      <c r="MBR140" s="34"/>
      <c r="MBS140" s="34"/>
      <c r="MBT140" s="34"/>
      <c r="MBU140" s="34"/>
      <c r="MBV140" s="34"/>
      <c r="MBW140" s="34"/>
      <c r="MBX140" s="34"/>
      <c r="MBY140" s="34"/>
      <c r="MBZ140" s="34"/>
      <c r="MCA140" s="34"/>
      <c r="MCB140" s="34"/>
      <c r="MCC140" s="34"/>
      <c r="MCD140" s="34"/>
      <c r="MCE140" s="34"/>
      <c r="MCF140" s="34"/>
      <c r="MCG140" s="34"/>
      <c r="MCH140" s="34"/>
      <c r="MCI140" s="34"/>
      <c r="MCJ140" s="34"/>
      <c r="MCK140" s="34"/>
      <c r="MCL140" s="34"/>
      <c r="MCM140" s="34"/>
      <c r="MCN140" s="34"/>
      <c r="MCO140" s="34"/>
      <c r="MCP140" s="34"/>
      <c r="MCQ140" s="34"/>
      <c r="MCR140" s="34"/>
      <c r="MCS140" s="34"/>
      <c r="MCT140" s="34"/>
      <c r="MCU140" s="34"/>
      <c r="MCV140" s="34"/>
      <c r="MCW140" s="34"/>
      <c r="MCX140" s="34"/>
      <c r="MCY140" s="34"/>
      <c r="MCZ140" s="34"/>
      <c r="MDA140" s="34"/>
      <c r="MDB140" s="34"/>
      <c r="MDC140" s="34"/>
      <c r="MDD140" s="34"/>
      <c r="MDE140" s="34"/>
      <c r="MDF140" s="34"/>
      <c r="MDG140" s="34"/>
      <c r="MDH140" s="34"/>
      <c r="MDI140" s="34"/>
      <c r="MDJ140" s="34"/>
      <c r="MDK140" s="34"/>
      <c r="MDL140" s="34"/>
      <c r="MDM140" s="34"/>
      <c r="MDN140" s="34"/>
      <c r="MDO140" s="34"/>
      <c r="MDP140" s="34"/>
      <c r="MDQ140" s="34"/>
      <c r="MDR140" s="34"/>
      <c r="MDS140" s="34"/>
      <c r="MDT140" s="34"/>
      <c r="MDU140" s="34"/>
      <c r="MDV140" s="34"/>
      <c r="MDW140" s="34"/>
      <c r="MDX140" s="34"/>
      <c r="MDY140" s="34"/>
      <c r="MDZ140" s="34"/>
      <c r="MEA140" s="34"/>
      <c r="MEB140" s="34"/>
      <c r="MEC140" s="34"/>
      <c r="MED140" s="34"/>
      <c r="MEE140" s="34"/>
      <c r="MEF140" s="34"/>
      <c r="MEG140" s="34"/>
      <c r="MEH140" s="34"/>
      <c r="MEI140" s="34"/>
      <c r="MEJ140" s="34"/>
      <c r="MEK140" s="34"/>
      <c r="MEL140" s="34"/>
      <c r="MEM140" s="34"/>
      <c r="MEN140" s="34"/>
      <c r="MEO140" s="34"/>
      <c r="MEP140" s="34"/>
      <c r="MEQ140" s="34"/>
      <c r="MER140" s="34"/>
      <c r="MES140" s="34"/>
      <c r="MET140" s="34"/>
      <c r="MEU140" s="34"/>
      <c r="MEV140" s="34"/>
      <c r="MEW140" s="34"/>
      <c r="MEX140" s="34"/>
      <c r="MEY140" s="34"/>
      <c r="MEZ140" s="34"/>
      <c r="MFA140" s="34"/>
      <c r="MFB140" s="34"/>
      <c r="MFC140" s="34"/>
      <c r="MFD140" s="34"/>
      <c r="MFE140" s="34"/>
      <c r="MFF140" s="34"/>
      <c r="MFG140" s="34"/>
      <c r="MFH140" s="34"/>
      <c r="MFI140" s="34"/>
      <c r="MFJ140" s="34"/>
      <c r="MFK140" s="34"/>
      <c r="MFL140" s="34"/>
      <c r="MFM140" s="34"/>
      <c r="MFN140" s="34"/>
      <c r="MFO140" s="34"/>
      <c r="MFP140" s="34"/>
      <c r="MFQ140" s="34"/>
      <c r="MFR140" s="34"/>
      <c r="MFS140" s="34"/>
      <c r="MFT140" s="34"/>
      <c r="MFU140" s="34"/>
      <c r="MFV140" s="34"/>
      <c r="MFW140" s="34"/>
      <c r="MFX140" s="34"/>
      <c r="MFY140" s="34"/>
      <c r="MFZ140" s="34"/>
      <c r="MGA140" s="34"/>
      <c r="MGB140" s="34"/>
      <c r="MGC140" s="34"/>
      <c r="MGD140" s="34"/>
      <c r="MGE140" s="34"/>
      <c r="MGF140" s="34"/>
      <c r="MGG140" s="34"/>
      <c r="MGH140" s="34"/>
      <c r="MGI140" s="34"/>
      <c r="MGJ140" s="34"/>
      <c r="MGK140" s="34"/>
      <c r="MGL140" s="34"/>
      <c r="MGM140" s="34"/>
      <c r="MGN140" s="34"/>
      <c r="MGO140" s="34"/>
      <c r="MGP140" s="34"/>
      <c r="MGQ140" s="34"/>
      <c r="MGR140" s="34"/>
      <c r="MGS140" s="34"/>
      <c r="MGT140" s="34"/>
      <c r="MGU140" s="34"/>
      <c r="MGV140" s="34"/>
      <c r="MGW140" s="34"/>
      <c r="MGX140" s="34"/>
      <c r="MGY140" s="34"/>
      <c r="MGZ140" s="34"/>
      <c r="MHA140" s="34"/>
      <c r="MHB140" s="34"/>
      <c r="MHC140" s="34"/>
      <c r="MHD140" s="34"/>
      <c r="MHE140" s="34"/>
      <c r="MHF140" s="34"/>
      <c r="MHG140" s="34"/>
      <c r="MHH140" s="34"/>
      <c r="MHI140" s="34"/>
      <c r="MHJ140" s="34"/>
      <c r="MHK140" s="34"/>
      <c r="MHL140" s="34"/>
      <c r="MHM140" s="34"/>
      <c r="MHN140" s="34"/>
      <c r="MHO140" s="34"/>
      <c r="MHP140" s="34"/>
      <c r="MHQ140" s="34"/>
      <c r="MHR140" s="34"/>
      <c r="MHS140" s="34"/>
      <c r="MHT140" s="34"/>
      <c r="MHU140" s="34"/>
      <c r="MHV140" s="34"/>
      <c r="MHW140" s="34"/>
      <c r="MHX140" s="34"/>
      <c r="MHY140" s="34"/>
      <c r="MHZ140" s="34"/>
      <c r="MIA140" s="34"/>
      <c r="MIB140" s="34"/>
      <c r="MIC140" s="34"/>
      <c r="MID140" s="34"/>
      <c r="MIE140" s="34"/>
      <c r="MIF140" s="34"/>
      <c r="MIG140" s="34"/>
      <c r="MIH140" s="34"/>
      <c r="MII140" s="34"/>
      <c r="MIJ140" s="34"/>
      <c r="MIK140" s="34"/>
      <c r="MIL140" s="34"/>
      <c r="MIM140" s="34"/>
      <c r="MIN140" s="34"/>
      <c r="MIO140" s="34"/>
      <c r="MIP140" s="34"/>
      <c r="MIQ140" s="34"/>
      <c r="MIR140" s="34"/>
      <c r="MIS140" s="34"/>
      <c r="MIT140" s="34"/>
      <c r="MIU140" s="34"/>
      <c r="MIV140" s="34"/>
      <c r="MIW140" s="34"/>
      <c r="MIX140" s="34"/>
      <c r="MIY140" s="34"/>
      <c r="MIZ140" s="34"/>
      <c r="MJA140" s="34"/>
      <c r="MJB140" s="34"/>
      <c r="MJC140" s="34"/>
      <c r="MJD140" s="34"/>
      <c r="MJE140" s="34"/>
      <c r="MJF140" s="34"/>
      <c r="MJG140" s="34"/>
      <c r="MJH140" s="34"/>
      <c r="MJI140" s="34"/>
      <c r="MJJ140" s="34"/>
      <c r="MJK140" s="34"/>
      <c r="MJL140" s="34"/>
      <c r="MJM140" s="34"/>
      <c r="MJN140" s="34"/>
      <c r="MJO140" s="34"/>
      <c r="MJP140" s="34"/>
      <c r="MJQ140" s="34"/>
      <c r="MJR140" s="34"/>
      <c r="MJS140" s="34"/>
      <c r="MJT140" s="34"/>
      <c r="MJU140" s="34"/>
      <c r="MJV140" s="34"/>
      <c r="MJW140" s="34"/>
      <c r="MJX140" s="34"/>
      <c r="MJY140" s="34"/>
      <c r="MJZ140" s="34"/>
      <c r="MKA140" s="34"/>
      <c r="MKB140" s="34"/>
      <c r="MKC140" s="34"/>
      <c r="MKD140" s="34"/>
      <c r="MKE140" s="34"/>
      <c r="MKF140" s="34"/>
      <c r="MKG140" s="34"/>
      <c r="MKH140" s="34"/>
      <c r="MKI140" s="34"/>
      <c r="MKJ140" s="34"/>
      <c r="MKK140" s="34"/>
      <c r="MKL140" s="34"/>
      <c r="MKM140" s="34"/>
      <c r="MKN140" s="34"/>
      <c r="MKO140" s="34"/>
      <c r="MKP140" s="34"/>
      <c r="MKQ140" s="34"/>
      <c r="MKR140" s="34"/>
      <c r="MKS140" s="34"/>
      <c r="MKT140" s="34"/>
      <c r="MKU140" s="34"/>
      <c r="MKV140" s="34"/>
      <c r="MKW140" s="34"/>
      <c r="MKX140" s="34"/>
      <c r="MKY140" s="34"/>
      <c r="MKZ140" s="34"/>
      <c r="MLA140" s="34"/>
      <c r="MLB140" s="34"/>
      <c r="MLC140" s="34"/>
      <c r="MLD140" s="34"/>
      <c r="MLE140" s="34"/>
      <c r="MLF140" s="34"/>
      <c r="MLG140" s="34"/>
      <c r="MLH140" s="34"/>
      <c r="MLI140" s="34"/>
      <c r="MLJ140" s="34"/>
      <c r="MLK140" s="34"/>
      <c r="MLL140" s="34"/>
      <c r="MLM140" s="34"/>
      <c r="MLN140" s="34"/>
      <c r="MLO140" s="34"/>
      <c r="MLP140" s="34"/>
      <c r="MLQ140" s="34"/>
      <c r="MLR140" s="34"/>
      <c r="MLS140" s="34"/>
      <c r="MLT140" s="34"/>
      <c r="MLU140" s="34"/>
      <c r="MLV140" s="34"/>
      <c r="MLW140" s="34"/>
      <c r="MLX140" s="34"/>
      <c r="MLY140" s="34"/>
      <c r="MLZ140" s="34"/>
      <c r="MMA140" s="34"/>
      <c r="MMB140" s="34"/>
      <c r="MMC140" s="34"/>
      <c r="MMD140" s="34"/>
      <c r="MME140" s="34"/>
      <c r="MMF140" s="34"/>
      <c r="MMG140" s="34"/>
      <c r="MMH140" s="34"/>
      <c r="MMI140" s="34"/>
      <c r="MMJ140" s="34"/>
      <c r="MMK140" s="34"/>
      <c r="MML140" s="34"/>
      <c r="MMM140" s="34"/>
      <c r="MMN140" s="34"/>
      <c r="MMO140" s="34"/>
      <c r="MMP140" s="34"/>
      <c r="MMQ140" s="34"/>
      <c r="MMR140" s="34"/>
      <c r="MMS140" s="34"/>
      <c r="MMT140" s="34"/>
      <c r="MMU140" s="34"/>
      <c r="MMV140" s="34"/>
      <c r="MMW140" s="34"/>
      <c r="MMX140" s="34"/>
      <c r="MMY140" s="34"/>
      <c r="MMZ140" s="34"/>
      <c r="MNA140" s="34"/>
      <c r="MNB140" s="34"/>
      <c r="MNC140" s="34"/>
      <c r="MND140" s="34"/>
      <c r="MNE140" s="34"/>
      <c r="MNF140" s="34"/>
      <c r="MNG140" s="34"/>
      <c r="MNH140" s="34"/>
      <c r="MNI140" s="34"/>
      <c r="MNJ140" s="34"/>
      <c r="MNK140" s="34"/>
      <c r="MNL140" s="34"/>
      <c r="MNM140" s="34"/>
      <c r="MNN140" s="34"/>
      <c r="MNO140" s="34"/>
      <c r="MNP140" s="34"/>
      <c r="MNQ140" s="34"/>
      <c r="MNR140" s="34"/>
      <c r="MNS140" s="34"/>
      <c r="MNT140" s="34"/>
      <c r="MNU140" s="34"/>
      <c r="MNV140" s="34"/>
      <c r="MNW140" s="34"/>
      <c r="MNX140" s="34"/>
      <c r="MNY140" s="34"/>
      <c r="MNZ140" s="34"/>
      <c r="MOA140" s="34"/>
      <c r="MOB140" s="34"/>
      <c r="MOC140" s="34"/>
      <c r="MOD140" s="34"/>
      <c r="MOE140" s="34"/>
      <c r="MOF140" s="34"/>
      <c r="MOG140" s="34"/>
      <c r="MOH140" s="34"/>
      <c r="MOI140" s="34"/>
      <c r="MOJ140" s="34"/>
      <c r="MOK140" s="34"/>
      <c r="MOL140" s="34"/>
      <c r="MOM140" s="34"/>
      <c r="MON140" s="34"/>
      <c r="MOO140" s="34"/>
      <c r="MOP140" s="34"/>
      <c r="MOQ140" s="34"/>
      <c r="MOR140" s="34"/>
      <c r="MOS140" s="34"/>
      <c r="MOT140" s="34"/>
      <c r="MOU140" s="34"/>
      <c r="MOV140" s="34"/>
      <c r="MOW140" s="34"/>
      <c r="MOX140" s="34"/>
      <c r="MOY140" s="34"/>
      <c r="MOZ140" s="34"/>
      <c r="MPA140" s="34"/>
      <c r="MPB140" s="34"/>
      <c r="MPC140" s="34"/>
      <c r="MPD140" s="34"/>
      <c r="MPE140" s="34"/>
      <c r="MPF140" s="34"/>
      <c r="MPG140" s="34"/>
      <c r="MPH140" s="34"/>
      <c r="MPI140" s="34"/>
      <c r="MPJ140" s="34"/>
      <c r="MPK140" s="34"/>
      <c r="MPL140" s="34"/>
      <c r="MPM140" s="34"/>
      <c r="MPN140" s="34"/>
      <c r="MPO140" s="34"/>
      <c r="MPP140" s="34"/>
      <c r="MPQ140" s="34"/>
      <c r="MPR140" s="34"/>
      <c r="MPS140" s="34"/>
      <c r="MPT140" s="34"/>
      <c r="MPU140" s="34"/>
      <c r="MPV140" s="34"/>
      <c r="MPW140" s="34"/>
      <c r="MPX140" s="34"/>
      <c r="MPY140" s="34"/>
      <c r="MPZ140" s="34"/>
      <c r="MQA140" s="34"/>
      <c r="MQB140" s="34"/>
      <c r="MQC140" s="34"/>
      <c r="MQD140" s="34"/>
      <c r="MQE140" s="34"/>
      <c r="MQF140" s="34"/>
      <c r="MQG140" s="34"/>
      <c r="MQH140" s="34"/>
      <c r="MQI140" s="34"/>
      <c r="MQJ140" s="34"/>
      <c r="MQK140" s="34"/>
      <c r="MQL140" s="34"/>
      <c r="MQM140" s="34"/>
      <c r="MQN140" s="34"/>
      <c r="MQO140" s="34"/>
      <c r="MQP140" s="34"/>
      <c r="MQQ140" s="34"/>
      <c r="MQR140" s="34"/>
      <c r="MQS140" s="34"/>
      <c r="MQT140" s="34"/>
      <c r="MQU140" s="34"/>
      <c r="MQV140" s="34"/>
      <c r="MQW140" s="34"/>
      <c r="MQX140" s="34"/>
      <c r="MQY140" s="34"/>
      <c r="MQZ140" s="34"/>
      <c r="MRA140" s="34"/>
      <c r="MRB140" s="34"/>
      <c r="MRC140" s="34"/>
      <c r="MRD140" s="34"/>
      <c r="MRE140" s="34"/>
      <c r="MRF140" s="34"/>
      <c r="MRG140" s="34"/>
      <c r="MRH140" s="34"/>
      <c r="MRI140" s="34"/>
      <c r="MRJ140" s="34"/>
      <c r="MRK140" s="34"/>
      <c r="MRL140" s="34"/>
      <c r="MRM140" s="34"/>
      <c r="MRN140" s="34"/>
      <c r="MRO140" s="34"/>
      <c r="MRP140" s="34"/>
      <c r="MRQ140" s="34"/>
      <c r="MRR140" s="34"/>
      <c r="MRS140" s="34"/>
      <c r="MRT140" s="34"/>
      <c r="MRU140" s="34"/>
      <c r="MRV140" s="34"/>
      <c r="MRW140" s="34"/>
      <c r="MRX140" s="34"/>
      <c r="MRY140" s="34"/>
      <c r="MRZ140" s="34"/>
      <c r="MSA140" s="34"/>
      <c r="MSB140" s="34"/>
      <c r="MSC140" s="34"/>
      <c r="MSD140" s="34"/>
      <c r="MSE140" s="34"/>
      <c r="MSF140" s="34"/>
      <c r="MSG140" s="34"/>
      <c r="MSH140" s="34"/>
      <c r="MSI140" s="34"/>
      <c r="MSJ140" s="34"/>
      <c r="MSK140" s="34"/>
      <c r="MSL140" s="34"/>
      <c r="MSM140" s="34"/>
      <c r="MSN140" s="34"/>
      <c r="MSO140" s="34"/>
      <c r="MSP140" s="34"/>
      <c r="MSQ140" s="34"/>
      <c r="MSR140" s="34"/>
      <c r="MSS140" s="34"/>
      <c r="MST140" s="34"/>
      <c r="MSU140" s="34"/>
      <c r="MSV140" s="34"/>
      <c r="MSW140" s="34"/>
      <c r="MSX140" s="34"/>
      <c r="MSY140" s="34"/>
      <c r="MSZ140" s="34"/>
      <c r="MTA140" s="34"/>
      <c r="MTB140" s="34"/>
      <c r="MTC140" s="34"/>
      <c r="MTD140" s="34"/>
      <c r="MTE140" s="34"/>
      <c r="MTF140" s="34"/>
      <c r="MTG140" s="34"/>
      <c r="MTH140" s="34"/>
      <c r="MTI140" s="34"/>
      <c r="MTJ140" s="34"/>
      <c r="MTK140" s="34"/>
      <c r="MTL140" s="34"/>
      <c r="MTM140" s="34"/>
      <c r="MTN140" s="34"/>
      <c r="MTO140" s="34"/>
      <c r="MTP140" s="34"/>
      <c r="MTQ140" s="34"/>
      <c r="MTR140" s="34"/>
      <c r="MTS140" s="34"/>
      <c r="MTT140" s="34"/>
      <c r="MTU140" s="34"/>
      <c r="MTV140" s="34"/>
      <c r="MTW140" s="34"/>
      <c r="MTX140" s="34"/>
      <c r="MTY140" s="34"/>
      <c r="MTZ140" s="34"/>
      <c r="MUA140" s="34"/>
      <c r="MUB140" s="34"/>
      <c r="MUC140" s="34"/>
      <c r="MUD140" s="34"/>
      <c r="MUE140" s="34"/>
      <c r="MUF140" s="34"/>
      <c r="MUG140" s="34"/>
      <c r="MUH140" s="34"/>
      <c r="MUI140" s="34"/>
      <c r="MUJ140" s="34"/>
      <c r="MUK140" s="34"/>
      <c r="MUL140" s="34"/>
      <c r="MUM140" s="34"/>
      <c r="MUN140" s="34"/>
      <c r="MUO140" s="34"/>
      <c r="MUP140" s="34"/>
      <c r="MUQ140" s="34"/>
      <c r="MUR140" s="34"/>
      <c r="MUS140" s="34"/>
      <c r="MUT140" s="34"/>
      <c r="MUU140" s="34"/>
      <c r="MUV140" s="34"/>
      <c r="MUW140" s="34"/>
      <c r="MUX140" s="34"/>
      <c r="MUY140" s="34"/>
      <c r="MUZ140" s="34"/>
      <c r="MVA140" s="34"/>
      <c r="MVB140" s="34"/>
      <c r="MVC140" s="34"/>
      <c r="MVD140" s="34"/>
      <c r="MVE140" s="34"/>
      <c r="MVF140" s="34"/>
      <c r="MVG140" s="34"/>
      <c r="MVH140" s="34"/>
      <c r="MVI140" s="34"/>
      <c r="MVJ140" s="34"/>
      <c r="MVK140" s="34"/>
      <c r="MVL140" s="34"/>
      <c r="MVM140" s="34"/>
      <c r="MVN140" s="34"/>
      <c r="MVO140" s="34"/>
      <c r="MVP140" s="34"/>
      <c r="MVQ140" s="34"/>
      <c r="MVR140" s="34"/>
      <c r="MVS140" s="34"/>
      <c r="MVT140" s="34"/>
      <c r="MVU140" s="34"/>
      <c r="MVV140" s="34"/>
      <c r="MVW140" s="34"/>
      <c r="MVX140" s="34"/>
      <c r="MVY140" s="34"/>
      <c r="MVZ140" s="34"/>
      <c r="MWA140" s="34"/>
      <c r="MWB140" s="34"/>
      <c r="MWC140" s="34"/>
      <c r="MWD140" s="34"/>
      <c r="MWE140" s="34"/>
      <c r="MWF140" s="34"/>
      <c r="MWG140" s="34"/>
      <c r="MWH140" s="34"/>
      <c r="MWI140" s="34"/>
      <c r="MWJ140" s="34"/>
      <c r="MWK140" s="34"/>
      <c r="MWL140" s="34"/>
      <c r="MWM140" s="34"/>
      <c r="MWN140" s="34"/>
      <c r="MWO140" s="34"/>
      <c r="MWP140" s="34"/>
      <c r="MWQ140" s="34"/>
      <c r="MWR140" s="34"/>
      <c r="MWS140" s="34"/>
      <c r="MWT140" s="34"/>
      <c r="MWU140" s="34"/>
      <c r="MWV140" s="34"/>
      <c r="MWW140" s="34"/>
      <c r="MWX140" s="34"/>
      <c r="MWY140" s="34"/>
      <c r="MWZ140" s="34"/>
      <c r="MXA140" s="34"/>
      <c r="MXB140" s="34"/>
      <c r="MXC140" s="34"/>
      <c r="MXD140" s="34"/>
      <c r="MXE140" s="34"/>
      <c r="MXF140" s="34"/>
      <c r="MXG140" s="34"/>
      <c r="MXH140" s="34"/>
      <c r="MXI140" s="34"/>
      <c r="MXJ140" s="34"/>
      <c r="MXK140" s="34"/>
      <c r="MXL140" s="34"/>
      <c r="MXM140" s="34"/>
      <c r="MXN140" s="34"/>
      <c r="MXO140" s="34"/>
      <c r="MXP140" s="34"/>
      <c r="MXQ140" s="34"/>
      <c r="MXR140" s="34"/>
      <c r="MXS140" s="34"/>
      <c r="MXT140" s="34"/>
      <c r="MXU140" s="34"/>
      <c r="MXV140" s="34"/>
      <c r="MXW140" s="34"/>
      <c r="MXX140" s="34"/>
      <c r="MXY140" s="34"/>
      <c r="MXZ140" s="34"/>
      <c r="MYA140" s="34"/>
      <c r="MYB140" s="34"/>
      <c r="MYC140" s="34"/>
      <c r="MYD140" s="34"/>
      <c r="MYE140" s="34"/>
      <c r="MYF140" s="34"/>
      <c r="MYG140" s="34"/>
      <c r="MYH140" s="34"/>
      <c r="MYI140" s="34"/>
      <c r="MYJ140" s="34"/>
      <c r="MYK140" s="34"/>
      <c r="MYL140" s="34"/>
      <c r="MYM140" s="34"/>
      <c r="MYN140" s="34"/>
      <c r="MYO140" s="34"/>
      <c r="MYP140" s="34"/>
      <c r="MYQ140" s="34"/>
      <c r="MYR140" s="34"/>
      <c r="MYS140" s="34"/>
      <c r="MYT140" s="34"/>
      <c r="MYU140" s="34"/>
      <c r="MYV140" s="34"/>
      <c r="MYW140" s="34"/>
      <c r="MYX140" s="34"/>
      <c r="MYY140" s="34"/>
      <c r="MYZ140" s="34"/>
      <c r="MZA140" s="34"/>
      <c r="MZB140" s="34"/>
      <c r="MZC140" s="34"/>
      <c r="MZD140" s="34"/>
      <c r="MZE140" s="34"/>
      <c r="MZF140" s="34"/>
      <c r="MZG140" s="34"/>
      <c r="MZH140" s="34"/>
      <c r="MZI140" s="34"/>
      <c r="MZJ140" s="34"/>
      <c r="MZK140" s="34"/>
      <c r="MZL140" s="34"/>
      <c r="MZM140" s="34"/>
      <c r="MZN140" s="34"/>
      <c r="MZO140" s="34"/>
      <c r="MZP140" s="34"/>
      <c r="MZQ140" s="34"/>
      <c r="MZR140" s="34"/>
      <c r="MZS140" s="34"/>
      <c r="MZT140" s="34"/>
      <c r="MZU140" s="34"/>
      <c r="MZV140" s="34"/>
      <c r="MZW140" s="34"/>
      <c r="MZX140" s="34"/>
      <c r="MZY140" s="34"/>
      <c r="MZZ140" s="34"/>
      <c r="NAA140" s="34"/>
      <c r="NAB140" s="34"/>
      <c r="NAC140" s="34"/>
      <c r="NAD140" s="34"/>
      <c r="NAE140" s="34"/>
      <c r="NAF140" s="34"/>
      <c r="NAG140" s="34"/>
      <c r="NAH140" s="34"/>
      <c r="NAI140" s="34"/>
      <c r="NAJ140" s="34"/>
      <c r="NAK140" s="34"/>
      <c r="NAL140" s="34"/>
      <c r="NAM140" s="34"/>
      <c r="NAN140" s="34"/>
      <c r="NAO140" s="34"/>
      <c r="NAP140" s="34"/>
      <c r="NAQ140" s="34"/>
      <c r="NAR140" s="34"/>
      <c r="NAS140" s="34"/>
      <c r="NAT140" s="34"/>
      <c r="NAU140" s="34"/>
      <c r="NAV140" s="34"/>
      <c r="NAW140" s="34"/>
      <c r="NAX140" s="34"/>
      <c r="NAY140" s="34"/>
      <c r="NAZ140" s="34"/>
      <c r="NBA140" s="34"/>
      <c r="NBB140" s="34"/>
      <c r="NBC140" s="34"/>
      <c r="NBD140" s="34"/>
      <c r="NBE140" s="34"/>
      <c r="NBF140" s="34"/>
      <c r="NBG140" s="34"/>
      <c r="NBH140" s="34"/>
      <c r="NBI140" s="34"/>
      <c r="NBJ140" s="34"/>
      <c r="NBK140" s="34"/>
      <c r="NBL140" s="34"/>
      <c r="NBM140" s="34"/>
      <c r="NBN140" s="34"/>
      <c r="NBO140" s="34"/>
      <c r="NBP140" s="34"/>
      <c r="NBQ140" s="34"/>
      <c r="NBR140" s="34"/>
      <c r="NBS140" s="34"/>
      <c r="NBT140" s="34"/>
      <c r="NBU140" s="34"/>
      <c r="NBV140" s="34"/>
      <c r="NBW140" s="34"/>
      <c r="NBX140" s="34"/>
      <c r="NBY140" s="34"/>
      <c r="NBZ140" s="34"/>
      <c r="NCA140" s="34"/>
      <c r="NCB140" s="34"/>
      <c r="NCC140" s="34"/>
      <c r="NCD140" s="34"/>
      <c r="NCE140" s="34"/>
      <c r="NCF140" s="34"/>
      <c r="NCG140" s="34"/>
      <c r="NCH140" s="34"/>
      <c r="NCI140" s="34"/>
      <c r="NCJ140" s="34"/>
      <c r="NCK140" s="34"/>
      <c r="NCL140" s="34"/>
      <c r="NCM140" s="34"/>
      <c r="NCN140" s="34"/>
      <c r="NCO140" s="34"/>
      <c r="NCP140" s="34"/>
      <c r="NCQ140" s="34"/>
      <c r="NCR140" s="34"/>
      <c r="NCS140" s="34"/>
      <c r="NCT140" s="34"/>
      <c r="NCU140" s="34"/>
      <c r="NCV140" s="34"/>
      <c r="NCW140" s="34"/>
      <c r="NCX140" s="34"/>
      <c r="NCY140" s="34"/>
      <c r="NCZ140" s="34"/>
      <c r="NDA140" s="34"/>
      <c r="NDB140" s="34"/>
      <c r="NDC140" s="34"/>
      <c r="NDD140" s="34"/>
      <c r="NDE140" s="34"/>
      <c r="NDF140" s="34"/>
      <c r="NDG140" s="34"/>
      <c r="NDH140" s="34"/>
      <c r="NDI140" s="34"/>
      <c r="NDJ140" s="34"/>
      <c r="NDK140" s="34"/>
      <c r="NDL140" s="34"/>
      <c r="NDM140" s="34"/>
      <c r="NDN140" s="34"/>
      <c r="NDO140" s="34"/>
      <c r="NDP140" s="34"/>
      <c r="NDQ140" s="34"/>
      <c r="NDR140" s="34"/>
      <c r="NDS140" s="34"/>
      <c r="NDT140" s="34"/>
      <c r="NDU140" s="34"/>
      <c r="NDV140" s="34"/>
      <c r="NDW140" s="34"/>
      <c r="NDX140" s="34"/>
      <c r="NDY140" s="34"/>
      <c r="NDZ140" s="34"/>
      <c r="NEA140" s="34"/>
      <c r="NEB140" s="34"/>
      <c r="NEC140" s="34"/>
      <c r="NED140" s="34"/>
      <c r="NEE140" s="34"/>
      <c r="NEF140" s="34"/>
      <c r="NEG140" s="34"/>
      <c r="NEH140" s="34"/>
      <c r="NEI140" s="34"/>
      <c r="NEJ140" s="34"/>
      <c r="NEK140" s="34"/>
      <c r="NEL140" s="34"/>
      <c r="NEM140" s="34"/>
      <c r="NEN140" s="34"/>
      <c r="NEO140" s="34"/>
      <c r="NEP140" s="34"/>
      <c r="NEQ140" s="34"/>
      <c r="NER140" s="34"/>
      <c r="NES140" s="34"/>
      <c r="NET140" s="34"/>
      <c r="NEU140" s="34"/>
      <c r="NEV140" s="34"/>
      <c r="NEW140" s="34"/>
      <c r="NEX140" s="34"/>
      <c r="NEY140" s="34"/>
      <c r="NEZ140" s="34"/>
      <c r="NFA140" s="34"/>
      <c r="NFB140" s="34"/>
      <c r="NFC140" s="34"/>
      <c r="NFD140" s="34"/>
      <c r="NFE140" s="34"/>
      <c r="NFF140" s="34"/>
      <c r="NFG140" s="34"/>
      <c r="NFH140" s="34"/>
      <c r="NFI140" s="34"/>
      <c r="NFJ140" s="34"/>
      <c r="NFK140" s="34"/>
      <c r="NFL140" s="34"/>
      <c r="NFM140" s="34"/>
      <c r="NFN140" s="34"/>
      <c r="NFO140" s="34"/>
      <c r="NFP140" s="34"/>
      <c r="NFQ140" s="34"/>
      <c r="NFR140" s="34"/>
      <c r="NFS140" s="34"/>
      <c r="NFT140" s="34"/>
      <c r="NFU140" s="34"/>
      <c r="NFV140" s="34"/>
      <c r="NFW140" s="34"/>
      <c r="NFX140" s="34"/>
      <c r="NFY140" s="34"/>
      <c r="NFZ140" s="34"/>
      <c r="NGA140" s="34"/>
      <c r="NGB140" s="34"/>
      <c r="NGC140" s="34"/>
      <c r="NGD140" s="34"/>
      <c r="NGE140" s="34"/>
      <c r="NGF140" s="34"/>
      <c r="NGG140" s="34"/>
      <c r="NGH140" s="34"/>
      <c r="NGI140" s="34"/>
      <c r="NGJ140" s="34"/>
      <c r="NGK140" s="34"/>
      <c r="NGL140" s="34"/>
      <c r="NGM140" s="34"/>
      <c r="NGN140" s="34"/>
      <c r="NGO140" s="34"/>
      <c r="NGP140" s="34"/>
      <c r="NGQ140" s="34"/>
      <c r="NGR140" s="34"/>
      <c r="NGS140" s="34"/>
      <c r="NGT140" s="34"/>
      <c r="NGU140" s="34"/>
      <c r="NGV140" s="34"/>
      <c r="NGW140" s="34"/>
      <c r="NGX140" s="34"/>
      <c r="NGY140" s="34"/>
      <c r="NGZ140" s="34"/>
      <c r="NHA140" s="34"/>
      <c r="NHB140" s="34"/>
      <c r="NHC140" s="34"/>
      <c r="NHD140" s="34"/>
      <c r="NHE140" s="34"/>
      <c r="NHF140" s="34"/>
      <c r="NHG140" s="34"/>
      <c r="NHH140" s="34"/>
      <c r="NHI140" s="34"/>
      <c r="NHJ140" s="34"/>
      <c r="NHK140" s="34"/>
      <c r="NHL140" s="34"/>
      <c r="NHM140" s="34"/>
      <c r="NHN140" s="34"/>
      <c r="NHO140" s="34"/>
      <c r="NHP140" s="34"/>
      <c r="NHQ140" s="34"/>
      <c r="NHR140" s="34"/>
      <c r="NHS140" s="34"/>
      <c r="NHT140" s="34"/>
      <c r="NHU140" s="34"/>
      <c r="NHV140" s="34"/>
      <c r="NHW140" s="34"/>
      <c r="NHX140" s="34"/>
      <c r="NHY140" s="34"/>
      <c r="NHZ140" s="34"/>
      <c r="NIA140" s="34"/>
      <c r="NIB140" s="34"/>
      <c r="NIC140" s="34"/>
      <c r="NID140" s="34"/>
      <c r="NIE140" s="34"/>
      <c r="NIF140" s="34"/>
      <c r="NIG140" s="34"/>
      <c r="NIH140" s="34"/>
      <c r="NII140" s="34"/>
      <c r="NIJ140" s="34"/>
      <c r="NIK140" s="34"/>
      <c r="NIL140" s="34"/>
      <c r="NIM140" s="34"/>
      <c r="NIN140" s="34"/>
      <c r="NIO140" s="34"/>
      <c r="NIP140" s="34"/>
      <c r="NIQ140" s="34"/>
      <c r="NIR140" s="34"/>
      <c r="NIS140" s="34"/>
      <c r="NIT140" s="34"/>
      <c r="NIU140" s="34"/>
      <c r="NIV140" s="34"/>
      <c r="NIW140" s="34"/>
      <c r="NIX140" s="34"/>
      <c r="NIY140" s="34"/>
      <c r="NIZ140" s="34"/>
      <c r="NJA140" s="34"/>
      <c r="NJB140" s="34"/>
      <c r="NJC140" s="34"/>
      <c r="NJD140" s="34"/>
      <c r="NJE140" s="34"/>
      <c r="NJF140" s="34"/>
      <c r="NJG140" s="34"/>
      <c r="NJH140" s="34"/>
      <c r="NJI140" s="34"/>
      <c r="NJJ140" s="34"/>
      <c r="NJK140" s="34"/>
      <c r="NJL140" s="34"/>
      <c r="NJM140" s="34"/>
      <c r="NJN140" s="34"/>
      <c r="NJO140" s="34"/>
      <c r="NJP140" s="34"/>
      <c r="NJQ140" s="34"/>
      <c r="NJR140" s="34"/>
      <c r="NJS140" s="34"/>
      <c r="NJT140" s="34"/>
      <c r="NJU140" s="34"/>
      <c r="NJV140" s="34"/>
      <c r="NJW140" s="34"/>
      <c r="NJX140" s="34"/>
      <c r="NJY140" s="34"/>
      <c r="NJZ140" s="34"/>
      <c r="NKA140" s="34"/>
      <c r="NKB140" s="34"/>
      <c r="NKC140" s="34"/>
      <c r="NKD140" s="34"/>
      <c r="NKE140" s="34"/>
      <c r="NKF140" s="34"/>
      <c r="NKG140" s="34"/>
      <c r="NKH140" s="34"/>
      <c r="NKI140" s="34"/>
      <c r="NKJ140" s="34"/>
      <c r="NKK140" s="34"/>
      <c r="NKL140" s="34"/>
      <c r="NKM140" s="34"/>
      <c r="NKN140" s="34"/>
      <c r="NKO140" s="34"/>
      <c r="NKP140" s="34"/>
      <c r="NKQ140" s="34"/>
      <c r="NKR140" s="34"/>
      <c r="NKS140" s="34"/>
      <c r="NKT140" s="34"/>
      <c r="NKU140" s="34"/>
      <c r="NKV140" s="34"/>
      <c r="NKW140" s="34"/>
      <c r="NKX140" s="34"/>
      <c r="NKY140" s="34"/>
      <c r="NKZ140" s="34"/>
      <c r="NLA140" s="34"/>
      <c r="NLB140" s="34"/>
      <c r="NLC140" s="34"/>
      <c r="NLD140" s="34"/>
      <c r="NLE140" s="34"/>
      <c r="NLF140" s="34"/>
      <c r="NLG140" s="34"/>
      <c r="NLH140" s="34"/>
      <c r="NLI140" s="34"/>
      <c r="NLJ140" s="34"/>
      <c r="NLK140" s="34"/>
      <c r="NLL140" s="34"/>
      <c r="NLM140" s="34"/>
      <c r="NLN140" s="34"/>
      <c r="NLO140" s="34"/>
      <c r="NLP140" s="34"/>
      <c r="NLQ140" s="34"/>
      <c r="NLR140" s="34"/>
      <c r="NLS140" s="34"/>
      <c r="NLT140" s="34"/>
      <c r="NLU140" s="34"/>
      <c r="NLV140" s="34"/>
      <c r="NLW140" s="34"/>
      <c r="NLX140" s="34"/>
      <c r="NLY140" s="34"/>
      <c r="NLZ140" s="34"/>
      <c r="NMA140" s="34"/>
      <c r="NMB140" s="34"/>
      <c r="NMC140" s="34"/>
      <c r="NMD140" s="34"/>
      <c r="NME140" s="34"/>
      <c r="NMF140" s="34"/>
      <c r="NMG140" s="34"/>
      <c r="NMH140" s="34"/>
      <c r="NMI140" s="34"/>
      <c r="NMJ140" s="34"/>
      <c r="NMK140" s="34"/>
      <c r="NML140" s="34"/>
      <c r="NMM140" s="34"/>
      <c r="NMN140" s="34"/>
      <c r="NMO140" s="34"/>
      <c r="NMP140" s="34"/>
      <c r="NMQ140" s="34"/>
      <c r="NMR140" s="34"/>
      <c r="NMS140" s="34"/>
      <c r="NMT140" s="34"/>
      <c r="NMU140" s="34"/>
      <c r="NMV140" s="34"/>
      <c r="NMW140" s="34"/>
      <c r="NMX140" s="34"/>
      <c r="NMY140" s="34"/>
      <c r="NMZ140" s="34"/>
      <c r="NNA140" s="34"/>
      <c r="NNB140" s="34"/>
      <c r="NNC140" s="34"/>
      <c r="NND140" s="34"/>
      <c r="NNE140" s="34"/>
      <c r="NNF140" s="34"/>
      <c r="NNG140" s="34"/>
      <c r="NNH140" s="34"/>
      <c r="NNI140" s="34"/>
      <c r="NNJ140" s="34"/>
      <c r="NNK140" s="34"/>
      <c r="NNL140" s="34"/>
      <c r="NNM140" s="34"/>
      <c r="NNN140" s="34"/>
      <c r="NNO140" s="34"/>
      <c r="NNP140" s="34"/>
      <c r="NNQ140" s="34"/>
      <c r="NNR140" s="34"/>
      <c r="NNS140" s="34"/>
      <c r="NNT140" s="34"/>
      <c r="NNU140" s="34"/>
      <c r="NNV140" s="34"/>
      <c r="NNW140" s="34"/>
      <c r="NNX140" s="34"/>
      <c r="NNY140" s="34"/>
      <c r="NNZ140" s="34"/>
      <c r="NOA140" s="34"/>
      <c r="NOB140" s="34"/>
      <c r="NOC140" s="34"/>
      <c r="NOD140" s="34"/>
      <c r="NOE140" s="34"/>
      <c r="NOF140" s="34"/>
      <c r="NOG140" s="34"/>
      <c r="NOH140" s="34"/>
      <c r="NOI140" s="34"/>
      <c r="NOJ140" s="34"/>
      <c r="NOK140" s="34"/>
      <c r="NOL140" s="34"/>
      <c r="NOM140" s="34"/>
      <c r="NON140" s="34"/>
      <c r="NOO140" s="34"/>
      <c r="NOP140" s="34"/>
      <c r="NOQ140" s="34"/>
      <c r="NOR140" s="34"/>
      <c r="NOS140" s="34"/>
      <c r="NOT140" s="34"/>
      <c r="NOU140" s="34"/>
      <c r="NOV140" s="34"/>
      <c r="NOW140" s="34"/>
      <c r="NOX140" s="34"/>
      <c r="NOY140" s="34"/>
      <c r="NOZ140" s="34"/>
      <c r="NPA140" s="34"/>
      <c r="NPB140" s="34"/>
      <c r="NPC140" s="34"/>
      <c r="NPD140" s="34"/>
      <c r="NPE140" s="34"/>
      <c r="NPF140" s="34"/>
      <c r="NPG140" s="34"/>
      <c r="NPH140" s="34"/>
      <c r="NPI140" s="34"/>
      <c r="NPJ140" s="34"/>
      <c r="NPK140" s="34"/>
      <c r="NPL140" s="34"/>
      <c r="NPM140" s="34"/>
      <c r="NPN140" s="34"/>
      <c r="NPO140" s="34"/>
      <c r="NPP140" s="34"/>
      <c r="NPQ140" s="34"/>
      <c r="NPR140" s="34"/>
      <c r="NPS140" s="34"/>
      <c r="NPT140" s="34"/>
      <c r="NPU140" s="34"/>
      <c r="NPV140" s="34"/>
      <c r="NPW140" s="34"/>
      <c r="NPX140" s="34"/>
      <c r="NPY140" s="34"/>
      <c r="NPZ140" s="34"/>
      <c r="NQA140" s="34"/>
      <c r="NQB140" s="34"/>
      <c r="NQC140" s="34"/>
      <c r="NQD140" s="34"/>
      <c r="NQE140" s="34"/>
      <c r="NQF140" s="34"/>
      <c r="NQG140" s="34"/>
      <c r="NQH140" s="34"/>
      <c r="NQI140" s="34"/>
      <c r="NQJ140" s="34"/>
      <c r="NQK140" s="34"/>
      <c r="NQL140" s="34"/>
      <c r="NQM140" s="34"/>
      <c r="NQN140" s="34"/>
      <c r="NQO140" s="34"/>
      <c r="NQP140" s="34"/>
      <c r="NQQ140" s="34"/>
      <c r="NQR140" s="34"/>
      <c r="NQS140" s="34"/>
      <c r="NQT140" s="34"/>
      <c r="NQU140" s="34"/>
      <c r="NQV140" s="34"/>
      <c r="NQW140" s="34"/>
      <c r="NQX140" s="34"/>
      <c r="NQY140" s="34"/>
      <c r="NQZ140" s="34"/>
      <c r="NRA140" s="34"/>
      <c r="NRB140" s="34"/>
      <c r="NRC140" s="34"/>
      <c r="NRD140" s="34"/>
      <c r="NRE140" s="34"/>
      <c r="NRF140" s="34"/>
      <c r="NRG140" s="34"/>
      <c r="NRH140" s="34"/>
      <c r="NRI140" s="34"/>
      <c r="NRJ140" s="34"/>
      <c r="NRK140" s="34"/>
      <c r="NRL140" s="34"/>
      <c r="NRM140" s="34"/>
      <c r="NRN140" s="34"/>
      <c r="NRO140" s="34"/>
      <c r="NRP140" s="34"/>
      <c r="NRQ140" s="34"/>
      <c r="NRR140" s="34"/>
      <c r="NRS140" s="34"/>
      <c r="NRT140" s="34"/>
      <c r="NRU140" s="34"/>
      <c r="NRV140" s="34"/>
      <c r="NRW140" s="34"/>
      <c r="NRX140" s="34"/>
      <c r="NRY140" s="34"/>
      <c r="NRZ140" s="34"/>
      <c r="NSA140" s="34"/>
      <c r="NSB140" s="34"/>
      <c r="NSC140" s="34"/>
      <c r="NSD140" s="34"/>
      <c r="NSE140" s="34"/>
      <c r="NSF140" s="34"/>
      <c r="NSG140" s="34"/>
      <c r="NSH140" s="34"/>
      <c r="NSI140" s="34"/>
      <c r="NSJ140" s="34"/>
      <c r="NSK140" s="34"/>
      <c r="NSL140" s="34"/>
      <c r="NSM140" s="34"/>
      <c r="NSN140" s="34"/>
      <c r="NSO140" s="34"/>
      <c r="NSP140" s="34"/>
      <c r="NSQ140" s="34"/>
      <c r="NSR140" s="34"/>
      <c r="NSS140" s="34"/>
      <c r="NST140" s="34"/>
      <c r="NSU140" s="34"/>
      <c r="NSV140" s="34"/>
      <c r="NSW140" s="34"/>
      <c r="NSX140" s="34"/>
      <c r="NSY140" s="34"/>
      <c r="NSZ140" s="34"/>
      <c r="NTA140" s="34"/>
      <c r="NTB140" s="34"/>
      <c r="NTC140" s="34"/>
      <c r="NTD140" s="34"/>
      <c r="NTE140" s="34"/>
      <c r="NTF140" s="34"/>
      <c r="NTG140" s="34"/>
      <c r="NTH140" s="34"/>
      <c r="NTI140" s="34"/>
      <c r="NTJ140" s="34"/>
      <c r="NTK140" s="34"/>
      <c r="NTL140" s="34"/>
      <c r="NTM140" s="34"/>
      <c r="NTN140" s="34"/>
      <c r="NTO140" s="34"/>
      <c r="NTP140" s="34"/>
      <c r="NTQ140" s="34"/>
      <c r="NTR140" s="34"/>
      <c r="NTS140" s="34"/>
      <c r="NTT140" s="34"/>
      <c r="NTU140" s="34"/>
      <c r="NTV140" s="34"/>
      <c r="NTW140" s="34"/>
      <c r="NTX140" s="34"/>
      <c r="NTY140" s="34"/>
      <c r="NTZ140" s="34"/>
      <c r="NUA140" s="34"/>
      <c r="NUB140" s="34"/>
      <c r="NUC140" s="34"/>
      <c r="NUD140" s="34"/>
      <c r="NUE140" s="34"/>
      <c r="NUF140" s="34"/>
      <c r="NUG140" s="34"/>
      <c r="NUH140" s="34"/>
      <c r="NUI140" s="34"/>
      <c r="NUJ140" s="34"/>
      <c r="NUK140" s="34"/>
      <c r="NUL140" s="34"/>
      <c r="NUM140" s="34"/>
      <c r="NUN140" s="34"/>
      <c r="NUO140" s="34"/>
      <c r="NUP140" s="34"/>
      <c r="NUQ140" s="34"/>
      <c r="NUR140" s="34"/>
      <c r="NUS140" s="34"/>
      <c r="NUT140" s="34"/>
      <c r="NUU140" s="34"/>
      <c r="NUV140" s="34"/>
      <c r="NUW140" s="34"/>
      <c r="NUX140" s="34"/>
      <c r="NUY140" s="34"/>
      <c r="NUZ140" s="34"/>
      <c r="NVA140" s="34"/>
      <c r="NVB140" s="34"/>
      <c r="NVC140" s="34"/>
      <c r="NVD140" s="34"/>
      <c r="NVE140" s="34"/>
      <c r="NVF140" s="34"/>
      <c r="NVG140" s="34"/>
      <c r="NVH140" s="34"/>
      <c r="NVI140" s="34"/>
      <c r="NVJ140" s="34"/>
      <c r="NVK140" s="34"/>
      <c r="NVL140" s="34"/>
      <c r="NVM140" s="34"/>
      <c r="NVN140" s="34"/>
      <c r="NVO140" s="34"/>
      <c r="NVP140" s="34"/>
      <c r="NVQ140" s="34"/>
      <c r="NVR140" s="34"/>
      <c r="NVS140" s="34"/>
      <c r="NVT140" s="34"/>
      <c r="NVU140" s="34"/>
      <c r="NVV140" s="34"/>
      <c r="NVW140" s="34"/>
      <c r="NVX140" s="34"/>
      <c r="NVY140" s="34"/>
      <c r="NVZ140" s="34"/>
      <c r="NWA140" s="34"/>
      <c r="NWB140" s="34"/>
      <c r="NWC140" s="34"/>
      <c r="NWD140" s="34"/>
      <c r="NWE140" s="34"/>
      <c r="NWF140" s="34"/>
      <c r="NWG140" s="34"/>
      <c r="NWH140" s="34"/>
      <c r="NWI140" s="34"/>
      <c r="NWJ140" s="34"/>
      <c r="NWK140" s="34"/>
      <c r="NWL140" s="34"/>
      <c r="NWM140" s="34"/>
      <c r="NWN140" s="34"/>
      <c r="NWO140" s="34"/>
      <c r="NWP140" s="34"/>
      <c r="NWQ140" s="34"/>
      <c r="NWR140" s="34"/>
      <c r="NWS140" s="34"/>
      <c r="NWT140" s="34"/>
      <c r="NWU140" s="34"/>
      <c r="NWV140" s="34"/>
      <c r="NWW140" s="34"/>
      <c r="NWX140" s="34"/>
      <c r="NWY140" s="34"/>
      <c r="NWZ140" s="34"/>
      <c r="NXA140" s="34"/>
      <c r="NXB140" s="34"/>
      <c r="NXC140" s="34"/>
      <c r="NXD140" s="34"/>
      <c r="NXE140" s="34"/>
      <c r="NXF140" s="34"/>
      <c r="NXG140" s="34"/>
      <c r="NXH140" s="34"/>
      <c r="NXI140" s="34"/>
      <c r="NXJ140" s="34"/>
      <c r="NXK140" s="34"/>
      <c r="NXL140" s="34"/>
      <c r="NXM140" s="34"/>
      <c r="NXN140" s="34"/>
      <c r="NXO140" s="34"/>
      <c r="NXP140" s="34"/>
      <c r="NXQ140" s="34"/>
      <c r="NXR140" s="34"/>
      <c r="NXS140" s="34"/>
      <c r="NXT140" s="34"/>
      <c r="NXU140" s="34"/>
      <c r="NXV140" s="34"/>
      <c r="NXW140" s="34"/>
      <c r="NXX140" s="34"/>
      <c r="NXY140" s="34"/>
      <c r="NXZ140" s="34"/>
      <c r="NYA140" s="34"/>
      <c r="NYB140" s="34"/>
      <c r="NYC140" s="34"/>
      <c r="NYD140" s="34"/>
      <c r="NYE140" s="34"/>
      <c r="NYF140" s="34"/>
      <c r="NYG140" s="34"/>
      <c r="NYH140" s="34"/>
      <c r="NYI140" s="34"/>
      <c r="NYJ140" s="34"/>
      <c r="NYK140" s="34"/>
      <c r="NYL140" s="34"/>
      <c r="NYM140" s="34"/>
      <c r="NYN140" s="34"/>
      <c r="NYO140" s="34"/>
      <c r="NYP140" s="34"/>
      <c r="NYQ140" s="34"/>
      <c r="NYR140" s="34"/>
      <c r="NYS140" s="34"/>
      <c r="NYT140" s="34"/>
      <c r="NYU140" s="34"/>
      <c r="NYV140" s="34"/>
      <c r="NYW140" s="34"/>
      <c r="NYX140" s="34"/>
      <c r="NYY140" s="34"/>
      <c r="NYZ140" s="34"/>
      <c r="NZA140" s="34"/>
      <c r="NZB140" s="34"/>
      <c r="NZC140" s="34"/>
      <c r="NZD140" s="34"/>
      <c r="NZE140" s="34"/>
      <c r="NZF140" s="34"/>
      <c r="NZG140" s="34"/>
      <c r="NZH140" s="34"/>
      <c r="NZI140" s="34"/>
      <c r="NZJ140" s="34"/>
      <c r="NZK140" s="34"/>
      <c r="NZL140" s="34"/>
      <c r="NZM140" s="34"/>
      <c r="NZN140" s="34"/>
      <c r="NZO140" s="34"/>
      <c r="NZP140" s="34"/>
      <c r="NZQ140" s="34"/>
      <c r="NZR140" s="34"/>
      <c r="NZS140" s="34"/>
      <c r="NZT140" s="34"/>
      <c r="NZU140" s="34"/>
      <c r="NZV140" s="34"/>
      <c r="NZW140" s="34"/>
      <c r="NZX140" s="34"/>
      <c r="NZY140" s="34"/>
      <c r="NZZ140" s="34"/>
      <c r="OAA140" s="34"/>
      <c r="OAB140" s="34"/>
      <c r="OAC140" s="34"/>
      <c r="OAD140" s="34"/>
      <c r="OAE140" s="34"/>
      <c r="OAF140" s="34"/>
      <c r="OAG140" s="34"/>
      <c r="OAH140" s="34"/>
      <c r="OAI140" s="34"/>
      <c r="OAJ140" s="34"/>
      <c r="OAK140" s="34"/>
      <c r="OAL140" s="34"/>
      <c r="OAM140" s="34"/>
      <c r="OAN140" s="34"/>
      <c r="OAO140" s="34"/>
      <c r="OAP140" s="34"/>
      <c r="OAQ140" s="34"/>
      <c r="OAR140" s="34"/>
      <c r="OAS140" s="34"/>
      <c r="OAT140" s="34"/>
      <c r="OAU140" s="34"/>
      <c r="OAV140" s="34"/>
      <c r="OAW140" s="34"/>
      <c r="OAX140" s="34"/>
      <c r="OAY140" s="34"/>
      <c r="OAZ140" s="34"/>
      <c r="OBA140" s="34"/>
      <c r="OBB140" s="34"/>
      <c r="OBC140" s="34"/>
      <c r="OBD140" s="34"/>
      <c r="OBE140" s="34"/>
      <c r="OBF140" s="34"/>
      <c r="OBG140" s="34"/>
      <c r="OBH140" s="34"/>
      <c r="OBI140" s="34"/>
      <c r="OBJ140" s="34"/>
      <c r="OBK140" s="34"/>
      <c r="OBL140" s="34"/>
      <c r="OBM140" s="34"/>
      <c r="OBN140" s="34"/>
      <c r="OBO140" s="34"/>
      <c r="OBP140" s="34"/>
      <c r="OBQ140" s="34"/>
      <c r="OBR140" s="34"/>
      <c r="OBS140" s="34"/>
      <c r="OBT140" s="34"/>
      <c r="OBU140" s="34"/>
      <c r="OBV140" s="34"/>
      <c r="OBW140" s="34"/>
      <c r="OBX140" s="34"/>
      <c r="OBY140" s="34"/>
      <c r="OBZ140" s="34"/>
      <c r="OCA140" s="34"/>
      <c r="OCB140" s="34"/>
      <c r="OCC140" s="34"/>
      <c r="OCD140" s="34"/>
      <c r="OCE140" s="34"/>
      <c r="OCF140" s="34"/>
      <c r="OCG140" s="34"/>
      <c r="OCH140" s="34"/>
      <c r="OCI140" s="34"/>
      <c r="OCJ140" s="34"/>
      <c r="OCK140" s="34"/>
      <c r="OCL140" s="34"/>
      <c r="OCM140" s="34"/>
      <c r="OCN140" s="34"/>
      <c r="OCO140" s="34"/>
      <c r="OCP140" s="34"/>
      <c r="OCQ140" s="34"/>
      <c r="OCR140" s="34"/>
      <c r="OCS140" s="34"/>
      <c r="OCT140" s="34"/>
      <c r="OCU140" s="34"/>
      <c r="OCV140" s="34"/>
      <c r="OCW140" s="34"/>
      <c r="OCX140" s="34"/>
      <c r="OCY140" s="34"/>
      <c r="OCZ140" s="34"/>
      <c r="ODA140" s="34"/>
      <c r="ODB140" s="34"/>
      <c r="ODC140" s="34"/>
      <c r="ODD140" s="34"/>
      <c r="ODE140" s="34"/>
      <c r="ODF140" s="34"/>
      <c r="ODG140" s="34"/>
      <c r="ODH140" s="34"/>
      <c r="ODI140" s="34"/>
      <c r="ODJ140" s="34"/>
      <c r="ODK140" s="34"/>
      <c r="ODL140" s="34"/>
      <c r="ODM140" s="34"/>
      <c r="ODN140" s="34"/>
      <c r="ODO140" s="34"/>
      <c r="ODP140" s="34"/>
      <c r="ODQ140" s="34"/>
      <c r="ODR140" s="34"/>
      <c r="ODS140" s="34"/>
      <c r="ODT140" s="34"/>
      <c r="ODU140" s="34"/>
      <c r="ODV140" s="34"/>
      <c r="ODW140" s="34"/>
      <c r="ODX140" s="34"/>
      <c r="ODY140" s="34"/>
      <c r="ODZ140" s="34"/>
      <c r="OEA140" s="34"/>
      <c r="OEB140" s="34"/>
      <c r="OEC140" s="34"/>
      <c r="OED140" s="34"/>
      <c r="OEE140" s="34"/>
      <c r="OEF140" s="34"/>
      <c r="OEG140" s="34"/>
      <c r="OEH140" s="34"/>
      <c r="OEI140" s="34"/>
      <c r="OEJ140" s="34"/>
      <c r="OEK140" s="34"/>
      <c r="OEL140" s="34"/>
      <c r="OEM140" s="34"/>
      <c r="OEN140" s="34"/>
      <c r="OEO140" s="34"/>
      <c r="OEP140" s="34"/>
      <c r="OEQ140" s="34"/>
      <c r="OER140" s="34"/>
      <c r="OES140" s="34"/>
      <c r="OET140" s="34"/>
      <c r="OEU140" s="34"/>
      <c r="OEV140" s="34"/>
      <c r="OEW140" s="34"/>
      <c r="OEX140" s="34"/>
      <c r="OEY140" s="34"/>
      <c r="OEZ140" s="34"/>
      <c r="OFA140" s="34"/>
      <c r="OFB140" s="34"/>
      <c r="OFC140" s="34"/>
      <c r="OFD140" s="34"/>
      <c r="OFE140" s="34"/>
      <c r="OFF140" s="34"/>
      <c r="OFG140" s="34"/>
      <c r="OFH140" s="34"/>
      <c r="OFI140" s="34"/>
      <c r="OFJ140" s="34"/>
      <c r="OFK140" s="34"/>
      <c r="OFL140" s="34"/>
      <c r="OFM140" s="34"/>
      <c r="OFN140" s="34"/>
      <c r="OFO140" s="34"/>
      <c r="OFP140" s="34"/>
      <c r="OFQ140" s="34"/>
      <c r="OFR140" s="34"/>
      <c r="OFS140" s="34"/>
      <c r="OFT140" s="34"/>
      <c r="OFU140" s="34"/>
      <c r="OFV140" s="34"/>
      <c r="OFW140" s="34"/>
      <c r="OFX140" s="34"/>
      <c r="OFY140" s="34"/>
      <c r="OFZ140" s="34"/>
      <c r="OGA140" s="34"/>
      <c r="OGB140" s="34"/>
      <c r="OGC140" s="34"/>
      <c r="OGD140" s="34"/>
      <c r="OGE140" s="34"/>
      <c r="OGF140" s="34"/>
      <c r="OGG140" s="34"/>
      <c r="OGH140" s="34"/>
      <c r="OGI140" s="34"/>
      <c r="OGJ140" s="34"/>
      <c r="OGK140" s="34"/>
      <c r="OGL140" s="34"/>
      <c r="OGM140" s="34"/>
      <c r="OGN140" s="34"/>
      <c r="OGO140" s="34"/>
      <c r="OGP140" s="34"/>
      <c r="OGQ140" s="34"/>
      <c r="OGR140" s="34"/>
      <c r="OGS140" s="34"/>
      <c r="OGT140" s="34"/>
      <c r="OGU140" s="34"/>
      <c r="OGV140" s="34"/>
      <c r="OGW140" s="34"/>
      <c r="OGX140" s="34"/>
      <c r="OGY140" s="34"/>
      <c r="OGZ140" s="34"/>
      <c r="OHA140" s="34"/>
      <c r="OHB140" s="34"/>
      <c r="OHC140" s="34"/>
      <c r="OHD140" s="34"/>
      <c r="OHE140" s="34"/>
      <c r="OHF140" s="34"/>
      <c r="OHG140" s="34"/>
      <c r="OHH140" s="34"/>
      <c r="OHI140" s="34"/>
      <c r="OHJ140" s="34"/>
      <c r="OHK140" s="34"/>
      <c r="OHL140" s="34"/>
      <c r="OHM140" s="34"/>
      <c r="OHN140" s="34"/>
      <c r="OHO140" s="34"/>
      <c r="OHP140" s="34"/>
      <c r="OHQ140" s="34"/>
      <c r="OHR140" s="34"/>
      <c r="OHS140" s="34"/>
      <c r="OHT140" s="34"/>
      <c r="OHU140" s="34"/>
      <c r="OHV140" s="34"/>
      <c r="OHW140" s="34"/>
      <c r="OHX140" s="34"/>
      <c r="OHY140" s="34"/>
      <c r="OHZ140" s="34"/>
      <c r="OIA140" s="34"/>
      <c r="OIB140" s="34"/>
      <c r="OIC140" s="34"/>
      <c r="OID140" s="34"/>
      <c r="OIE140" s="34"/>
      <c r="OIF140" s="34"/>
      <c r="OIG140" s="34"/>
      <c r="OIH140" s="34"/>
      <c r="OII140" s="34"/>
      <c r="OIJ140" s="34"/>
      <c r="OIK140" s="34"/>
      <c r="OIL140" s="34"/>
      <c r="OIM140" s="34"/>
      <c r="OIN140" s="34"/>
      <c r="OIO140" s="34"/>
      <c r="OIP140" s="34"/>
      <c r="OIQ140" s="34"/>
      <c r="OIR140" s="34"/>
      <c r="OIS140" s="34"/>
      <c r="OIT140" s="34"/>
      <c r="OIU140" s="34"/>
      <c r="OIV140" s="34"/>
      <c r="OIW140" s="34"/>
      <c r="OIX140" s="34"/>
      <c r="OIY140" s="34"/>
      <c r="OIZ140" s="34"/>
      <c r="OJA140" s="34"/>
      <c r="OJB140" s="34"/>
      <c r="OJC140" s="34"/>
      <c r="OJD140" s="34"/>
      <c r="OJE140" s="34"/>
      <c r="OJF140" s="34"/>
      <c r="OJG140" s="34"/>
      <c r="OJH140" s="34"/>
      <c r="OJI140" s="34"/>
      <c r="OJJ140" s="34"/>
      <c r="OJK140" s="34"/>
      <c r="OJL140" s="34"/>
      <c r="OJM140" s="34"/>
      <c r="OJN140" s="34"/>
      <c r="OJO140" s="34"/>
      <c r="OJP140" s="34"/>
      <c r="OJQ140" s="34"/>
      <c r="OJR140" s="34"/>
      <c r="OJS140" s="34"/>
      <c r="OJT140" s="34"/>
      <c r="OJU140" s="34"/>
      <c r="OJV140" s="34"/>
      <c r="OJW140" s="34"/>
      <c r="OJX140" s="34"/>
      <c r="OJY140" s="34"/>
      <c r="OJZ140" s="34"/>
      <c r="OKA140" s="34"/>
      <c r="OKB140" s="34"/>
      <c r="OKC140" s="34"/>
      <c r="OKD140" s="34"/>
      <c r="OKE140" s="34"/>
      <c r="OKF140" s="34"/>
      <c r="OKG140" s="34"/>
      <c r="OKH140" s="34"/>
      <c r="OKI140" s="34"/>
      <c r="OKJ140" s="34"/>
      <c r="OKK140" s="34"/>
      <c r="OKL140" s="34"/>
      <c r="OKM140" s="34"/>
      <c r="OKN140" s="34"/>
      <c r="OKO140" s="34"/>
      <c r="OKP140" s="34"/>
      <c r="OKQ140" s="34"/>
      <c r="OKR140" s="34"/>
      <c r="OKS140" s="34"/>
      <c r="OKT140" s="34"/>
      <c r="OKU140" s="34"/>
      <c r="OKV140" s="34"/>
      <c r="OKW140" s="34"/>
      <c r="OKX140" s="34"/>
      <c r="OKY140" s="34"/>
      <c r="OKZ140" s="34"/>
      <c r="OLA140" s="34"/>
      <c r="OLB140" s="34"/>
      <c r="OLC140" s="34"/>
      <c r="OLD140" s="34"/>
      <c r="OLE140" s="34"/>
      <c r="OLF140" s="34"/>
      <c r="OLG140" s="34"/>
      <c r="OLH140" s="34"/>
      <c r="OLI140" s="34"/>
      <c r="OLJ140" s="34"/>
      <c r="OLK140" s="34"/>
      <c r="OLL140" s="34"/>
      <c r="OLM140" s="34"/>
      <c r="OLN140" s="34"/>
      <c r="OLO140" s="34"/>
      <c r="OLP140" s="34"/>
      <c r="OLQ140" s="34"/>
      <c r="OLR140" s="34"/>
      <c r="OLS140" s="34"/>
      <c r="OLT140" s="34"/>
      <c r="OLU140" s="34"/>
      <c r="OLV140" s="34"/>
      <c r="OLW140" s="34"/>
      <c r="OLX140" s="34"/>
      <c r="OLY140" s="34"/>
      <c r="OLZ140" s="34"/>
      <c r="OMA140" s="34"/>
      <c r="OMB140" s="34"/>
      <c r="OMC140" s="34"/>
      <c r="OMD140" s="34"/>
      <c r="OME140" s="34"/>
      <c r="OMF140" s="34"/>
      <c r="OMG140" s="34"/>
      <c r="OMH140" s="34"/>
      <c r="OMI140" s="34"/>
      <c r="OMJ140" s="34"/>
      <c r="OMK140" s="34"/>
      <c r="OML140" s="34"/>
      <c r="OMM140" s="34"/>
      <c r="OMN140" s="34"/>
      <c r="OMO140" s="34"/>
      <c r="OMP140" s="34"/>
      <c r="OMQ140" s="34"/>
      <c r="OMR140" s="34"/>
      <c r="OMS140" s="34"/>
      <c r="OMT140" s="34"/>
      <c r="OMU140" s="34"/>
      <c r="OMV140" s="34"/>
      <c r="OMW140" s="34"/>
      <c r="OMX140" s="34"/>
      <c r="OMY140" s="34"/>
      <c r="OMZ140" s="34"/>
      <c r="ONA140" s="34"/>
      <c r="ONB140" s="34"/>
      <c r="ONC140" s="34"/>
      <c r="OND140" s="34"/>
      <c r="ONE140" s="34"/>
      <c r="ONF140" s="34"/>
      <c r="ONG140" s="34"/>
      <c r="ONH140" s="34"/>
      <c r="ONI140" s="34"/>
      <c r="ONJ140" s="34"/>
      <c r="ONK140" s="34"/>
      <c r="ONL140" s="34"/>
      <c r="ONM140" s="34"/>
      <c r="ONN140" s="34"/>
      <c r="ONO140" s="34"/>
      <c r="ONP140" s="34"/>
      <c r="ONQ140" s="34"/>
      <c r="ONR140" s="34"/>
      <c r="ONS140" s="34"/>
      <c r="ONT140" s="34"/>
      <c r="ONU140" s="34"/>
      <c r="ONV140" s="34"/>
      <c r="ONW140" s="34"/>
      <c r="ONX140" s="34"/>
      <c r="ONY140" s="34"/>
      <c r="ONZ140" s="34"/>
      <c r="OOA140" s="34"/>
      <c r="OOB140" s="34"/>
      <c r="OOC140" s="34"/>
      <c r="OOD140" s="34"/>
      <c r="OOE140" s="34"/>
      <c r="OOF140" s="34"/>
      <c r="OOG140" s="34"/>
      <c r="OOH140" s="34"/>
      <c r="OOI140" s="34"/>
      <c r="OOJ140" s="34"/>
      <c r="OOK140" s="34"/>
      <c r="OOL140" s="34"/>
      <c r="OOM140" s="34"/>
      <c r="OON140" s="34"/>
      <c r="OOO140" s="34"/>
      <c r="OOP140" s="34"/>
      <c r="OOQ140" s="34"/>
      <c r="OOR140" s="34"/>
      <c r="OOS140" s="34"/>
      <c r="OOT140" s="34"/>
      <c r="OOU140" s="34"/>
      <c r="OOV140" s="34"/>
      <c r="OOW140" s="34"/>
      <c r="OOX140" s="34"/>
      <c r="OOY140" s="34"/>
      <c r="OOZ140" s="34"/>
      <c r="OPA140" s="34"/>
      <c r="OPB140" s="34"/>
      <c r="OPC140" s="34"/>
      <c r="OPD140" s="34"/>
      <c r="OPE140" s="34"/>
      <c r="OPF140" s="34"/>
      <c r="OPG140" s="34"/>
      <c r="OPH140" s="34"/>
      <c r="OPI140" s="34"/>
      <c r="OPJ140" s="34"/>
      <c r="OPK140" s="34"/>
      <c r="OPL140" s="34"/>
      <c r="OPM140" s="34"/>
      <c r="OPN140" s="34"/>
      <c r="OPO140" s="34"/>
      <c r="OPP140" s="34"/>
      <c r="OPQ140" s="34"/>
      <c r="OPR140" s="34"/>
      <c r="OPS140" s="34"/>
      <c r="OPT140" s="34"/>
      <c r="OPU140" s="34"/>
      <c r="OPV140" s="34"/>
      <c r="OPW140" s="34"/>
      <c r="OPX140" s="34"/>
      <c r="OPY140" s="34"/>
      <c r="OPZ140" s="34"/>
      <c r="OQA140" s="34"/>
      <c r="OQB140" s="34"/>
      <c r="OQC140" s="34"/>
      <c r="OQD140" s="34"/>
      <c r="OQE140" s="34"/>
      <c r="OQF140" s="34"/>
      <c r="OQG140" s="34"/>
      <c r="OQH140" s="34"/>
      <c r="OQI140" s="34"/>
      <c r="OQJ140" s="34"/>
      <c r="OQK140" s="34"/>
      <c r="OQL140" s="34"/>
      <c r="OQM140" s="34"/>
      <c r="OQN140" s="34"/>
      <c r="OQO140" s="34"/>
      <c r="OQP140" s="34"/>
      <c r="OQQ140" s="34"/>
      <c r="OQR140" s="34"/>
      <c r="OQS140" s="34"/>
      <c r="OQT140" s="34"/>
      <c r="OQU140" s="34"/>
      <c r="OQV140" s="34"/>
      <c r="OQW140" s="34"/>
      <c r="OQX140" s="34"/>
      <c r="OQY140" s="34"/>
      <c r="OQZ140" s="34"/>
      <c r="ORA140" s="34"/>
      <c r="ORB140" s="34"/>
      <c r="ORC140" s="34"/>
      <c r="ORD140" s="34"/>
      <c r="ORE140" s="34"/>
      <c r="ORF140" s="34"/>
      <c r="ORG140" s="34"/>
      <c r="ORH140" s="34"/>
      <c r="ORI140" s="34"/>
      <c r="ORJ140" s="34"/>
      <c r="ORK140" s="34"/>
      <c r="ORL140" s="34"/>
      <c r="ORM140" s="34"/>
      <c r="ORN140" s="34"/>
      <c r="ORO140" s="34"/>
      <c r="ORP140" s="34"/>
      <c r="ORQ140" s="34"/>
      <c r="ORR140" s="34"/>
      <c r="ORS140" s="34"/>
      <c r="ORT140" s="34"/>
      <c r="ORU140" s="34"/>
      <c r="ORV140" s="34"/>
      <c r="ORW140" s="34"/>
      <c r="ORX140" s="34"/>
      <c r="ORY140" s="34"/>
      <c r="ORZ140" s="34"/>
      <c r="OSA140" s="34"/>
      <c r="OSB140" s="34"/>
      <c r="OSC140" s="34"/>
      <c r="OSD140" s="34"/>
      <c r="OSE140" s="34"/>
      <c r="OSF140" s="34"/>
      <c r="OSG140" s="34"/>
      <c r="OSH140" s="34"/>
      <c r="OSI140" s="34"/>
      <c r="OSJ140" s="34"/>
      <c r="OSK140" s="34"/>
      <c r="OSL140" s="34"/>
      <c r="OSM140" s="34"/>
      <c r="OSN140" s="34"/>
      <c r="OSO140" s="34"/>
      <c r="OSP140" s="34"/>
      <c r="OSQ140" s="34"/>
      <c r="OSR140" s="34"/>
      <c r="OSS140" s="34"/>
      <c r="OST140" s="34"/>
      <c r="OSU140" s="34"/>
      <c r="OSV140" s="34"/>
      <c r="OSW140" s="34"/>
      <c r="OSX140" s="34"/>
      <c r="OSY140" s="34"/>
      <c r="OSZ140" s="34"/>
      <c r="OTA140" s="34"/>
      <c r="OTB140" s="34"/>
      <c r="OTC140" s="34"/>
      <c r="OTD140" s="34"/>
      <c r="OTE140" s="34"/>
      <c r="OTF140" s="34"/>
      <c r="OTG140" s="34"/>
      <c r="OTH140" s="34"/>
      <c r="OTI140" s="34"/>
      <c r="OTJ140" s="34"/>
      <c r="OTK140" s="34"/>
      <c r="OTL140" s="34"/>
      <c r="OTM140" s="34"/>
      <c r="OTN140" s="34"/>
      <c r="OTO140" s="34"/>
      <c r="OTP140" s="34"/>
      <c r="OTQ140" s="34"/>
      <c r="OTR140" s="34"/>
      <c r="OTS140" s="34"/>
      <c r="OTT140" s="34"/>
      <c r="OTU140" s="34"/>
      <c r="OTV140" s="34"/>
      <c r="OTW140" s="34"/>
      <c r="OTX140" s="34"/>
      <c r="OTY140" s="34"/>
      <c r="OTZ140" s="34"/>
      <c r="OUA140" s="34"/>
      <c r="OUB140" s="34"/>
      <c r="OUC140" s="34"/>
      <c r="OUD140" s="34"/>
      <c r="OUE140" s="34"/>
      <c r="OUF140" s="34"/>
      <c r="OUG140" s="34"/>
      <c r="OUH140" s="34"/>
      <c r="OUI140" s="34"/>
      <c r="OUJ140" s="34"/>
      <c r="OUK140" s="34"/>
      <c r="OUL140" s="34"/>
      <c r="OUM140" s="34"/>
      <c r="OUN140" s="34"/>
      <c r="OUO140" s="34"/>
      <c r="OUP140" s="34"/>
      <c r="OUQ140" s="34"/>
      <c r="OUR140" s="34"/>
      <c r="OUS140" s="34"/>
      <c r="OUT140" s="34"/>
      <c r="OUU140" s="34"/>
      <c r="OUV140" s="34"/>
      <c r="OUW140" s="34"/>
      <c r="OUX140" s="34"/>
      <c r="OUY140" s="34"/>
      <c r="OUZ140" s="34"/>
      <c r="OVA140" s="34"/>
      <c r="OVB140" s="34"/>
      <c r="OVC140" s="34"/>
      <c r="OVD140" s="34"/>
      <c r="OVE140" s="34"/>
      <c r="OVF140" s="34"/>
      <c r="OVG140" s="34"/>
      <c r="OVH140" s="34"/>
      <c r="OVI140" s="34"/>
      <c r="OVJ140" s="34"/>
      <c r="OVK140" s="34"/>
      <c r="OVL140" s="34"/>
      <c r="OVM140" s="34"/>
      <c r="OVN140" s="34"/>
      <c r="OVO140" s="34"/>
      <c r="OVP140" s="34"/>
      <c r="OVQ140" s="34"/>
      <c r="OVR140" s="34"/>
      <c r="OVS140" s="34"/>
      <c r="OVT140" s="34"/>
      <c r="OVU140" s="34"/>
      <c r="OVV140" s="34"/>
      <c r="OVW140" s="34"/>
      <c r="OVX140" s="34"/>
      <c r="OVY140" s="34"/>
      <c r="OVZ140" s="34"/>
      <c r="OWA140" s="34"/>
      <c r="OWB140" s="34"/>
      <c r="OWC140" s="34"/>
      <c r="OWD140" s="34"/>
      <c r="OWE140" s="34"/>
      <c r="OWF140" s="34"/>
      <c r="OWG140" s="34"/>
      <c r="OWH140" s="34"/>
      <c r="OWI140" s="34"/>
      <c r="OWJ140" s="34"/>
      <c r="OWK140" s="34"/>
      <c r="OWL140" s="34"/>
      <c r="OWM140" s="34"/>
      <c r="OWN140" s="34"/>
      <c r="OWO140" s="34"/>
      <c r="OWP140" s="34"/>
      <c r="OWQ140" s="34"/>
      <c r="OWR140" s="34"/>
      <c r="OWS140" s="34"/>
      <c r="OWT140" s="34"/>
      <c r="OWU140" s="34"/>
      <c r="OWV140" s="34"/>
      <c r="OWW140" s="34"/>
      <c r="OWX140" s="34"/>
      <c r="OWY140" s="34"/>
      <c r="OWZ140" s="34"/>
      <c r="OXA140" s="34"/>
      <c r="OXB140" s="34"/>
      <c r="OXC140" s="34"/>
      <c r="OXD140" s="34"/>
      <c r="OXE140" s="34"/>
      <c r="OXF140" s="34"/>
      <c r="OXG140" s="34"/>
      <c r="OXH140" s="34"/>
      <c r="OXI140" s="34"/>
      <c r="OXJ140" s="34"/>
      <c r="OXK140" s="34"/>
      <c r="OXL140" s="34"/>
      <c r="OXM140" s="34"/>
      <c r="OXN140" s="34"/>
      <c r="OXO140" s="34"/>
      <c r="OXP140" s="34"/>
      <c r="OXQ140" s="34"/>
      <c r="OXR140" s="34"/>
      <c r="OXS140" s="34"/>
      <c r="OXT140" s="34"/>
      <c r="OXU140" s="34"/>
      <c r="OXV140" s="34"/>
      <c r="OXW140" s="34"/>
      <c r="OXX140" s="34"/>
      <c r="OXY140" s="34"/>
      <c r="OXZ140" s="34"/>
      <c r="OYA140" s="34"/>
      <c r="OYB140" s="34"/>
      <c r="OYC140" s="34"/>
      <c r="OYD140" s="34"/>
      <c r="OYE140" s="34"/>
      <c r="OYF140" s="34"/>
      <c r="OYG140" s="34"/>
      <c r="OYH140" s="34"/>
      <c r="OYI140" s="34"/>
      <c r="OYJ140" s="34"/>
      <c r="OYK140" s="34"/>
      <c r="OYL140" s="34"/>
      <c r="OYM140" s="34"/>
      <c r="OYN140" s="34"/>
      <c r="OYO140" s="34"/>
      <c r="OYP140" s="34"/>
      <c r="OYQ140" s="34"/>
      <c r="OYR140" s="34"/>
      <c r="OYS140" s="34"/>
      <c r="OYT140" s="34"/>
      <c r="OYU140" s="34"/>
      <c r="OYV140" s="34"/>
      <c r="OYW140" s="34"/>
      <c r="OYX140" s="34"/>
      <c r="OYY140" s="34"/>
      <c r="OYZ140" s="34"/>
      <c r="OZA140" s="34"/>
      <c r="OZB140" s="34"/>
      <c r="OZC140" s="34"/>
      <c r="OZD140" s="34"/>
      <c r="OZE140" s="34"/>
      <c r="OZF140" s="34"/>
      <c r="OZG140" s="34"/>
      <c r="OZH140" s="34"/>
      <c r="OZI140" s="34"/>
      <c r="OZJ140" s="34"/>
      <c r="OZK140" s="34"/>
      <c r="OZL140" s="34"/>
      <c r="OZM140" s="34"/>
      <c r="OZN140" s="34"/>
      <c r="OZO140" s="34"/>
      <c r="OZP140" s="34"/>
      <c r="OZQ140" s="34"/>
      <c r="OZR140" s="34"/>
      <c r="OZS140" s="34"/>
      <c r="OZT140" s="34"/>
      <c r="OZU140" s="34"/>
      <c r="OZV140" s="34"/>
      <c r="OZW140" s="34"/>
      <c r="OZX140" s="34"/>
      <c r="OZY140" s="34"/>
      <c r="OZZ140" s="34"/>
      <c r="PAA140" s="34"/>
      <c r="PAB140" s="34"/>
      <c r="PAC140" s="34"/>
      <c r="PAD140" s="34"/>
      <c r="PAE140" s="34"/>
      <c r="PAF140" s="34"/>
      <c r="PAG140" s="34"/>
      <c r="PAH140" s="34"/>
      <c r="PAI140" s="34"/>
      <c r="PAJ140" s="34"/>
      <c r="PAK140" s="34"/>
      <c r="PAL140" s="34"/>
      <c r="PAM140" s="34"/>
      <c r="PAN140" s="34"/>
      <c r="PAO140" s="34"/>
      <c r="PAP140" s="34"/>
      <c r="PAQ140" s="34"/>
      <c r="PAR140" s="34"/>
      <c r="PAS140" s="34"/>
      <c r="PAT140" s="34"/>
      <c r="PAU140" s="34"/>
      <c r="PAV140" s="34"/>
      <c r="PAW140" s="34"/>
      <c r="PAX140" s="34"/>
      <c r="PAY140" s="34"/>
      <c r="PAZ140" s="34"/>
      <c r="PBA140" s="34"/>
      <c r="PBB140" s="34"/>
      <c r="PBC140" s="34"/>
      <c r="PBD140" s="34"/>
      <c r="PBE140" s="34"/>
      <c r="PBF140" s="34"/>
      <c r="PBG140" s="34"/>
      <c r="PBH140" s="34"/>
      <c r="PBI140" s="34"/>
      <c r="PBJ140" s="34"/>
      <c r="PBK140" s="34"/>
      <c r="PBL140" s="34"/>
      <c r="PBM140" s="34"/>
      <c r="PBN140" s="34"/>
      <c r="PBO140" s="34"/>
      <c r="PBP140" s="34"/>
      <c r="PBQ140" s="34"/>
      <c r="PBR140" s="34"/>
      <c r="PBS140" s="34"/>
      <c r="PBT140" s="34"/>
      <c r="PBU140" s="34"/>
      <c r="PBV140" s="34"/>
      <c r="PBW140" s="34"/>
      <c r="PBX140" s="34"/>
      <c r="PBY140" s="34"/>
      <c r="PBZ140" s="34"/>
      <c r="PCA140" s="34"/>
      <c r="PCB140" s="34"/>
      <c r="PCC140" s="34"/>
      <c r="PCD140" s="34"/>
      <c r="PCE140" s="34"/>
      <c r="PCF140" s="34"/>
      <c r="PCG140" s="34"/>
      <c r="PCH140" s="34"/>
      <c r="PCI140" s="34"/>
      <c r="PCJ140" s="34"/>
      <c r="PCK140" s="34"/>
      <c r="PCL140" s="34"/>
      <c r="PCM140" s="34"/>
      <c r="PCN140" s="34"/>
      <c r="PCO140" s="34"/>
      <c r="PCP140" s="34"/>
      <c r="PCQ140" s="34"/>
      <c r="PCR140" s="34"/>
      <c r="PCS140" s="34"/>
      <c r="PCT140" s="34"/>
      <c r="PCU140" s="34"/>
      <c r="PCV140" s="34"/>
      <c r="PCW140" s="34"/>
      <c r="PCX140" s="34"/>
      <c r="PCY140" s="34"/>
      <c r="PCZ140" s="34"/>
      <c r="PDA140" s="34"/>
      <c r="PDB140" s="34"/>
      <c r="PDC140" s="34"/>
      <c r="PDD140" s="34"/>
      <c r="PDE140" s="34"/>
      <c r="PDF140" s="34"/>
      <c r="PDG140" s="34"/>
      <c r="PDH140" s="34"/>
      <c r="PDI140" s="34"/>
      <c r="PDJ140" s="34"/>
      <c r="PDK140" s="34"/>
      <c r="PDL140" s="34"/>
      <c r="PDM140" s="34"/>
      <c r="PDN140" s="34"/>
      <c r="PDO140" s="34"/>
      <c r="PDP140" s="34"/>
      <c r="PDQ140" s="34"/>
      <c r="PDR140" s="34"/>
      <c r="PDS140" s="34"/>
      <c r="PDT140" s="34"/>
      <c r="PDU140" s="34"/>
      <c r="PDV140" s="34"/>
      <c r="PDW140" s="34"/>
      <c r="PDX140" s="34"/>
      <c r="PDY140" s="34"/>
      <c r="PDZ140" s="34"/>
      <c r="PEA140" s="34"/>
      <c r="PEB140" s="34"/>
      <c r="PEC140" s="34"/>
      <c r="PED140" s="34"/>
      <c r="PEE140" s="34"/>
      <c r="PEF140" s="34"/>
      <c r="PEG140" s="34"/>
      <c r="PEH140" s="34"/>
      <c r="PEI140" s="34"/>
      <c r="PEJ140" s="34"/>
      <c r="PEK140" s="34"/>
      <c r="PEL140" s="34"/>
      <c r="PEM140" s="34"/>
      <c r="PEN140" s="34"/>
      <c r="PEO140" s="34"/>
      <c r="PEP140" s="34"/>
      <c r="PEQ140" s="34"/>
      <c r="PER140" s="34"/>
      <c r="PES140" s="34"/>
      <c r="PET140" s="34"/>
      <c r="PEU140" s="34"/>
      <c r="PEV140" s="34"/>
      <c r="PEW140" s="34"/>
      <c r="PEX140" s="34"/>
      <c r="PEY140" s="34"/>
      <c r="PEZ140" s="34"/>
      <c r="PFA140" s="34"/>
      <c r="PFB140" s="34"/>
      <c r="PFC140" s="34"/>
      <c r="PFD140" s="34"/>
      <c r="PFE140" s="34"/>
      <c r="PFF140" s="34"/>
      <c r="PFG140" s="34"/>
      <c r="PFH140" s="34"/>
      <c r="PFI140" s="34"/>
      <c r="PFJ140" s="34"/>
      <c r="PFK140" s="34"/>
      <c r="PFL140" s="34"/>
      <c r="PFM140" s="34"/>
      <c r="PFN140" s="34"/>
      <c r="PFO140" s="34"/>
      <c r="PFP140" s="34"/>
      <c r="PFQ140" s="34"/>
      <c r="PFR140" s="34"/>
      <c r="PFS140" s="34"/>
      <c r="PFT140" s="34"/>
      <c r="PFU140" s="34"/>
      <c r="PFV140" s="34"/>
      <c r="PFW140" s="34"/>
      <c r="PFX140" s="34"/>
      <c r="PFY140" s="34"/>
      <c r="PFZ140" s="34"/>
      <c r="PGA140" s="34"/>
      <c r="PGB140" s="34"/>
      <c r="PGC140" s="34"/>
      <c r="PGD140" s="34"/>
      <c r="PGE140" s="34"/>
      <c r="PGF140" s="34"/>
      <c r="PGG140" s="34"/>
      <c r="PGH140" s="34"/>
      <c r="PGI140" s="34"/>
      <c r="PGJ140" s="34"/>
      <c r="PGK140" s="34"/>
      <c r="PGL140" s="34"/>
      <c r="PGM140" s="34"/>
      <c r="PGN140" s="34"/>
      <c r="PGO140" s="34"/>
      <c r="PGP140" s="34"/>
      <c r="PGQ140" s="34"/>
      <c r="PGR140" s="34"/>
      <c r="PGS140" s="34"/>
      <c r="PGT140" s="34"/>
      <c r="PGU140" s="34"/>
      <c r="PGV140" s="34"/>
      <c r="PGW140" s="34"/>
      <c r="PGX140" s="34"/>
      <c r="PGY140" s="34"/>
      <c r="PGZ140" s="34"/>
      <c r="PHA140" s="34"/>
      <c r="PHB140" s="34"/>
      <c r="PHC140" s="34"/>
      <c r="PHD140" s="34"/>
      <c r="PHE140" s="34"/>
      <c r="PHF140" s="34"/>
      <c r="PHG140" s="34"/>
      <c r="PHH140" s="34"/>
      <c r="PHI140" s="34"/>
      <c r="PHJ140" s="34"/>
      <c r="PHK140" s="34"/>
      <c r="PHL140" s="34"/>
      <c r="PHM140" s="34"/>
      <c r="PHN140" s="34"/>
      <c r="PHO140" s="34"/>
      <c r="PHP140" s="34"/>
      <c r="PHQ140" s="34"/>
      <c r="PHR140" s="34"/>
      <c r="PHS140" s="34"/>
      <c r="PHT140" s="34"/>
      <c r="PHU140" s="34"/>
      <c r="PHV140" s="34"/>
      <c r="PHW140" s="34"/>
      <c r="PHX140" s="34"/>
      <c r="PHY140" s="34"/>
      <c r="PHZ140" s="34"/>
      <c r="PIA140" s="34"/>
      <c r="PIB140" s="34"/>
      <c r="PIC140" s="34"/>
      <c r="PID140" s="34"/>
      <c r="PIE140" s="34"/>
      <c r="PIF140" s="34"/>
      <c r="PIG140" s="34"/>
      <c r="PIH140" s="34"/>
      <c r="PII140" s="34"/>
      <c r="PIJ140" s="34"/>
      <c r="PIK140" s="34"/>
      <c r="PIL140" s="34"/>
      <c r="PIM140" s="34"/>
      <c r="PIN140" s="34"/>
      <c r="PIO140" s="34"/>
      <c r="PIP140" s="34"/>
      <c r="PIQ140" s="34"/>
      <c r="PIR140" s="34"/>
      <c r="PIS140" s="34"/>
      <c r="PIT140" s="34"/>
      <c r="PIU140" s="34"/>
      <c r="PIV140" s="34"/>
      <c r="PIW140" s="34"/>
      <c r="PIX140" s="34"/>
      <c r="PIY140" s="34"/>
      <c r="PIZ140" s="34"/>
      <c r="PJA140" s="34"/>
      <c r="PJB140" s="34"/>
      <c r="PJC140" s="34"/>
      <c r="PJD140" s="34"/>
      <c r="PJE140" s="34"/>
      <c r="PJF140" s="34"/>
      <c r="PJG140" s="34"/>
      <c r="PJH140" s="34"/>
      <c r="PJI140" s="34"/>
      <c r="PJJ140" s="34"/>
      <c r="PJK140" s="34"/>
      <c r="PJL140" s="34"/>
      <c r="PJM140" s="34"/>
      <c r="PJN140" s="34"/>
      <c r="PJO140" s="34"/>
      <c r="PJP140" s="34"/>
      <c r="PJQ140" s="34"/>
      <c r="PJR140" s="34"/>
      <c r="PJS140" s="34"/>
      <c r="PJT140" s="34"/>
      <c r="PJU140" s="34"/>
      <c r="PJV140" s="34"/>
      <c r="PJW140" s="34"/>
      <c r="PJX140" s="34"/>
      <c r="PJY140" s="34"/>
      <c r="PJZ140" s="34"/>
      <c r="PKA140" s="34"/>
      <c r="PKB140" s="34"/>
      <c r="PKC140" s="34"/>
      <c r="PKD140" s="34"/>
      <c r="PKE140" s="34"/>
      <c r="PKF140" s="34"/>
      <c r="PKG140" s="34"/>
      <c r="PKH140" s="34"/>
      <c r="PKI140" s="34"/>
      <c r="PKJ140" s="34"/>
      <c r="PKK140" s="34"/>
      <c r="PKL140" s="34"/>
      <c r="PKM140" s="34"/>
      <c r="PKN140" s="34"/>
      <c r="PKO140" s="34"/>
      <c r="PKP140" s="34"/>
      <c r="PKQ140" s="34"/>
      <c r="PKR140" s="34"/>
      <c r="PKS140" s="34"/>
      <c r="PKT140" s="34"/>
      <c r="PKU140" s="34"/>
      <c r="PKV140" s="34"/>
      <c r="PKW140" s="34"/>
      <c r="PKX140" s="34"/>
      <c r="PKY140" s="34"/>
      <c r="PKZ140" s="34"/>
      <c r="PLA140" s="34"/>
      <c r="PLB140" s="34"/>
      <c r="PLC140" s="34"/>
      <c r="PLD140" s="34"/>
      <c r="PLE140" s="34"/>
      <c r="PLF140" s="34"/>
      <c r="PLG140" s="34"/>
      <c r="PLH140" s="34"/>
      <c r="PLI140" s="34"/>
      <c r="PLJ140" s="34"/>
      <c r="PLK140" s="34"/>
      <c r="PLL140" s="34"/>
      <c r="PLM140" s="34"/>
      <c r="PLN140" s="34"/>
      <c r="PLO140" s="34"/>
      <c r="PLP140" s="34"/>
      <c r="PLQ140" s="34"/>
      <c r="PLR140" s="34"/>
      <c r="PLS140" s="34"/>
      <c r="PLT140" s="34"/>
      <c r="PLU140" s="34"/>
      <c r="PLV140" s="34"/>
      <c r="PLW140" s="34"/>
      <c r="PLX140" s="34"/>
      <c r="PLY140" s="34"/>
      <c r="PLZ140" s="34"/>
      <c r="PMA140" s="34"/>
      <c r="PMB140" s="34"/>
      <c r="PMC140" s="34"/>
      <c r="PMD140" s="34"/>
      <c r="PME140" s="34"/>
      <c r="PMF140" s="34"/>
      <c r="PMG140" s="34"/>
      <c r="PMH140" s="34"/>
      <c r="PMI140" s="34"/>
      <c r="PMJ140" s="34"/>
      <c r="PMK140" s="34"/>
      <c r="PML140" s="34"/>
      <c r="PMM140" s="34"/>
      <c r="PMN140" s="34"/>
      <c r="PMO140" s="34"/>
      <c r="PMP140" s="34"/>
      <c r="PMQ140" s="34"/>
      <c r="PMR140" s="34"/>
      <c r="PMS140" s="34"/>
      <c r="PMT140" s="34"/>
      <c r="PMU140" s="34"/>
      <c r="PMV140" s="34"/>
      <c r="PMW140" s="34"/>
      <c r="PMX140" s="34"/>
      <c r="PMY140" s="34"/>
      <c r="PMZ140" s="34"/>
      <c r="PNA140" s="34"/>
      <c r="PNB140" s="34"/>
      <c r="PNC140" s="34"/>
      <c r="PND140" s="34"/>
      <c r="PNE140" s="34"/>
      <c r="PNF140" s="34"/>
      <c r="PNG140" s="34"/>
      <c r="PNH140" s="34"/>
      <c r="PNI140" s="34"/>
      <c r="PNJ140" s="34"/>
      <c r="PNK140" s="34"/>
      <c r="PNL140" s="34"/>
      <c r="PNM140" s="34"/>
      <c r="PNN140" s="34"/>
      <c r="PNO140" s="34"/>
      <c r="PNP140" s="34"/>
      <c r="PNQ140" s="34"/>
      <c r="PNR140" s="34"/>
      <c r="PNS140" s="34"/>
      <c r="PNT140" s="34"/>
      <c r="PNU140" s="34"/>
      <c r="PNV140" s="34"/>
      <c r="PNW140" s="34"/>
      <c r="PNX140" s="34"/>
      <c r="PNY140" s="34"/>
      <c r="PNZ140" s="34"/>
      <c r="POA140" s="34"/>
      <c r="POB140" s="34"/>
      <c r="POC140" s="34"/>
      <c r="POD140" s="34"/>
      <c r="POE140" s="34"/>
      <c r="POF140" s="34"/>
      <c r="POG140" s="34"/>
      <c r="POH140" s="34"/>
      <c r="POI140" s="34"/>
      <c r="POJ140" s="34"/>
      <c r="POK140" s="34"/>
      <c r="POL140" s="34"/>
      <c r="POM140" s="34"/>
      <c r="PON140" s="34"/>
      <c r="POO140" s="34"/>
      <c r="POP140" s="34"/>
      <c r="POQ140" s="34"/>
      <c r="POR140" s="34"/>
      <c r="POS140" s="34"/>
      <c r="POT140" s="34"/>
      <c r="POU140" s="34"/>
      <c r="POV140" s="34"/>
      <c r="POW140" s="34"/>
      <c r="POX140" s="34"/>
      <c r="POY140" s="34"/>
      <c r="POZ140" s="34"/>
      <c r="PPA140" s="34"/>
      <c r="PPB140" s="34"/>
      <c r="PPC140" s="34"/>
      <c r="PPD140" s="34"/>
      <c r="PPE140" s="34"/>
      <c r="PPF140" s="34"/>
      <c r="PPG140" s="34"/>
      <c r="PPH140" s="34"/>
      <c r="PPI140" s="34"/>
      <c r="PPJ140" s="34"/>
      <c r="PPK140" s="34"/>
      <c r="PPL140" s="34"/>
      <c r="PPM140" s="34"/>
      <c r="PPN140" s="34"/>
      <c r="PPO140" s="34"/>
      <c r="PPP140" s="34"/>
      <c r="PPQ140" s="34"/>
      <c r="PPR140" s="34"/>
      <c r="PPS140" s="34"/>
      <c r="PPT140" s="34"/>
      <c r="PPU140" s="34"/>
      <c r="PPV140" s="34"/>
      <c r="PPW140" s="34"/>
      <c r="PPX140" s="34"/>
      <c r="PPY140" s="34"/>
      <c r="PPZ140" s="34"/>
      <c r="PQA140" s="34"/>
      <c r="PQB140" s="34"/>
      <c r="PQC140" s="34"/>
      <c r="PQD140" s="34"/>
      <c r="PQE140" s="34"/>
      <c r="PQF140" s="34"/>
      <c r="PQG140" s="34"/>
      <c r="PQH140" s="34"/>
      <c r="PQI140" s="34"/>
      <c r="PQJ140" s="34"/>
      <c r="PQK140" s="34"/>
      <c r="PQL140" s="34"/>
      <c r="PQM140" s="34"/>
      <c r="PQN140" s="34"/>
      <c r="PQO140" s="34"/>
      <c r="PQP140" s="34"/>
      <c r="PQQ140" s="34"/>
      <c r="PQR140" s="34"/>
      <c r="PQS140" s="34"/>
      <c r="PQT140" s="34"/>
      <c r="PQU140" s="34"/>
      <c r="PQV140" s="34"/>
      <c r="PQW140" s="34"/>
      <c r="PQX140" s="34"/>
      <c r="PQY140" s="34"/>
      <c r="PQZ140" s="34"/>
      <c r="PRA140" s="34"/>
      <c r="PRB140" s="34"/>
      <c r="PRC140" s="34"/>
      <c r="PRD140" s="34"/>
      <c r="PRE140" s="34"/>
      <c r="PRF140" s="34"/>
      <c r="PRG140" s="34"/>
      <c r="PRH140" s="34"/>
      <c r="PRI140" s="34"/>
      <c r="PRJ140" s="34"/>
      <c r="PRK140" s="34"/>
      <c r="PRL140" s="34"/>
      <c r="PRM140" s="34"/>
      <c r="PRN140" s="34"/>
      <c r="PRO140" s="34"/>
      <c r="PRP140" s="34"/>
      <c r="PRQ140" s="34"/>
      <c r="PRR140" s="34"/>
      <c r="PRS140" s="34"/>
      <c r="PRT140" s="34"/>
      <c r="PRU140" s="34"/>
      <c r="PRV140" s="34"/>
      <c r="PRW140" s="34"/>
      <c r="PRX140" s="34"/>
      <c r="PRY140" s="34"/>
      <c r="PRZ140" s="34"/>
      <c r="PSA140" s="34"/>
      <c r="PSB140" s="34"/>
      <c r="PSC140" s="34"/>
      <c r="PSD140" s="34"/>
      <c r="PSE140" s="34"/>
      <c r="PSF140" s="34"/>
      <c r="PSG140" s="34"/>
      <c r="PSH140" s="34"/>
      <c r="PSI140" s="34"/>
      <c r="PSJ140" s="34"/>
      <c r="PSK140" s="34"/>
      <c r="PSL140" s="34"/>
      <c r="PSM140" s="34"/>
      <c r="PSN140" s="34"/>
      <c r="PSO140" s="34"/>
      <c r="PSP140" s="34"/>
      <c r="PSQ140" s="34"/>
      <c r="PSR140" s="34"/>
      <c r="PSS140" s="34"/>
      <c r="PST140" s="34"/>
      <c r="PSU140" s="34"/>
      <c r="PSV140" s="34"/>
      <c r="PSW140" s="34"/>
      <c r="PSX140" s="34"/>
      <c r="PSY140" s="34"/>
      <c r="PSZ140" s="34"/>
      <c r="PTA140" s="34"/>
      <c r="PTB140" s="34"/>
      <c r="PTC140" s="34"/>
      <c r="PTD140" s="34"/>
      <c r="PTE140" s="34"/>
      <c r="PTF140" s="34"/>
      <c r="PTG140" s="34"/>
      <c r="PTH140" s="34"/>
      <c r="PTI140" s="34"/>
      <c r="PTJ140" s="34"/>
      <c r="PTK140" s="34"/>
      <c r="PTL140" s="34"/>
      <c r="PTM140" s="34"/>
      <c r="PTN140" s="34"/>
      <c r="PTO140" s="34"/>
      <c r="PTP140" s="34"/>
      <c r="PTQ140" s="34"/>
      <c r="PTR140" s="34"/>
      <c r="PTS140" s="34"/>
      <c r="PTT140" s="34"/>
      <c r="PTU140" s="34"/>
      <c r="PTV140" s="34"/>
      <c r="PTW140" s="34"/>
      <c r="PTX140" s="34"/>
      <c r="PTY140" s="34"/>
      <c r="PTZ140" s="34"/>
      <c r="PUA140" s="34"/>
      <c r="PUB140" s="34"/>
      <c r="PUC140" s="34"/>
      <c r="PUD140" s="34"/>
      <c r="PUE140" s="34"/>
      <c r="PUF140" s="34"/>
      <c r="PUG140" s="34"/>
      <c r="PUH140" s="34"/>
      <c r="PUI140" s="34"/>
      <c r="PUJ140" s="34"/>
      <c r="PUK140" s="34"/>
      <c r="PUL140" s="34"/>
      <c r="PUM140" s="34"/>
      <c r="PUN140" s="34"/>
      <c r="PUO140" s="34"/>
      <c r="PUP140" s="34"/>
      <c r="PUQ140" s="34"/>
      <c r="PUR140" s="34"/>
      <c r="PUS140" s="34"/>
      <c r="PUT140" s="34"/>
      <c r="PUU140" s="34"/>
      <c r="PUV140" s="34"/>
      <c r="PUW140" s="34"/>
      <c r="PUX140" s="34"/>
      <c r="PUY140" s="34"/>
      <c r="PUZ140" s="34"/>
      <c r="PVA140" s="34"/>
      <c r="PVB140" s="34"/>
      <c r="PVC140" s="34"/>
      <c r="PVD140" s="34"/>
      <c r="PVE140" s="34"/>
      <c r="PVF140" s="34"/>
      <c r="PVG140" s="34"/>
      <c r="PVH140" s="34"/>
      <c r="PVI140" s="34"/>
      <c r="PVJ140" s="34"/>
      <c r="PVK140" s="34"/>
      <c r="PVL140" s="34"/>
      <c r="PVM140" s="34"/>
      <c r="PVN140" s="34"/>
      <c r="PVO140" s="34"/>
      <c r="PVP140" s="34"/>
      <c r="PVQ140" s="34"/>
      <c r="PVR140" s="34"/>
      <c r="PVS140" s="34"/>
      <c r="PVT140" s="34"/>
      <c r="PVU140" s="34"/>
      <c r="PVV140" s="34"/>
      <c r="PVW140" s="34"/>
      <c r="PVX140" s="34"/>
      <c r="PVY140" s="34"/>
      <c r="PVZ140" s="34"/>
      <c r="PWA140" s="34"/>
      <c r="PWB140" s="34"/>
      <c r="PWC140" s="34"/>
      <c r="PWD140" s="34"/>
      <c r="PWE140" s="34"/>
      <c r="PWF140" s="34"/>
      <c r="PWG140" s="34"/>
      <c r="PWH140" s="34"/>
      <c r="PWI140" s="34"/>
      <c r="PWJ140" s="34"/>
      <c r="PWK140" s="34"/>
      <c r="PWL140" s="34"/>
      <c r="PWM140" s="34"/>
      <c r="PWN140" s="34"/>
      <c r="PWO140" s="34"/>
      <c r="PWP140" s="34"/>
      <c r="PWQ140" s="34"/>
      <c r="PWR140" s="34"/>
      <c r="PWS140" s="34"/>
      <c r="PWT140" s="34"/>
      <c r="PWU140" s="34"/>
      <c r="PWV140" s="34"/>
      <c r="PWW140" s="34"/>
      <c r="PWX140" s="34"/>
      <c r="PWY140" s="34"/>
      <c r="PWZ140" s="34"/>
      <c r="PXA140" s="34"/>
      <c r="PXB140" s="34"/>
      <c r="PXC140" s="34"/>
      <c r="PXD140" s="34"/>
      <c r="PXE140" s="34"/>
      <c r="PXF140" s="34"/>
      <c r="PXG140" s="34"/>
      <c r="PXH140" s="34"/>
      <c r="PXI140" s="34"/>
      <c r="PXJ140" s="34"/>
      <c r="PXK140" s="34"/>
      <c r="PXL140" s="34"/>
      <c r="PXM140" s="34"/>
      <c r="PXN140" s="34"/>
      <c r="PXO140" s="34"/>
      <c r="PXP140" s="34"/>
      <c r="PXQ140" s="34"/>
      <c r="PXR140" s="34"/>
      <c r="PXS140" s="34"/>
      <c r="PXT140" s="34"/>
      <c r="PXU140" s="34"/>
      <c r="PXV140" s="34"/>
      <c r="PXW140" s="34"/>
      <c r="PXX140" s="34"/>
      <c r="PXY140" s="34"/>
      <c r="PXZ140" s="34"/>
      <c r="PYA140" s="34"/>
      <c r="PYB140" s="34"/>
      <c r="PYC140" s="34"/>
      <c r="PYD140" s="34"/>
      <c r="PYE140" s="34"/>
      <c r="PYF140" s="34"/>
      <c r="PYG140" s="34"/>
      <c r="PYH140" s="34"/>
      <c r="PYI140" s="34"/>
      <c r="PYJ140" s="34"/>
      <c r="PYK140" s="34"/>
      <c r="PYL140" s="34"/>
      <c r="PYM140" s="34"/>
      <c r="PYN140" s="34"/>
      <c r="PYO140" s="34"/>
      <c r="PYP140" s="34"/>
      <c r="PYQ140" s="34"/>
      <c r="PYR140" s="34"/>
      <c r="PYS140" s="34"/>
      <c r="PYT140" s="34"/>
      <c r="PYU140" s="34"/>
      <c r="PYV140" s="34"/>
      <c r="PYW140" s="34"/>
      <c r="PYX140" s="34"/>
      <c r="PYY140" s="34"/>
      <c r="PYZ140" s="34"/>
      <c r="PZA140" s="34"/>
      <c r="PZB140" s="34"/>
      <c r="PZC140" s="34"/>
      <c r="PZD140" s="34"/>
      <c r="PZE140" s="34"/>
      <c r="PZF140" s="34"/>
      <c r="PZG140" s="34"/>
      <c r="PZH140" s="34"/>
      <c r="PZI140" s="34"/>
      <c r="PZJ140" s="34"/>
      <c r="PZK140" s="34"/>
      <c r="PZL140" s="34"/>
      <c r="PZM140" s="34"/>
      <c r="PZN140" s="34"/>
      <c r="PZO140" s="34"/>
      <c r="PZP140" s="34"/>
      <c r="PZQ140" s="34"/>
      <c r="PZR140" s="34"/>
      <c r="PZS140" s="34"/>
      <c r="PZT140" s="34"/>
      <c r="PZU140" s="34"/>
      <c r="PZV140" s="34"/>
      <c r="PZW140" s="34"/>
      <c r="PZX140" s="34"/>
      <c r="PZY140" s="34"/>
      <c r="PZZ140" s="34"/>
      <c r="QAA140" s="34"/>
      <c r="QAB140" s="34"/>
      <c r="QAC140" s="34"/>
      <c r="QAD140" s="34"/>
      <c r="QAE140" s="34"/>
      <c r="QAF140" s="34"/>
      <c r="QAG140" s="34"/>
      <c r="QAH140" s="34"/>
      <c r="QAI140" s="34"/>
      <c r="QAJ140" s="34"/>
      <c r="QAK140" s="34"/>
      <c r="QAL140" s="34"/>
      <c r="QAM140" s="34"/>
      <c r="QAN140" s="34"/>
      <c r="QAO140" s="34"/>
      <c r="QAP140" s="34"/>
      <c r="QAQ140" s="34"/>
      <c r="QAR140" s="34"/>
      <c r="QAS140" s="34"/>
      <c r="QAT140" s="34"/>
      <c r="QAU140" s="34"/>
      <c r="QAV140" s="34"/>
      <c r="QAW140" s="34"/>
      <c r="QAX140" s="34"/>
      <c r="QAY140" s="34"/>
      <c r="QAZ140" s="34"/>
      <c r="QBA140" s="34"/>
      <c r="QBB140" s="34"/>
      <c r="QBC140" s="34"/>
      <c r="QBD140" s="34"/>
      <c r="QBE140" s="34"/>
      <c r="QBF140" s="34"/>
      <c r="QBG140" s="34"/>
      <c r="QBH140" s="34"/>
      <c r="QBI140" s="34"/>
      <c r="QBJ140" s="34"/>
      <c r="QBK140" s="34"/>
      <c r="QBL140" s="34"/>
      <c r="QBM140" s="34"/>
      <c r="QBN140" s="34"/>
      <c r="QBO140" s="34"/>
      <c r="QBP140" s="34"/>
      <c r="QBQ140" s="34"/>
      <c r="QBR140" s="34"/>
      <c r="QBS140" s="34"/>
      <c r="QBT140" s="34"/>
      <c r="QBU140" s="34"/>
      <c r="QBV140" s="34"/>
      <c r="QBW140" s="34"/>
      <c r="QBX140" s="34"/>
      <c r="QBY140" s="34"/>
      <c r="QBZ140" s="34"/>
      <c r="QCA140" s="34"/>
      <c r="QCB140" s="34"/>
      <c r="QCC140" s="34"/>
      <c r="QCD140" s="34"/>
      <c r="QCE140" s="34"/>
      <c r="QCF140" s="34"/>
      <c r="QCG140" s="34"/>
      <c r="QCH140" s="34"/>
      <c r="QCI140" s="34"/>
      <c r="QCJ140" s="34"/>
      <c r="QCK140" s="34"/>
      <c r="QCL140" s="34"/>
      <c r="QCM140" s="34"/>
      <c r="QCN140" s="34"/>
      <c r="QCO140" s="34"/>
      <c r="QCP140" s="34"/>
      <c r="QCQ140" s="34"/>
      <c r="QCR140" s="34"/>
      <c r="QCS140" s="34"/>
      <c r="QCT140" s="34"/>
      <c r="QCU140" s="34"/>
      <c r="QCV140" s="34"/>
      <c r="QCW140" s="34"/>
      <c r="QCX140" s="34"/>
      <c r="QCY140" s="34"/>
      <c r="QCZ140" s="34"/>
      <c r="QDA140" s="34"/>
      <c r="QDB140" s="34"/>
      <c r="QDC140" s="34"/>
      <c r="QDD140" s="34"/>
      <c r="QDE140" s="34"/>
      <c r="QDF140" s="34"/>
      <c r="QDG140" s="34"/>
      <c r="QDH140" s="34"/>
      <c r="QDI140" s="34"/>
      <c r="QDJ140" s="34"/>
      <c r="QDK140" s="34"/>
      <c r="QDL140" s="34"/>
      <c r="QDM140" s="34"/>
      <c r="QDN140" s="34"/>
      <c r="QDO140" s="34"/>
      <c r="QDP140" s="34"/>
      <c r="QDQ140" s="34"/>
      <c r="QDR140" s="34"/>
      <c r="QDS140" s="34"/>
      <c r="QDT140" s="34"/>
      <c r="QDU140" s="34"/>
      <c r="QDV140" s="34"/>
      <c r="QDW140" s="34"/>
      <c r="QDX140" s="34"/>
      <c r="QDY140" s="34"/>
      <c r="QDZ140" s="34"/>
      <c r="QEA140" s="34"/>
      <c r="QEB140" s="34"/>
      <c r="QEC140" s="34"/>
      <c r="QED140" s="34"/>
      <c r="QEE140" s="34"/>
      <c r="QEF140" s="34"/>
      <c r="QEG140" s="34"/>
      <c r="QEH140" s="34"/>
      <c r="QEI140" s="34"/>
      <c r="QEJ140" s="34"/>
      <c r="QEK140" s="34"/>
      <c r="QEL140" s="34"/>
      <c r="QEM140" s="34"/>
      <c r="QEN140" s="34"/>
      <c r="QEO140" s="34"/>
      <c r="QEP140" s="34"/>
      <c r="QEQ140" s="34"/>
      <c r="QER140" s="34"/>
      <c r="QES140" s="34"/>
      <c r="QET140" s="34"/>
      <c r="QEU140" s="34"/>
      <c r="QEV140" s="34"/>
      <c r="QEW140" s="34"/>
      <c r="QEX140" s="34"/>
      <c r="QEY140" s="34"/>
      <c r="QEZ140" s="34"/>
      <c r="QFA140" s="34"/>
      <c r="QFB140" s="34"/>
      <c r="QFC140" s="34"/>
      <c r="QFD140" s="34"/>
      <c r="QFE140" s="34"/>
      <c r="QFF140" s="34"/>
      <c r="QFG140" s="34"/>
      <c r="QFH140" s="34"/>
      <c r="QFI140" s="34"/>
      <c r="QFJ140" s="34"/>
      <c r="QFK140" s="34"/>
      <c r="QFL140" s="34"/>
      <c r="QFM140" s="34"/>
      <c r="QFN140" s="34"/>
      <c r="QFO140" s="34"/>
      <c r="QFP140" s="34"/>
      <c r="QFQ140" s="34"/>
      <c r="QFR140" s="34"/>
      <c r="QFS140" s="34"/>
      <c r="QFT140" s="34"/>
      <c r="QFU140" s="34"/>
      <c r="QFV140" s="34"/>
      <c r="QFW140" s="34"/>
      <c r="QFX140" s="34"/>
      <c r="QFY140" s="34"/>
      <c r="QFZ140" s="34"/>
      <c r="QGA140" s="34"/>
      <c r="QGB140" s="34"/>
      <c r="QGC140" s="34"/>
      <c r="QGD140" s="34"/>
      <c r="QGE140" s="34"/>
      <c r="QGF140" s="34"/>
      <c r="QGG140" s="34"/>
      <c r="QGH140" s="34"/>
      <c r="QGI140" s="34"/>
      <c r="QGJ140" s="34"/>
      <c r="QGK140" s="34"/>
      <c r="QGL140" s="34"/>
      <c r="QGM140" s="34"/>
      <c r="QGN140" s="34"/>
      <c r="QGO140" s="34"/>
      <c r="QGP140" s="34"/>
      <c r="QGQ140" s="34"/>
      <c r="QGR140" s="34"/>
      <c r="QGS140" s="34"/>
      <c r="QGT140" s="34"/>
      <c r="QGU140" s="34"/>
      <c r="QGV140" s="34"/>
      <c r="QGW140" s="34"/>
      <c r="QGX140" s="34"/>
      <c r="QGY140" s="34"/>
      <c r="QGZ140" s="34"/>
      <c r="QHA140" s="34"/>
      <c r="QHB140" s="34"/>
      <c r="QHC140" s="34"/>
      <c r="QHD140" s="34"/>
      <c r="QHE140" s="34"/>
      <c r="QHF140" s="34"/>
      <c r="QHG140" s="34"/>
      <c r="QHH140" s="34"/>
      <c r="QHI140" s="34"/>
      <c r="QHJ140" s="34"/>
      <c r="QHK140" s="34"/>
      <c r="QHL140" s="34"/>
      <c r="QHM140" s="34"/>
      <c r="QHN140" s="34"/>
      <c r="QHO140" s="34"/>
      <c r="QHP140" s="34"/>
      <c r="QHQ140" s="34"/>
      <c r="QHR140" s="34"/>
      <c r="QHS140" s="34"/>
      <c r="QHT140" s="34"/>
      <c r="QHU140" s="34"/>
      <c r="QHV140" s="34"/>
      <c r="QHW140" s="34"/>
      <c r="QHX140" s="34"/>
      <c r="QHY140" s="34"/>
      <c r="QHZ140" s="34"/>
      <c r="QIA140" s="34"/>
      <c r="QIB140" s="34"/>
      <c r="QIC140" s="34"/>
      <c r="QID140" s="34"/>
      <c r="QIE140" s="34"/>
      <c r="QIF140" s="34"/>
      <c r="QIG140" s="34"/>
      <c r="QIH140" s="34"/>
      <c r="QII140" s="34"/>
      <c r="QIJ140" s="34"/>
      <c r="QIK140" s="34"/>
      <c r="QIL140" s="34"/>
      <c r="QIM140" s="34"/>
      <c r="QIN140" s="34"/>
      <c r="QIO140" s="34"/>
      <c r="QIP140" s="34"/>
      <c r="QIQ140" s="34"/>
      <c r="QIR140" s="34"/>
      <c r="QIS140" s="34"/>
      <c r="QIT140" s="34"/>
      <c r="QIU140" s="34"/>
      <c r="QIV140" s="34"/>
      <c r="QIW140" s="34"/>
      <c r="QIX140" s="34"/>
      <c r="QIY140" s="34"/>
      <c r="QIZ140" s="34"/>
      <c r="QJA140" s="34"/>
      <c r="QJB140" s="34"/>
      <c r="QJC140" s="34"/>
      <c r="QJD140" s="34"/>
      <c r="QJE140" s="34"/>
      <c r="QJF140" s="34"/>
      <c r="QJG140" s="34"/>
      <c r="QJH140" s="34"/>
      <c r="QJI140" s="34"/>
      <c r="QJJ140" s="34"/>
      <c r="QJK140" s="34"/>
      <c r="QJL140" s="34"/>
      <c r="QJM140" s="34"/>
      <c r="QJN140" s="34"/>
      <c r="QJO140" s="34"/>
      <c r="QJP140" s="34"/>
      <c r="QJQ140" s="34"/>
      <c r="QJR140" s="34"/>
      <c r="QJS140" s="34"/>
      <c r="QJT140" s="34"/>
      <c r="QJU140" s="34"/>
      <c r="QJV140" s="34"/>
      <c r="QJW140" s="34"/>
      <c r="QJX140" s="34"/>
      <c r="QJY140" s="34"/>
      <c r="QJZ140" s="34"/>
      <c r="QKA140" s="34"/>
      <c r="QKB140" s="34"/>
      <c r="QKC140" s="34"/>
      <c r="QKD140" s="34"/>
      <c r="QKE140" s="34"/>
      <c r="QKF140" s="34"/>
      <c r="QKG140" s="34"/>
      <c r="QKH140" s="34"/>
      <c r="QKI140" s="34"/>
      <c r="QKJ140" s="34"/>
      <c r="QKK140" s="34"/>
      <c r="QKL140" s="34"/>
      <c r="QKM140" s="34"/>
      <c r="QKN140" s="34"/>
      <c r="QKO140" s="34"/>
      <c r="QKP140" s="34"/>
      <c r="QKQ140" s="34"/>
      <c r="QKR140" s="34"/>
      <c r="QKS140" s="34"/>
      <c r="QKT140" s="34"/>
      <c r="QKU140" s="34"/>
      <c r="QKV140" s="34"/>
      <c r="QKW140" s="34"/>
      <c r="QKX140" s="34"/>
      <c r="QKY140" s="34"/>
      <c r="QKZ140" s="34"/>
      <c r="QLA140" s="34"/>
      <c r="QLB140" s="34"/>
      <c r="QLC140" s="34"/>
      <c r="QLD140" s="34"/>
      <c r="QLE140" s="34"/>
      <c r="QLF140" s="34"/>
      <c r="QLG140" s="34"/>
      <c r="QLH140" s="34"/>
      <c r="QLI140" s="34"/>
      <c r="QLJ140" s="34"/>
      <c r="QLK140" s="34"/>
      <c r="QLL140" s="34"/>
      <c r="QLM140" s="34"/>
      <c r="QLN140" s="34"/>
      <c r="QLO140" s="34"/>
      <c r="QLP140" s="34"/>
      <c r="QLQ140" s="34"/>
      <c r="QLR140" s="34"/>
      <c r="QLS140" s="34"/>
      <c r="QLT140" s="34"/>
      <c r="QLU140" s="34"/>
      <c r="QLV140" s="34"/>
      <c r="QLW140" s="34"/>
      <c r="QLX140" s="34"/>
      <c r="QLY140" s="34"/>
      <c r="QLZ140" s="34"/>
      <c r="QMA140" s="34"/>
      <c r="QMB140" s="34"/>
      <c r="QMC140" s="34"/>
      <c r="QMD140" s="34"/>
      <c r="QME140" s="34"/>
      <c r="QMF140" s="34"/>
      <c r="QMG140" s="34"/>
      <c r="QMH140" s="34"/>
      <c r="QMI140" s="34"/>
      <c r="QMJ140" s="34"/>
      <c r="QMK140" s="34"/>
      <c r="QML140" s="34"/>
      <c r="QMM140" s="34"/>
      <c r="QMN140" s="34"/>
      <c r="QMO140" s="34"/>
      <c r="QMP140" s="34"/>
      <c r="QMQ140" s="34"/>
      <c r="QMR140" s="34"/>
      <c r="QMS140" s="34"/>
      <c r="QMT140" s="34"/>
      <c r="QMU140" s="34"/>
      <c r="QMV140" s="34"/>
      <c r="QMW140" s="34"/>
      <c r="QMX140" s="34"/>
      <c r="QMY140" s="34"/>
      <c r="QMZ140" s="34"/>
      <c r="QNA140" s="34"/>
      <c r="QNB140" s="34"/>
      <c r="QNC140" s="34"/>
      <c r="QND140" s="34"/>
      <c r="QNE140" s="34"/>
      <c r="QNF140" s="34"/>
      <c r="QNG140" s="34"/>
      <c r="QNH140" s="34"/>
      <c r="QNI140" s="34"/>
      <c r="QNJ140" s="34"/>
      <c r="QNK140" s="34"/>
      <c r="QNL140" s="34"/>
      <c r="QNM140" s="34"/>
      <c r="QNN140" s="34"/>
      <c r="QNO140" s="34"/>
      <c r="QNP140" s="34"/>
      <c r="QNQ140" s="34"/>
      <c r="QNR140" s="34"/>
      <c r="QNS140" s="34"/>
      <c r="QNT140" s="34"/>
      <c r="QNU140" s="34"/>
      <c r="QNV140" s="34"/>
      <c r="QNW140" s="34"/>
      <c r="QNX140" s="34"/>
      <c r="QNY140" s="34"/>
      <c r="QNZ140" s="34"/>
      <c r="QOA140" s="34"/>
      <c r="QOB140" s="34"/>
      <c r="QOC140" s="34"/>
      <c r="QOD140" s="34"/>
      <c r="QOE140" s="34"/>
      <c r="QOF140" s="34"/>
      <c r="QOG140" s="34"/>
      <c r="QOH140" s="34"/>
      <c r="QOI140" s="34"/>
      <c r="QOJ140" s="34"/>
      <c r="QOK140" s="34"/>
      <c r="QOL140" s="34"/>
      <c r="QOM140" s="34"/>
      <c r="QON140" s="34"/>
      <c r="QOO140" s="34"/>
      <c r="QOP140" s="34"/>
      <c r="QOQ140" s="34"/>
      <c r="QOR140" s="34"/>
      <c r="QOS140" s="34"/>
      <c r="QOT140" s="34"/>
      <c r="QOU140" s="34"/>
      <c r="QOV140" s="34"/>
      <c r="QOW140" s="34"/>
      <c r="QOX140" s="34"/>
      <c r="QOY140" s="34"/>
      <c r="QOZ140" s="34"/>
      <c r="QPA140" s="34"/>
      <c r="QPB140" s="34"/>
      <c r="QPC140" s="34"/>
      <c r="QPD140" s="34"/>
      <c r="QPE140" s="34"/>
      <c r="QPF140" s="34"/>
      <c r="QPG140" s="34"/>
      <c r="QPH140" s="34"/>
      <c r="QPI140" s="34"/>
      <c r="QPJ140" s="34"/>
      <c r="QPK140" s="34"/>
      <c r="QPL140" s="34"/>
      <c r="QPM140" s="34"/>
      <c r="QPN140" s="34"/>
      <c r="QPO140" s="34"/>
      <c r="QPP140" s="34"/>
      <c r="QPQ140" s="34"/>
      <c r="QPR140" s="34"/>
      <c r="QPS140" s="34"/>
      <c r="QPT140" s="34"/>
      <c r="QPU140" s="34"/>
      <c r="QPV140" s="34"/>
      <c r="QPW140" s="34"/>
      <c r="QPX140" s="34"/>
      <c r="QPY140" s="34"/>
      <c r="QPZ140" s="34"/>
      <c r="QQA140" s="34"/>
      <c r="QQB140" s="34"/>
      <c r="QQC140" s="34"/>
      <c r="QQD140" s="34"/>
      <c r="QQE140" s="34"/>
      <c r="QQF140" s="34"/>
      <c r="QQG140" s="34"/>
      <c r="QQH140" s="34"/>
      <c r="QQI140" s="34"/>
      <c r="QQJ140" s="34"/>
      <c r="QQK140" s="34"/>
      <c r="QQL140" s="34"/>
      <c r="QQM140" s="34"/>
      <c r="QQN140" s="34"/>
      <c r="QQO140" s="34"/>
      <c r="QQP140" s="34"/>
      <c r="QQQ140" s="34"/>
      <c r="QQR140" s="34"/>
      <c r="QQS140" s="34"/>
      <c r="QQT140" s="34"/>
      <c r="QQU140" s="34"/>
      <c r="QQV140" s="34"/>
      <c r="QQW140" s="34"/>
      <c r="QQX140" s="34"/>
      <c r="QQY140" s="34"/>
      <c r="QQZ140" s="34"/>
      <c r="QRA140" s="34"/>
      <c r="QRB140" s="34"/>
      <c r="QRC140" s="34"/>
      <c r="QRD140" s="34"/>
      <c r="QRE140" s="34"/>
      <c r="QRF140" s="34"/>
      <c r="QRG140" s="34"/>
      <c r="QRH140" s="34"/>
      <c r="QRI140" s="34"/>
      <c r="QRJ140" s="34"/>
      <c r="QRK140" s="34"/>
      <c r="QRL140" s="34"/>
      <c r="QRM140" s="34"/>
      <c r="QRN140" s="34"/>
      <c r="QRO140" s="34"/>
      <c r="QRP140" s="34"/>
      <c r="QRQ140" s="34"/>
      <c r="QRR140" s="34"/>
      <c r="QRS140" s="34"/>
      <c r="QRT140" s="34"/>
      <c r="QRU140" s="34"/>
      <c r="QRV140" s="34"/>
      <c r="QRW140" s="34"/>
      <c r="QRX140" s="34"/>
      <c r="QRY140" s="34"/>
      <c r="QRZ140" s="34"/>
      <c r="QSA140" s="34"/>
      <c r="QSB140" s="34"/>
      <c r="QSC140" s="34"/>
      <c r="QSD140" s="34"/>
      <c r="QSE140" s="34"/>
      <c r="QSF140" s="34"/>
      <c r="QSG140" s="34"/>
      <c r="QSH140" s="34"/>
      <c r="QSI140" s="34"/>
      <c r="QSJ140" s="34"/>
      <c r="QSK140" s="34"/>
      <c r="QSL140" s="34"/>
      <c r="QSM140" s="34"/>
      <c r="QSN140" s="34"/>
      <c r="QSO140" s="34"/>
      <c r="QSP140" s="34"/>
      <c r="QSQ140" s="34"/>
      <c r="QSR140" s="34"/>
      <c r="QSS140" s="34"/>
      <c r="QST140" s="34"/>
      <c r="QSU140" s="34"/>
      <c r="QSV140" s="34"/>
      <c r="QSW140" s="34"/>
      <c r="QSX140" s="34"/>
      <c r="QSY140" s="34"/>
      <c r="QSZ140" s="34"/>
      <c r="QTA140" s="34"/>
      <c r="QTB140" s="34"/>
      <c r="QTC140" s="34"/>
      <c r="QTD140" s="34"/>
      <c r="QTE140" s="34"/>
      <c r="QTF140" s="34"/>
      <c r="QTG140" s="34"/>
      <c r="QTH140" s="34"/>
      <c r="QTI140" s="34"/>
      <c r="QTJ140" s="34"/>
      <c r="QTK140" s="34"/>
      <c r="QTL140" s="34"/>
      <c r="QTM140" s="34"/>
      <c r="QTN140" s="34"/>
      <c r="QTO140" s="34"/>
      <c r="QTP140" s="34"/>
      <c r="QTQ140" s="34"/>
      <c r="QTR140" s="34"/>
      <c r="QTS140" s="34"/>
      <c r="QTT140" s="34"/>
      <c r="QTU140" s="34"/>
      <c r="QTV140" s="34"/>
      <c r="QTW140" s="34"/>
      <c r="QTX140" s="34"/>
      <c r="QTY140" s="34"/>
      <c r="QTZ140" s="34"/>
      <c r="QUA140" s="34"/>
      <c r="QUB140" s="34"/>
      <c r="QUC140" s="34"/>
      <c r="QUD140" s="34"/>
      <c r="QUE140" s="34"/>
      <c r="QUF140" s="34"/>
      <c r="QUG140" s="34"/>
      <c r="QUH140" s="34"/>
      <c r="QUI140" s="34"/>
      <c r="QUJ140" s="34"/>
      <c r="QUK140" s="34"/>
      <c r="QUL140" s="34"/>
      <c r="QUM140" s="34"/>
      <c r="QUN140" s="34"/>
      <c r="QUO140" s="34"/>
      <c r="QUP140" s="34"/>
      <c r="QUQ140" s="34"/>
      <c r="QUR140" s="34"/>
      <c r="QUS140" s="34"/>
      <c r="QUT140" s="34"/>
      <c r="QUU140" s="34"/>
      <c r="QUV140" s="34"/>
      <c r="QUW140" s="34"/>
      <c r="QUX140" s="34"/>
      <c r="QUY140" s="34"/>
      <c r="QUZ140" s="34"/>
      <c r="QVA140" s="34"/>
      <c r="QVB140" s="34"/>
      <c r="QVC140" s="34"/>
      <c r="QVD140" s="34"/>
      <c r="QVE140" s="34"/>
      <c r="QVF140" s="34"/>
      <c r="QVG140" s="34"/>
      <c r="QVH140" s="34"/>
      <c r="QVI140" s="34"/>
      <c r="QVJ140" s="34"/>
      <c r="QVK140" s="34"/>
      <c r="QVL140" s="34"/>
      <c r="QVM140" s="34"/>
      <c r="QVN140" s="34"/>
      <c r="QVO140" s="34"/>
      <c r="QVP140" s="34"/>
      <c r="QVQ140" s="34"/>
      <c r="QVR140" s="34"/>
      <c r="QVS140" s="34"/>
      <c r="QVT140" s="34"/>
      <c r="QVU140" s="34"/>
      <c r="QVV140" s="34"/>
      <c r="QVW140" s="34"/>
      <c r="QVX140" s="34"/>
      <c r="QVY140" s="34"/>
      <c r="QVZ140" s="34"/>
      <c r="QWA140" s="34"/>
      <c r="QWB140" s="34"/>
      <c r="QWC140" s="34"/>
      <c r="QWD140" s="34"/>
      <c r="QWE140" s="34"/>
      <c r="QWF140" s="34"/>
      <c r="QWG140" s="34"/>
      <c r="QWH140" s="34"/>
      <c r="QWI140" s="34"/>
      <c r="QWJ140" s="34"/>
      <c r="QWK140" s="34"/>
      <c r="QWL140" s="34"/>
      <c r="QWM140" s="34"/>
      <c r="QWN140" s="34"/>
      <c r="QWO140" s="34"/>
      <c r="QWP140" s="34"/>
      <c r="QWQ140" s="34"/>
      <c r="QWR140" s="34"/>
      <c r="QWS140" s="34"/>
      <c r="QWT140" s="34"/>
      <c r="QWU140" s="34"/>
      <c r="QWV140" s="34"/>
      <c r="QWW140" s="34"/>
      <c r="QWX140" s="34"/>
      <c r="QWY140" s="34"/>
      <c r="QWZ140" s="34"/>
      <c r="QXA140" s="34"/>
      <c r="QXB140" s="34"/>
      <c r="QXC140" s="34"/>
      <c r="QXD140" s="34"/>
      <c r="QXE140" s="34"/>
      <c r="QXF140" s="34"/>
      <c r="QXG140" s="34"/>
      <c r="QXH140" s="34"/>
      <c r="QXI140" s="34"/>
      <c r="QXJ140" s="34"/>
      <c r="QXK140" s="34"/>
      <c r="QXL140" s="34"/>
      <c r="QXM140" s="34"/>
      <c r="QXN140" s="34"/>
      <c r="QXO140" s="34"/>
      <c r="QXP140" s="34"/>
      <c r="QXQ140" s="34"/>
      <c r="QXR140" s="34"/>
      <c r="QXS140" s="34"/>
      <c r="QXT140" s="34"/>
      <c r="QXU140" s="34"/>
      <c r="QXV140" s="34"/>
      <c r="QXW140" s="34"/>
      <c r="QXX140" s="34"/>
      <c r="QXY140" s="34"/>
      <c r="QXZ140" s="34"/>
      <c r="QYA140" s="34"/>
      <c r="QYB140" s="34"/>
      <c r="QYC140" s="34"/>
      <c r="QYD140" s="34"/>
      <c r="QYE140" s="34"/>
      <c r="QYF140" s="34"/>
      <c r="QYG140" s="34"/>
      <c r="QYH140" s="34"/>
      <c r="QYI140" s="34"/>
      <c r="QYJ140" s="34"/>
      <c r="QYK140" s="34"/>
      <c r="QYL140" s="34"/>
      <c r="QYM140" s="34"/>
      <c r="QYN140" s="34"/>
      <c r="QYO140" s="34"/>
      <c r="QYP140" s="34"/>
      <c r="QYQ140" s="34"/>
      <c r="QYR140" s="34"/>
      <c r="QYS140" s="34"/>
      <c r="QYT140" s="34"/>
      <c r="QYU140" s="34"/>
      <c r="QYV140" s="34"/>
      <c r="QYW140" s="34"/>
      <c r="QYX140" s="34"/>
      <c r="QYY140" s="34"/>
      <c r="QYZ140" s="34"/>
      <c r="QZA140" s="34"/>
      <c r="QZB140" s="34"/>
      <c r="QZC140" s="34"/>
      <c r="QZD140" s="34"/>
      <c r="QZE140" s="34"/>
      <c r="QZF140" s="34"/>
      <c r="QZG140" s="34"/>
      <c r="QZH140" s="34"/>
      <c r="QZI140" s="34"/>
      <c r="QZJ140" s="34"/>
      <c r="QZK140" s="34"/>
      <c r="QZL140" s="34"/>
      <c r="QZM140" s="34"/>
      <c r="QZN140" s="34"/>
      <c r="QZO140" s="34"/>
      <c r="QZP140" s="34"/>
      <c r="QZQ140" s="34"/>
      <c r="QZR140" s="34"/>
      <c r="QZS140" s="34"/>
      <c r="QZT140" s="34"/>
      <c r="QZU140" s="34"/>
      <c r="QZV140" s="34"/>
      <c r="QZW140" s="34"/>
      <c r="QZX140" s="34"/>
      <c r="QZY140" s="34"/>
      <c r="QZZ140" s="34"/>
      <c r="RAA140" s="34"/>
      <c r="RAB140" s="34"/>
      <c r="RAC140" s="34"/>
      <c r="RAD140" s="34"/>
      <c r="RAE140" s="34"/>
      <c r="RAF140" s="34"/>
      <c r="RAG140" s="34"/>
      <c r="RAH140" s="34"/>
      <c r="RAI140" s="34"/>
      <c r="RAJ140" s="34"/>
      <c r="RAK140" s="34"/>
      <c r="RAL140" s="34"/>
      <c r="RAM140" s="34"/>
      <c r="RAN140" s="34"/>
      <c r="RAO140" s="34"/>
      <c r="RAP140" s="34"/>
      <c r="RAQ140" s="34"/>
      <c r="RAR140" s="34"/>
      <c r="RAS140" s="34"/>
      <c r="RAT140" s="34"/>
      <c r="RAU140" s="34"/>
      <c r="RAV140" s="34"/>
      <c r="RAW140" s="34"/>
      <c r="RAX140" s="34"/>
      <c r="RAY140" s="34"/>
      <c r="RAZ140" s="34"/>
      <c r="RBA140" s="34"/>
      <c r="RBB140" s="34"/>
      <c r="RBC140" s="34"/>
      <c r="RBD140" s="34"/>
      <c r="RBE140" s="34"/>
      <c r="RBF140" s="34"/>
      <c r="RBG140" s="34"/>
      <c r="RBH140" s="34"/>
      <c r="RBI140" s="34"/>
      <c r="RBJ140" s="34"/>
      <c r="RBK140" s="34"/>
      <c r="RBL140" s="34"/>
      <c r="RBM140" s="34"/>
      <c r="RBN140" s="34"/>
      <c r="RBO140" s="34"/>
      <c r="RBP140" s="34"/>
      <c r="RBQ140" s="34"/>
      <c r="RBR140" s="34"/>
      <c r="RBS140" s="34"/>
      <c r="RBT140" s="34"/>
      <c r="RBU140" s="34"/>
      <c r="RBV140" s="34"/>
      <c r="RBW140" s="34"/>
      <c r="RBX140" s="34"/>
      <c r="RBY140" s="34"/>
      <c r="RBZ140" s="34"/>
      <c r="RCA140" s="34"/>
      <c r="RCB140" s="34"/>
      <c r="RCC140" s="34"/>
      <c r="RCD140" s="34"/>
      <c r="RCE140" s="34"/>
      <c r="RCF140" s="34"/>
      <c r="RCG140" s="34"/>
      <c r="RCH140" s="34"/>
      <c r="RCI140" s="34"/>
      <c r="RCJ140" s="34"/>
      <c r="RCK140" s="34"/>
      <c r="RCL140" s="34"/>
      <c r="RCM140" s="34"/>
      <c r="RCN140" s="34"/>
      <c r="RCO140" s="34"/>
      <c r="RCP140" s="34"/>
      <c r="RCQ140" s="34"/>
      <c r="RCR140" s="34"/>
      <c r="RCS140" s="34"/>
      <c r="RCT140" s="34"/>
      <c r="RCU140" s="34"/>
      <c r="RCV140" s="34"/>
      <c r="RCW140" s="34"/>
      <c r="RCX140" s="34"/>
      <c r="RCY140" s="34"/>
      <c r="RCZ140" s="34"/>
      <c r="RDA140" s="34"/>
      <c r="RDB140" s="34"/>
      <c r="RDC140" s="34"/>
      <c r="RDD140" s="34"/>
      <c r="RDE140" s="34"/>
      <c r="RDF140" s="34"/>
      <c r="RDG140" s="34"/>
      <c r="RDH140" s="34"/>
      <c r="RDI140" s="34"/>
      <c r="RDJ140" s="34"/>
      <c r="RDK140" s="34"/>
      <c r="RDL140" s="34"/>
      <c r="RDM140" s="34"/>
      <c r="RDN140" s="34"/>
      <c r="RDO140" s="34"/>
      <c r="RDP140" s="34"/>
      <c r="RDQ140" s="34"/>
      <c r="RDR140" s="34"/>
      <c r="RDS140" s="34"/>
      <c r="RDT140" s="34"/>
      <c r="RDU140" s="34"/>
      <c r="RDV140" s="34"/>
      <c r="RDW140" s="34"/>
      <c r="RDX140" s="34"/>
      <c r="RDY140" s="34"/>
      <c r="RDZ140" s="34"/>
      <c r="REA140" s="34"/>
      <c r="REB140" s="34"/>
      <c r="REC140" s="34"/>
      <c r="RED140" s="34"/>
      <c r="REE140" s="34"/>
      <c r="REF140" s="34"/>
      <c r="REG140" s="34"/>
      <c r="REH140" s="34"/>
      <c r="REI140" s="34"/>
      <c r="REJ140" s="34"/>
      <c r="REK140" s="34"/>
      <c r="REL140" s="34"/>
      <c r="REM140" s="34"/>
      <c r="REN140" s="34"/>
      <c r="REO140" s="34"/>
      <c r="REP140" s="34"/>
      <c r="REQ140" s="34"/>
      <c r="RER140" s="34"/>
      <c r="RES140" s="34"/>
      <c r="RET140" s="34"/>
      <c r="REU140" s="34"/>
      <c r="REV140" s="34"/>
      <c r="REW140" s="34"/>
      <c r="REX140" s="34"/>
      <c r="REY140" s="34"/>
      <c r="REZ140" s="34"/>
      <c r="RFA140" s="34"/>
      <c r="RFB140" s="34"/>
      <c r="RFC140" s="34"/>
      <c r="RFD140" s="34"/>
      <c r="RFE140" s="34"/>
      <c r="RFF140" s="34"/>
      <c r="RFG140" s="34"/>
      <c r="RFH140" s="34"/>
      <c r="RFI140" s="34"/>
      <c r="RFJ140" s="34"/>
      <c r="RFK140" s="34"/>
      <c r="RFL140" s="34"/>
      <c r="RFM140" s="34"/>
      <c r="RFN140" s="34"/>
      <c r="RFO140" s="34"/>
      <c r="RFP140" s="34"/>
      <c r="RFQ140" s="34"/>
      <c r="RFR140" s="34"/>
      <c r="RFS140" s="34"/>
      <c r="RFT140" s="34"/>
      <c r="RFU140" s="34"/>
      <c r="RFV140" s="34"/>
      <c r="RFW140" s="34"/>
      <c r="RFX140" s="34"/>
      <c r="RFY140" s="34"/>
      <c r="RFZ140" s="34"/>
      <c r="RGA140" s="34"/>
      <c r="RGB140" s="34"/>
      <c r="RGC140" s="34"/>
      <c r="RGD140" s="34"/>
      <c r="RGE140" s="34"/>
      <c r="RGF140" s="34"/>
      <c r="RGG140" s="34"/>
      <c r="RGH140" s="34"/>
      <c r="RGI140" s="34"/>
      <c r="RGJ140" s="34"/>
      <c r="RGK140" s="34"/>
      <c r="RGL140" s="34"/>
      <c r="RGM140" s="34"/>
      <c r="RGN140" s="34"/>
      <c r="RGO140" s="34"/>
      <c r="RGP140" s="34"/>
      <c r="RGQ140" s="34"/>
      <c r="RGR140" s="34"/>
      <c r="RGS140" s="34"/>
      <c r="RGT140" s="34"/>
      <c r="RGU140" s="34"/>
      <c r="RGV140" s="34"/>
      <c r="RGW140" s="34"/>
      <c r="RGX140" s="34"/>
      <c r="RGY140" s="34"/>
      <c r="RGZ140" s="34"/>
      <c r="RHA140" s="34"/>
      <c r="RHB140" s="34"/>
      <c r="RHC140" s="34"/>
      <c r="RHD140" s="34"/>
      <c r="RHE140" s="34"/>
      <c r="RHF140" s="34"/>
      <c r="RHG140" s="34"/>
      <c r="RHH140" s="34"/>
      <c r="RHI140" s="34"/>
      <c r="RHJ140" s="34"/>
      <c r="RHK140" s="34"/>
      <c r="RHL140" s="34"/>
      <c r="RHM140" s="34"/>
      <c r="RHN140" s="34"/>
      <c r="RHO140" s="34"/>
      <c r="RHP140" s="34"/>
      <c r="RHQ140" s="34"/>
      <c r="RHR140" s="34"/>
      <c r="RHS140" s="34"/>
      <c r="RHT140" s="34"/>
      <c r="RHU140" s="34"/>
      <c r="RHV140" s="34"/>
      <c r="RHW140" s="34"/>
      <c r="RHX140" s="34"/>
      <c r="RHY140" s="34"/>
      <c r="RHZ140" s="34"/>
      <c r="RIA140" s="34"/>
      <c r="RIB140" s="34"/>
      <c r="RIC140" s="34"/>
      <c r="RID140" s="34"/>
      <c r="RIE140" s="34"/>
      <c r="RIF140" s="34"/>
      <c r="RIG140" s="34"/>
      <c r="RIH140" s="34"/>
      <c r="RII140" s="34"/>
      <c r="RIJ140" s="34"/>
      <c r="RIK140" s="34"/>
      <c r="RIL140" s="34"/>
      <c r="RIM140" s="34"/>
      <c r="RIN140" s="34"/>
      <c r="RIO140" s="34"/>
      <c r="RIP140" s="34"/>
      <c r="RIQ140" s="34"/>
      <c r="RIR140" s="34"/>
      <c r="RIS140" s="34"/>
      <c r="RIT140" s="34"/>
      <c r="RIU140" s="34"/>
      <c r="RIV140" s="34"/>
      <c r="RIW140" s="34"/>
      <c r="RIX140" s="34"/>
      <c r="RIY140" s="34"/>
      <c r="RIZ140" s="34"/>
      <c r="RJA140" s="34"/>
      <c r="RJB140" s="34"/>
      <c r="RJC140" s="34"/>
      <c r="RJD140" s="34"/>
      <c r="RJE140" s="34"/>
      <c r="RJF140" s="34"/>
      <c r="RJG140" s="34"/>
      <c r="RJH140" s="34"/>
      <c r="RJI140" s="34"/>
      <c r="RJJ140" s="34"/>
      <c r="RJK140" s="34"/>
      <c r="RJL140" s="34"/>
      <c r="RJM140" s="34"/>
      <c r="RJN140" s="34"/>
      <c r="RJO140" s="34"/>
      <c r="RJP140" s="34"/>
      <c r="RJQ140" s="34"/>
      <c r="RJR140" s="34"/>
      <c r="RJS140" s="34"/>
      <c r="RJT140" s="34"/>
      <c r="RJU140" s="34"/>
      <c r="RJV140" s="34"/>
      <c r="RJW140" s="34"/>
      <c r="RJX140" s="34"/>
      <c r="RJY140" s="34"/>
      <c r="RJZ140" s="34"/>
      <c r="RKA140" s="34"/>
      <c r="RKB140" s="34"/>
      <c r="RKC140" s="34"/>
      <c r="RKD140" s="34"/>
      <c r="RKE140" s="34"/>
      <c r="RKF140" s="34"/>
      <c r="RKG140" s="34"/>
      <c r="RKH140" s="34"/>
      <c r="RKI140" s="34"/>
      <c r="RKJ140" s="34"/>
      <c r="RKK140" s="34"/>
      <c r="RKL140" s="34"/>
      <c r="RKM140" s="34"/>
      <c r="RKN140" s="34"/>
      <c r="RKO140" s="34"/>
      <c r="RKP140" s="34"/>
      <c r="RKQ140" s="34"/>
      <c r="RKR140" s="34"/>
      <c r="RKS140" s="34"/>
      <c r="RKT140" s="34"/>
      <c r="RKU140" s="34"/>
      <c r="RKV140" s="34"/>
      <c r="RKW140" s="34"/>
      <c r="RKX140" s="34"/>
      <c r="RKY140" s="34"/>
      <c r="RKZ140" s="34"/>
      <c r="RLA140" s="34"/>
      <c r="RLB140" s="34"/>
      <c r="RLC140" s="34"/>
      <c r="RLD140" s="34"/>
      <c r="RLE140" s="34"/>
      <c r="RLF140" s="34"/>
      <c r="RLG140" s="34"/>
      <c r="RLH140" s="34"/>
      <c r="RLI140" s="34"/>
      <c r="RLJ140" s="34"/>
      <c r="RLK140" s="34"/>
      <c r="RLL140" s="34"/>
      <c r="RLM140" s="34"/>
      <c r="RLN140" s="34"/>
      <c r="RLO140" s="34"/>
      <c r="RLP140" s="34"/>
      <c r="RLQ140" s="34"/>
      <c r="RLR140" s="34"/>
      <c r="RLS140" s="34"/>
      <c r="RLT140" s="34"/>
      <c r="RLU140" s="34"/>
      <c r="RLV140" s="34"/>
      <c r="RLW140" s="34"/>
      <c r="RLX140" s="34"/>
      <c r="RLY140" s="34"/>
      <c r="RLZ140" s="34"/>
      <c r="RMA140" s="34"/>
      <c r="RMB140" s="34"/>
      <c r="RMC140" s="34"/>
      <c r="RMD140" s="34"/>
      <c r="RME140" s="34"/>
      <c r="RMF140" s="34"/>
      <c r="RMG140" s="34"/>
      <c r="RMH140" s="34"/>
      <c r="RMI140" s="34"/>
      <c r="RMJ140" s="34"/>
      <c r="RMK140" s="34"/>
      <c r="RML140" s="34"/>
      <c r="RMM140" s="34"/>
      <c r="RMN140" s="34"/>
      <c r="RMO140" s="34"/>
      <c r="RMP140" s="34"/>
      <c r="RMQ140" s="34"/>
      <c r="RMR140" s="34"/>
      <c r="RMS140" s="34"/>
      <c r="RMT140" s="34"/>
      <c r="RMU140" s="34"/>
      <c r="RMV140" s="34"/>
      <c r="RMW140" s="34"/>
      <c r="RMX140" s="34"/>
      <c r="RMY140" s="34"/>
      <c r="RMZ140" s="34"/>
      <c r="RNA140" s="34"/>
      <c r="RNB140" s="34"/>
      <c r="RNC140" s="34"/>
      <c r="RND140" s="34"/>
      <c r="RNE140" s="34"/>
      <c r="RNF140" s="34"/>
      <c r="RNG140" s="34"/>
      <c r="RNH140" s="34"/>
      <c r="RNI140" s="34"/>
      <c r="RNJ140" s="34"/>
      <c r="RNK140" s="34"/>
      <c r="RNL140" s="34"/>
      <c r="RNM140" s="34"/>
      <c r="RNN140" s="34"/>
      <c r="RNO140" s="34"/>
      <c r="RNP140" s="34"/>
      <c r="RNQ140" s="34"/>
      <c r="RNR140" s="34"/>
      <c r="RNS140" s="34"/>
      <c r="RNT140" s="34"/>
      <c r="RNU140" s="34"/>
      <c r="RNV140" s="34"/>
      <c r="RNW140" s="34"/>
      <c r="RNX140" s="34"/>
      <c r="RNY140" s="34"/>
      <c r="RNZ140" s="34"/>
      <c r="ROA140" s="34"/>
      <c r="ROB140" s="34"/>
      <c r="ROC140" s="34"/>
      <c r="ROD140" s="34"/>
      <c r="ROE140" s="34"/>
      <c r="ROF140" s="34"/>
      <c r="ROG140" s="34"/>
      <c r="ROH140" s="34"/>
      <c r="ROI140" s="34"/>
      <c r="ROJ140" s="34"/>
      <c r="ROK140" s="34"/>
      <c r="ROL140" s="34"/>
      <c r="ROM140" s="34"/>
      <c r="RON140" s="34"/>
      <c r="ROO140" s="34"/>
      <c r="ROP140" s="34"/>
      <c r="ROQ140" s="34"/>
      <c r="ROR140" s="34"/>
      <c r="ROS140" s="34"/>
      <c r="ROT140" s="34"/>
      <c r="ROU140" s="34"/>
      <c r="ROV140" s="34"/>
      <c r="ROW140" s="34"/>
      <c r="ROX140" s="34"/>
      <c r="ROY140" s="34"/>
      <c r="ROZ140" s="34"/>
      <c r="RPA140" s="34"/>
      <c r="RPB140" s="34"/>
      <c r="RPC140" s="34"/>
      <c r="RPD140" s="34"/>
      <c r="RPE140" s="34"/>
      <c r="RPF140" s="34"/>
      <c r="RPG140" s="34"/>
      <c r="RPH140" s="34"/>
      <c r="RPI140" s="34"/>
      <c r="RPJ140" s="34"/>
      <c r="RPK140" s="34"/>
      <c r="RPL140" s="34"/>
      <c r="RPM140" s="34"/>
      <c r="RPN140" s="34"/>
      <c r="RPO140" s="34"/>
      <c r="RPP140" s="34"/>
      <c r="RPQ140" s="34"/>
      <c r="RPR140" s="34"/>
      <c r="RPS140" s="34"/>
      <c r="RPT140" s="34"/>
      <c r="RPU140" s="34"/>
      <c r="RPV140" s="34"/>
      <c r="RPW140" s="34"/>
      <c r="RPX140" s="34"/>
      <c r="RPY140" s="34"/>
      <c r="RPZ140" s="34"/>
      <c r="RQA140" s="34"/>
      <c r="RQB140" s="34"/>
      <c r="RQC140" s="34"/>
      <c r="RQD140" s="34"/>
      <c r="RQE140" s="34"/>
      <c r="RQF140" s="34"/>
      <c r="RQG140" s="34"/>
      <c r="RQH140" s="34"/>
      <c r="RQI140" s="34"/>
      <c r="RQJ140" s="34"/>
      <c r="RQK140" s="34"/>
      <c r="RQL140" s="34"/>
      <c r="RQM140" s="34"/>
      <c r="RQN140" s="34"/>
      <c r="RQO140" s="34"/>
      <c r="RQP140" s="34"/>
      <c r="RQQ140" s="34"/>
      <c r="RQR140" s="34"/>
      <c r="RQS140" s="34"/>
      <c r="RQT140" s="34"/>
      <c r="RQU140" s="34"/>
      <c r="RQV140" s="34"/>
      <c r="RQW140" s="34"/>
      <c r="RQX140" s="34"/>
      <c r="RQY140" s="34"/>
      <c r="RQZ140" s="34"/>
      <c r="RRA140" s="34"/>
      <c r="RRB140" s="34"/>
      <c r="RRC140" s="34"/>
      <c r="RRD140" s="34"/>
      <c r="RRE140" s="34"/>
      <c r="RRF140" s="34"/>
      <c r="RRG140" s="34"/>
      <c r="RRH140" s="34"/>
      <c r="RRI140" s="34"/>
      <c r="RRJ140" s="34"/>
      <c r="RRK140" s="34"/>
      <c r="RRL140" s="34"/>
      <c r="RRM140" s="34"/>
      <c r="RRN140" s="34"/>
      <c r="RRO140" s="34"/>
      <c r="RRP140" s="34"/>
      <c r="RRQ140" s="34"/>
      <c r="RRR140" s="34"/>
      <c r="RRS140" s="34"/>
      <c r="RRT140" s="34"/>
      <c r="RRU140" s="34"/>
      <c r="RRV140" s="34"/>
      <c r="RRW140" s="34"/>
      <c r="RRX140" s="34"/>
      <c r="RRY140" s="34"/>
      <c r="RRZ140" s="34"/>
      <c r="RSA140" s="34"/>
      <c r="RSB140" s="34"/>
      <c r="RSC140" s="34"/>
      <c r="RSD140" s="34"/>
      <c r="RSE140" s="34"/>
      <c r="RSF140" s="34"/>
      <c r="RSG140" s="34"/>
      <c r="RSH140" s="34"/>
      <c r="RSI140" s="34"/>
      <c r="RSJ140" s="34"/>
      <c r="RSK140" s="34"/>
      <c r="RSL140" s="34"/>
      <c r="RSM140" s="34"/>
      <c r="RSN140" s="34"/>
      <c r="RSO140" s="34"/>
      <c r="RSP140" s="34"/>
      <c r="RSQ140" s="34"/>
      <c r="RSR140" s="34"/>
      <c r="RSS140" s="34"/>
      <c r="RST140" s="34"/>
      <c r="RSU140" s="34"/>
      <c r="RSV140" s="34"/>
      <c r="RSW140" s="34"/>
      <c r="RSX140" s="34"/>
      <c r="RSY140" s="34"/>
      <c r="RSZ140" s="34"/>
      <c r="RTA140" s="34"/>
      <c r="RTB140" s="34"/>
      <c r="RTC140" s="34"/>
      <c r="RTD140" s="34"/>
      <c r="RTE140" s="34"/>
      <c r="RTF140" s="34"/>
      <c r="RTG140" s="34"/>
      <c r="RTH140" s="34"/>
      <c r="RTI140" s="34"/>
      <c r="RTJ140" s="34"/>
      <c r="RTK140" s="34"/>
      <c r="RTL140" s="34"/>
      <c r="RTM140" s="34"/>
      <c r="RTN140" s="34"/>
      <c r="RTO140" s="34"/>
      <c r="RTP140" s="34"/>
      <c r="RTQ140" s="34"/>
      <c r="RTR140" s="34"/>
      <c r="RTS140" s="34"/>
      <c r="RTT140" s="34"/>
      <c r="RTU140" s="34"/>
      <c r="RTV140" s="34"/>
      <c r="RTW140" s="34"/>
      <c r="RTX140" s="34"/>
      <c r="RTY140" s="34"/>
      <c r="RTZ140" s="34"/>
      <c r="RUA140" s="34"/>
      <c r="RUB140" s="34"/>
      <c r="RUC140" s="34"/>
      <c r="RUD140" s="34"/>
      <c r="RUE140" s="34"/>
      <c r="RUF140" s="34"/>
      <c r="RUG140" s="34"/>
      <c r="RUH140" s="34"/>
      <c r="RUI140" s="34"/>
      <c r="RUJ140" s="34"/>
      <c r="RUK140" s="34"/>
      <c r="RUL140" s="34"/>
      <c r="RUM140" s="34"/>
      <c r="RUN140" s="34"/>
      <c r="RUO140" s="34"/>
      <c r="RUP140" s="34"/>
      <c r="RUQ140" s="34"/>
      <c r="RUR140" s="34"/>
      <c r="RUS140" s="34"/>
      <c r="RUT140" s="34"/>
      <c r="RUU140" s="34"/>
      <c r="RUV140" s="34"/>
      <c r="RUW140" s="34"/>
      <c r="RUX140" s="34"/>
      <c r="RUY140" s="34"/>
      <c r="RUZ140" s="34"/>
      <c r="RVA140" s="34"/>
      <c r="RVB140" s="34"/>
      <c r="RVC140" s="34"/>
      <c r="RVD140" s="34"/>
      <c r="RVE140" s="34"/>
      <c r="RVF140" s="34"/>
      <c r="RVG140" s="34"/>
      <c r="RVH140" s="34"/>
      <c r="RVI140" s="34"/>
      <c r="RVJ140" s="34"/>
      <c r="RVK140" s="34"/>
      <c r="RVL140" s="34"/>
      <c r="RVM140" s="34"/>
      <c r="RVN140" s="34"/>
      <c r="RVO140" s="34"/>
      <c r="RVP140" s="34"/>
      <c r="RVQ140" s="34"/>
      <c r="RVR140" s="34"/>
      <c r="RVS140" s="34"/>
      <c r="RVT140" s="34"/>
      <c r="RVU140" s="34"/>
      <c r="RVV140" s="34"/>
      <c r="RVW140" s="34"/>
      <c r="RVX140" s="34"/>
      <c r="RVY140" s="34"/>
      <c r="RVZ140" s="34"/>
      <c r="RWA140" s="34"/>
      <c r="RWB140" s="34"/>
      <c r="RWC140" s="34"/>
      <c r="RWD140" s="34"/>
      <c r="RWE140" s="34"/>
      <c r="RWF140" s="34"/>
      <c r="RWG140" s="34"/>
      <c r="RWH140" s="34"/>
      <c r="RWI140" s="34"/>
      <c r="RWJ140" s="34"/>
      <c r="RWK140" s="34"/>
      <c r="RWL140" s="34"/>
      <c r="RWM140" s="34"/>
      <c r="RWN140" s="34"/>
      <c r="RWO140" s="34"/>
      <c r="RWP140" s="34"/>
      <c r="RWQ140" s="34"/>
      <c r="RWR140" s="34"/>
      <c r="RWS140" s="34"/>
      <c r="RWT140" s="34"/>
      <c r="RWU140" s="34"/>
      <c r="RWV140" s="34"/>
      <c r="RWW140" s="34"/>
      <c r="RWX140" s="34"/>
      <c r="RWY140" s="34"/>
      <c r="RWZ140" s="34"/>
      <c r="RXA140" s="34"/>
      <c r="RXB140" s="34"/>
      <c r="RXC140" s="34"/>
      <c r="RXD140" s="34"/>
      <c r="RXE140" s="34"/>
      <c r="RXF140" s="34"/>
      <c r="RXG140" s="34"/>
      <c r="RXH140" s="34"/>
      <c r="RXI140" s="34"/>
      <c r="RXJ140" s="34"/>
      <c r="RXK140" s="34"/>
      <c r="RXL140" s="34"/>
      <c r="RXM140" s="34"/>
      <c r="RXN140" s="34"/>
      <c r="RXO140" s="34"/>
      <c r="RXP140" s="34"/>
      <c r="RXQ140" s="34"/>
      <c r="RXR140" s="34"/>
      <c r="RXS140" s="34"/>
      <c r="RXT140" s="34"/>
      <c r="RXU140" s="34"/>
      <c r="RXV140" s="34"/>
      <c r="RXW140" s="34"/>
      <c r="RXX140" s="34"/>
      <c r="RXY140" s="34"/>
      <c r="RXZ140" s="34"/>
      <c r="RYA140" s="34"/>
      <c r="RYB140" s="34"/>
      <c r="RYC140" s="34"/>
      <c r="RYD140" s="34"/>
      <c r="RYE140" s="34"/>
      <c r="RYF140" s="34"/>
      <c r="RYG140" s="34"/>
      <c r="RYH140" s="34"/>
      <c r="RYI140" s="34"/>
      <c r="RYJ140" s="34"/>
      <c r="RYK140" s="34"/>
      <c r="RYL140" s="34"/>
      <c r="RYM140" s="34"/>
      <c r="RYN140" s="34"/>
      <c r="RYO140" s="34"/>
      <c r="RYP140" s="34"/>
      <c r="RYQ140" s="34"/>
      <c r="RYR140" s="34"/>
      <c r="RYS140" s="34"/>
      <c r="RYT140" s="34"/>
      <c r="RYU140" s="34"/>
      <c r="RYV140" s="34"/>
      <c r="RYW140" s="34"/>
      <c r="RYX140" s="34"/>
      <c r="RYY140" s="34"/>
      <c r="RYZ140" s="34"/>
      <c r="RZA140" s="34"/>
      <c r="RZB140" s="34"/>
      <c r="RZC140" s="34"/>
      <c r="RZD140" s="34"/>
      <c r="RZE140" s="34"/>
      <c r="RZF140" s="34"/>
      <c r="RZG140" s="34"/>
      <c r="RZH140" s="34"/>
      <c r="RZI140" s="34"/>
      <c r="RZJ140" s="34"/>
      <c r="RZK140" s="34"/>
      <c r="RZL140" s="34"/>
      <c r="RZM140" s="34"/>
      <c r="RZN140" s="34"/>
      <c r="RZO140" s="34"/>
      <c r="RZP140" s="34"/>
      <c r="RZQ140" s="34"/>
      <c r="RZR140" s="34"/>
      <c r="RZS140" s="34"/>
      <c r="RZT140" s="34"/>
      <c r="RZU140" s="34"/>
      <c r="RZV140" s="34"/>
      <c r="RZW140" s="34"/>
      <c r="RZX140" s="34"/>
      <c r="RZY140" s="34"/>
      <c r="RZZ140" s="34"/>
      <c r="SAA140" s="34"/>
      <c r="SAB140" s="34"/>
      <c r="SAC140" s="34"/>
      <c r="SAD140" s="34"/>
      <c r="SAE140" s="34"/>
      <c r="SAF140" s="34"/>
      <c r="SAG140" s="34"/>
      <c r="SAH140" s="34"/>
      <c r="SAI140" s="34"/>
      <c r="SAJ140" s="34"/>
      <c r="SAK140" s="34"/>
      <c r="SAL140" s="34"/>
      <c r="SAM140" s="34"/>
      <c r="SAN140" s="34"/>
      <c r="SAO140" s="34"/>
      <c r="SAP140" s="34"/>
      <c r="SAQ140" s="34"/>
      <c r="SAR140" s="34"/>
      <c r="SAS140" s="34"/>
      <c r="SAT140" s="34"/>
      <c r="SAU140" s="34"/>
      <c r="SAV140" s="34"/>
      <c r="SAW140" s="34"/>
      <c r="SAX140" s="34"/>
      <c r="SAY140" s="34"/>
      <c r="SAZ140" s="34"/>
      <c r="SBA140" s="34"/>
      <c r="SBB140" s="34"/>
      <c r="SBC140" s="34"/>
      <c r="SBD140" s="34"/>
      <c r="SBE140" s="34"/>
      <c r="SBF140" s="34"/>
      <c r="SBG140" s="34"/>
      <c r="SBH140" s="34"/>
      <c r="SBI140" s="34"/>
      <c r="SBJ140" s="34"/>
      <c r="SBK140" s="34"/>
      <c r="SBL140" s="34"/>
      <c r="SBM140" s="34"/>
      <c r="SBN140" s="34"/>
      <c r="SBO140" s="34"/>
      <c r="SBP140" s="34"/>
      <c r="SBQ140" s="34"/>
      <c r="SBR140" s="34"/>
      <c r="SBS140" s="34"/>
      <c r="SBT140" s="34"/>
      <c r="SBU140" s="34"/>
      <c r="SBV140" s="34"/>
      <c r="SBW140" s="34"/>
      <c r="SBX140" s="34"/>
      <c r="SBY140" s="34"/>
      <c r="SBZ140" s="34"/>
      <c r="SCA140" s="34"/>
      <c r="SCB140" s="34"/>
      <c r="SCC140" s="34"/>
      <c r="SCD140" s="34"/>
      <c r="SCE140" s="34"/>
      <c r="SCF140" s="34"/>
      <c r="SCG140" s="34"/>
      <c r="SCH140" s="34"/>
      <c r="SCI140" s="34"/>
      <c r="SCJ140" s="34"/>
      <c r="SCK140" s="34"/>
      <c r="SCL140" s="34"/>
      <c r="SCM140" s="34"/>
      <c r="SCN140" s="34"/>
      <c r="SCO140" s="34"/>
      <c r="SCP140" s="34"/>
      <c r="SCQ140" s="34"/>
      <c r="SCR140" s="34"/>
      <c r="SCS140" s="34"/>
      <c r="SCT140" s="34"/>
      <c r="SCU140" s="34"/>
      <c r="SCV140" s="34"/>
      <c r="SCW140" s="34"/>
      <c r="SCX140" s="34"/>
      <c r="SCY140" s="34"/>
      <c r="SCZ140" s="34"/>
      <c r="SDA140" s="34"/>
      <c r="SDB140" s="34"/>
      <c r="SDC140" s="34"/>
      <c r="SDD140" s="34"/>
      <c r="SDE140" s="34"/>
      <c r="SDF140" s="34"/>
      <c r="SDG140" s="34"/>
      <c r="SDH140" s="34"/>
      <c r="SDI140" s="34"/>
      <c r="SDJ140" s="34"/>
      <c r="SDK140" s="34"/>
      <c r="SDL140" s="34"/>
      <c r="SDM140" s="34"/>
      <c r="SDN140" s="34"/>
      <c r="SDO140" s="34"/>
      <c r="SDP140" s="34"/>
      <c r="SDQ140" s="34"/>
      <c r="SDR140" s="34"/>
      <c r="SDS140" s="34"/>
      <c r="SDT140" s="34"/>
      <c r="SDU140" s="34"/>
      <c r="SDV140" s="34"/>
      <c r="SDW140" s="34"/>
      <c r="SDX140" s="34"/>
      <c r="SDY140" s="34"/>
      <c r="SDZ140" s="34"/>
      <c r="SEA140" s="34"/>
      <c r="SEB140" s="34"/>
      <c r="SEC140" s="34"/>
      <c r="SED140" s="34"/>
      <c r="SEE140" s="34"/>
      <c r="SEF140" s="34"/>
      <c r="SEG140" s="34"/>
      <c r="SEH140" s="34"/>
      <c r="SEI140" s="34"/>
      <c r="SEJ140" s="34"/>
      <c r="SEK140" s="34"/>
      <c r="SEL140" s="34"/>
      <c r="SEM140" s="34"/>
      <c r="SEN140" s="34"/>
      <c r="SEO140" s="34"/>
      <c r="SEP140" s="34"/>
      <c r="SEQ140" s="34"/>
      <c r="SER140" s="34"/>
      <c r="SES140" s="34"/>
      <c r="SET140" s="34"/>
      <c r="SEU140" s="34"/>
      <c r="SEV140" s="34"/>
      <c r="SEW140" s="34"/>
      <c r="SEX140" s="34"/>
      <c r="SEY140" s="34"/>
      <c r="SEZ140" s="34"/>
      <c r="SFA140" s="34"/>
      <c r="SFB140" s="34"/>
      <c r="SFC140" s="34"/>
      <c r="SFD140" s="34"/>
      <c r="SFE140" s="34"/>
      <c r="SFF140" s="34"/>
      <c r="SFG140" s="34"/>
      <c r="SFH140" s="34"/>
      <c r="SFI140" s="34"/>
      <c r="SFJ140" s="34"/>
      <c r="SFK140" s="34"/>
      <c r="SFL140" s="34"/>
      <c r="SFM140" s="34"/>
      <c r="SFN140" s="34"/>
      <c r="SFO140" s="34"/>
      <c r="SFP140" s="34"/>
      <c r="SFQ140" s="34"/>
      <c r="SFR140" s="34"/>
      <c r="SFS140" s="34"/>
      <c r="SFT140" s="34"/>
      <c r="SFU140" s="34"/>
      <c r="SFV140" s="34"/>
      <c r="SFW140" s="34"/>
      <c r="SFX140" s="34"/>
      <c r="SFY140" s="34"/>
      <c r="SFZ140" s="34"/>
      <c r="SGA140" s="34"/>
      <c r="SGB140" s="34"/>
      <c r="SGC140" s="34"/>
      <c r="SGD140" s="34"/>
      <c r="SGE140" s="34"/>
      <c r="SGF140" s="34"/>
      <c r="SGG140" s="34"/>
      <c r="SGH140" s="34"/>
      <c r="SGI140" s="34"/>
      <c r="SGJ140" s="34"/>
      <c r="SGK140" s="34"/>
      <c r="SGL140" s="34"/>
      <c r="SGM140" s="34"/>
      <c r="SGN140" s="34"/>
      <c r="SGO140" s="34"/>
      <c r="SGP140" s="34"/>
      <c r="SGQ140" s="34"/>
      <c r="SGR140" s="34"/>
      <c r="SGS140" s="34"/>
      <c r="SGT140" s="34"/>
      <c r="SGU140" s="34"/>
      <c r="SGV140" s="34"/>
      <c r="SGW140" s="34"/>
      <c r="SGX140" s="34"/>
      <c r="SGY140" s="34"/>
      <c r="SGZ140" s="34"/>
      <c r="SHA140" s="34"/>
      <c r="SHB140" s="34"/>
      <c r="SHC140" s="34"/>
      <c r="SHD140" s="34"/>
      <c r="SHE140" s="34"/>
      <c r="SHF140" s="34"/>
      <c r="SHG140" s="34"/>
      <c r="SHH140" s="34"/>
      <c r="SHI140" s="34"/>
      <c r="SHJ140" s="34"/>
      <c r="SHK140" s="34"/>
      <c r="SHL140" s="34"/>
      <c r="SHM140" s="34"/>
      <c r="SHN140" s="34"/>
      <c r="SHO140" s="34"/>
      <c r="SHP140" s="34"/>
      <c r="SHQ140" s="34"/>
      <c r="SHR140" s="34"/>
      <c r="SHS140" s="34"/>
      <c r="SHT140" s="34"/>
      <c r="SHU140" s="34"/>
      <c r="SHV140" s="34"/>
      <c r="SHW140" s="34"/>
      <c r="SHX140" s="34"/>
      <c r="SHY140" s="34"/>
      <c r="SHZ140" s="34"/>
      <c r="SIA140" s="34"/>
      <c r="SIB140" s="34"/>
      <c r="SIC140" s="34"/>
      <c r="SID140" s="34"/>
      <c r="SIE140" s="34"/>
      <c r="SIF140" s="34"/>
      <c r="SIG140" s="34"/>
      <c r="SIH140" s="34"/>
      <c r="SII140" s="34"/>
      <c r="SIJ140" s="34"/>
      <c r="SIK140" s="34"/>
      <c r="SIL140" s="34"/>
      <c r="SIM140" s="34"/>
      <c r="SIN140" s="34"/>
      <c r="SIO140" s="34"/>
      <c r="SIP140" s="34"/>
      <c r="SIQ140" s="34"/>
      <c r="SIR140" s="34"/>
      <c r="SIS140" s="34"/>
      <c r="SIT140" s="34"/>
      <c r="SIU140" s="34"/>
      <c r="SIV140" s="34"/>
      <c r="SIW140" s="34"/>
      <c r="SIX140" s="34"/>
      <c r="SIY140" s="34"/>
      <c r="SIZ140" s="34"/>
      <c r="SJA140" s="34"/>
      <c r="SJB140" s="34"/>
      <c r="SJC140" s="34"/>
      <c r="SJD140" s="34"/>
      <c r="SJE140" s="34"/>
      <c r="SJF140" s="34"/>
      <c r="SJG140" s="34"/>
      <c r="SJH140" s="34"/>
      <c r="SJI140" s="34"/>
      <c r="SJJ140" s="34"/>
      <c r="SJK140" s="34"/>
      <c r="SJL140" s="34"/>
      <c r="SJM140" s="34"/>
      <c r="SJN140" s="34"/>
      <c r="SJO140" s="34"/>
      <c r="SJP140" s="34"/>
      <c r="SJQ140" s="34"/>
      <c r="SJR140" s="34"/>
      <c r="SJS140" s="34"/>
      <c r="SJT140" s="34"/>
      <c r="SJU140" s="34"/>
      <c r="SJV140" s="34"/>
      <c r="SJW140" s="34"/>
      <c r="SJX140" s="34"/>
      <c r="SJY140" s="34"/>
      <c r="SJZ140" s="34"/>
      <c r="SKA140" s="34"/>
      <c r="SKB140" s="34"/>
      <c r="SKC140" s="34"/>
      <c r="SKD140" s="34"/>
      <c r="SKE140" s="34"/>
      <c r="SKF140" s="34"/>
      <c r="SKG140" s="34"/>
      <c r="SKH140" s="34"/>
      <c r="SKI140" s="34"/>
      <c r="SKJ140" s="34"/>
      <c r="SKK140" s="34"/>
      <c r="SKL140" s="34"/>
      <c r="SKM140" s="34"/>
      <c r="SKN140" s="34"/>
      <c r="SKO140" s="34"/>
      <c r="SKP140" s="34"/>
      <c r="SKQ140" s="34"/>
      <c r="SKR140" s="34"/>
      <c r="SKS140" s="34"/>
      <c r="SKT140" s="34"/>
      <c r="SKU140" s="34"/>
      <c r="SKV140" s="34"/>
      <c r="SKW140" s="34"/>
      <c r="SKX140" s="34"/>
      <c r="SKY140" s="34"/>
      <c r="SKZ140" s="34"/>
      <c r="SLA140" s="34"/>
      <c r="SLB140" s="34"/>
      <c r="SLC140" s="34"/>
      <c r="SLD140" s="34"/>
      <c r="SLE140" s="34"/>
      <c r="SLF140" s="34"/>
      <c r="SLG140" s="34"/>
      <c r="SLH140" s="34"/>
      <c r="SLI140" s="34"/>
      <c r="SLJ140" s="34"/>
      <c r="SLK140" s="34"/>
      <c r="SLL140" s="34"/>
      <c r="SLM140" s="34"/>
      <c r="SLN140" s="34"/>
      <c r="SLO140" s="34"/>
      <c r="SLP140" s="34"/>
      <c r="SLQ140" s="34"/>
      <c r="SLR140" s="34"/>
      <c r="SLS140" s="34"/>
      <c r="SLT140" s="34"/>
      <c r="SLU140" s="34"/>
      <c r="SLV140" s="34"/>
      <c r="SLW140" s="34"/>
      <c r="SLX140" s="34"/>
      <c r="SLY140" s="34"/>
      <c r="SLZ140" s="34"/>
      <c r="SMA140" s="34"/>
      <c r="SMB140" s="34"/>
      <c r="SMC140" s="34"/>
      <c r="SMD140" s="34"/>
      <c r="SME140" s="34"/>
      <c r="SMF140" s="34"/>
      <c r="SMG140" s="34"/>
      <c r="SMH140" s="34"/>
      <c r="SMI140" s="34"/>
      <c r="SMJ140" s="34"/>
      <c r="SMK140" s="34"/>
      <c r="SML140" s="34"/>
      <c r="SMM140" s="34"/>
      <c r="SMN140" s="34"/>
      <c r="SMO140" s="34"/>
      <c r="SMP140" s="34"/>
      <c r="SMQ140" s="34"/>
      <c r="SMR140" s="34"/>
      <c r="SMS140" s="34"/>
      <c r="SMT140" s="34"/>
      <c r="SMU140" s="34"/>
      <c r="SMV140" s="34"/>
      <c r="SMW140" s="34"/>
      <c r="SMX140" s="34"/>
      <c r="SMY140" s="34"/>
      <c r="SMZ140" s="34"/>
      <c r="SNA140" s="34"/>
      <c r="SNB140" s="34"/>
      <c r="SNC140" s="34"/>
      <c r="SND140" s="34"/>
      <c r="SNE140" s="34"/>
      <c r="SNF140" s="34"/>
      <c r="SNG140" s="34"/>
      <c r="SNH140" s="34"/>
      <c r="SNI140" s="34"/>
      <c r="SNJ140" s="34"/>
      <c r="SNK140" s="34"/>
      <c r="SNL140" s="34"/>
      <c r="SNM140" s="34"/>
      <c r="SNN140" s="34"/>
      <c r="SNO140" s="34"/>
      <c r="SNP140" s="34"/>
      <c r="SNQ140" s="34"/>
      <c r="SNR140" s="34"/>
      <c r="SNS140" s="34"/>
      <c r="SNT140" s="34"/>
      <c r="SNU140" s="34"/>
      <c r="SNV140" s="34"/>
      <c r="SNW140" s="34"/>
      <c r="SNX140" s="34"/>
      <c r="SNY140" s="34"/>
      <c r="SNZ140" s="34"/>
      <c r="SOA140" s="34"/>
      <c r="SOB140" s="34"/>
      <c r="SOC140" s="34"/>
      <c r="SOD140" s="34"/>
      <c r="SOE140" s="34"/>
      <c r="SOF140" s="34"/>
      <c r="SOG140" s="34"/>
      <c r="SOH140" s="34"/>
      <c r="SOI140" s="34"/>
      <c r="SOJ140" s="34"/>
      <c r="SOK140" s="34"/>
      <c r="SOL140" s="34"/>
      <c r="SOM140" s="34"/>
      <c r="SON140" s="34"/>
      <c r="SOO140" s="34"/>
      <c r="SOP140" s="34"/>
      <c r="SOQ140" s="34"/>
      <c r="SOR140" s="34"/>
      <c r="SOS140" s="34"/>
      <c r="SOT140" s="34"/>
      <c r="SOU140" s="34"/>
      <c r="SOV140" s="34"/>
      <c r="SOW140" s="34"/>
      <c r="SOX140" s="34"/>
      <c r="SOY140" s="34"/>
      <c r="SOZ140" s="34"/>
      <c r="SPA140" s="34"/>
      <c r="SPB140" s="34"/>
      <c r="SPC140" s="34"/>
      <c r="SPD140" s="34"/>
      <c r="SPE140" s="34"/>
      <c r="SPF140" s="34"/>
      <c r="SPG140" s="34"/>
      <c r="SPH140" s="34"/>
      <c r="SPI140" s="34"/>
      <c r="SPJ140" s="34"/>
      <c r="SPK140" s="34"/>
      <c r="SPL140" s="34"/>
      <c r="SPM140" s="34"/>
      <c r="SPN140" s="34"/>
      <c r="SPO140" s="34"/>
      <c r="SPP140" s="34"/>
      <c r="SPQ140" s="34"/>
      <c r="SPR140" s="34"/>
      <c r="SPS140" s="34"/>
      <c r="SPT140" s="34"/>
      <c r="SPU140" s="34"/>
      <c r="SPV140" s="34"/>
      <c r="SPW140" s="34"/>
      <c r="SPX140" s="34"/>
      <c r="SPY140" s="34"/>
      <c r="SPZ140" s="34"/>
      <c r="SQA140" s="34"/>
      <c r="SQB140" s="34"/>
      <c r="SQC140" s="34"/>
      <c r="SQD140" s="34"/>
      <c r="SQE140" s="34"/>
      <c r="SQF140" s="34"/>
      <c r="SQG140" s="34"/>
      <c r="SQH140" s="34"/>
      <c r="SQI140" s="34"/>
      <c r="SQJ140" s="34"/>
      <c r="SQK140" s="34"/>
      <c r="SQL140" s="34"/>
      <c r="SQM140" s="34"/>
      <c r="SQN140" s="34"/>
      <c r="SQO140" s="34"/>
      <c r="SQP140" s="34"/>
      <c r="SQQ140" s="34"/>
      <c r="SQR140" s="34"/>
      <c r="SQS140" s="34"/>
      <c r="SQT140" s="34"/>
      <c r="SQU140" s="34"/>
      <c r="SQV140" s="34"/>
      <c r="SQW140" s="34"/>
      <c r="SQX140" s="34"/>
      <c r="SQY140" s="34"/>
      <c r="SQZ140" s="34"/>
      <c r="SRA140" s="34"/>
      <c r="SRB140" s="34"/>
      <c r="SRC140" s="34"/>
      <c r="SRD140" s="34"/>
      <c r="SRE140" s="34"/>
      <c r="SRF140" s="34"/>
      <c r="SRG140" s="34"/>
      <c r="SRH140" s="34"/>
      <c r="SRI140" s="34"/>
      <c r="SRJ140" s="34"/>
      <c r="SRK140" s="34"/>
      <c r="SRL140" s="34"/>
      <c r="SRM140" s="34"/>
      <c r="SRN140" s="34"/>
      <c r="SRO140" s="34"/>
      <c r="SRP140" s="34"/>
      <c r="SRQ140" s="34"/>
      <c r="SRR140" s="34"/>
      <c r="SRS140" s="34"/>
      <c r="SRT140" s="34"/>
      <c r="SRU140" s="34"/>
      <c r="SRV140" s="34"/>
      <c r="SRW140" s="34"/>
      <c r="SRX140" s="34"/>
      <c r="SRY140" s="34"/>
      <c r="SRZ140" s="34"/>
      <c r="SSA140" s="34"/>
      <c r="SSB140" s="34"/>
      <c r="SSC140" s="34"/>
      <c r="SSD140" s="34"/>
      <c r="SSE140" s="34"/>
      <c r="SSF140" s="34"/>
      <c r="SSG140" s="34"/>
      <c r="SSH140" s="34"/>
      <c r="SSI140" s="34"/>
      <c r="SSJ140" s="34"/>
      <c r="SSK140" s="34"/>
      <c r="SSL140" s="34"/>
      <c r="SSM140" s="34"/>
      <c r="SSN140" s="34"/>
      <c r="SSO140" s="34"/>
      <c r="SSP140" s="34"/>
      <c r="SSQ140" s="34"/>
      <c r="SSR140" s="34"/>
      <c r="SSS140" s="34"/>
      <c r="SST140" s="34"/>
      <c r="SSU140" s="34"/>
      <c r="SSV140" s="34"/>
      <c r="SSW140" s="34"/>
      <c r="SSX140" s="34"/>
      <c r="SSY140" s="34"/>
      <c r="SSZ140" s="34"/>
      <c r="STA140" s="34"/>
      <c r="STB140" s="34"/>
      <c r="STC140" s="34"/>
      <c r="STD140" s="34"/>
      <c r="STE140" s="34"/>
      <c r="STF140" s="34"/>
      <c r="STG140" s="34"/>
      <c r="STH140" s="34"/>
      <c r="STI140" s="34"/>
      <c r="STJ140" s="34"/>
      <c r="STK140" s="34"/>
      <c r="STL140" s="34"/>
      <c r="STM140" s="34"/>
      <c r="STN140" s="34"/>
      <c r="STO140" s="34"/>
      <c r="STP140" s="34"/>
      <c r="STQ140" s="34"/>
      <c r="STR140" s="34"/>
      <c r="STS140" s="34"/>
      <c r="STT140" s="34"/>
      <c r="STU140" s="34"/>
      <c r="STV140" s="34"/>
      <c r="STW140" s="34"/>
      <c r="STX140" s="34"/>
      <c r="STY140" s="34"/>
      <c r="STZ140" s="34"/>
      <c r="SUA140" s="34"/>
      <c r="SUB140" s="34"/>
      <c r="SUC140" s="34"/>
      <c r="SUD140" s="34"/>
      <c r="SUE140" s="34"/>
      <c r="SUF140" s="34"/>
      <c r="SUG140" s="34"/>
      <c r="SUH140" s="34"/>
      <c r="SUI140" s="34"/>
      <c r="SUJ140" s="34"/>
      <c r="SUK140" s="34"/>
      <c r="SUL140" s="34"/>
      <c r="SUM140" s="34"/>
      <c r="SUN140" s="34"/>
      <c r="SUO140" s="34"/>
      <c r="SUP140" s="34"/>
      <c r="SUQ140" s="34"/>
      <c r="SUR140" s="34"/>
      <c r="SUS140" s="34"/>
      <c r="SUT140" s="34"/>
      <c r="SUU140" s="34"/>
      <c r="SUV140" s="34"/>
      <c r="SUW140" s="34"/>
      <c r="SUX140" s="34"/>
      <c r="SUY140" s="34"/>
      <c r="SUZ140" s="34"/>
      <c r="SVA140" s="34"/>
      <c r="SVB140" s="34"/>
      <c r="SVC140" s="34"/>
      <c r="SVD140" s="34"/>
      <c r="SVE140" s="34"/>
      <c r="SVF140" s="34"/>
      <c r="SVG140" s="34"/>
      <c r="SVH140" s="34"/>
      <c r="SVI140" s="34"/>
      <c r="SVJ140" s="34"/>
      <c r="SVK140" s="34"/>
      <c r="SVL140" s="34"/>
      <c r="SVM140" s="34"/>
      <c r="SVN140" s="34"/>
      <c r="SVO140" s="34"/>
      <c r="SVP140" s="34"/>
      <c r="SVQ140" s="34"/>
      <c r="SVR140" s="34"/>
      <c r="SVS140" s="34"/>
      <c r="SVT140" s="34"/>
      <c r="SVU140" s="34"/>
      <c r="SVV140" s="34"/>
      <c r="SVW140" s="34"/>
      <c r="SVX140" s="34"/>
      <c r="SVY140" s="34"/>
      <c r="SVZ140" s="34"/>
      <c r="SWA140" s="34"/>
      <c r="SWB140" s="34"/>
      <c r="SWC140" s="34"/>
      <c r="SWD140" s="34"/>
      <c r="SWE140" s="34"/>
      <c r="SWF140" s="34"/>
      <c r="SWG140" s="34"/>
      <c r="SWH140" s="34"/>
      <c r="SWI140" s="34"/>
      <c r="SWJ140" s="34"/>
      <c r="SWK140" s="34"/>
      <c r="SWL140" s="34"/>
      <c r="SWM140" s="34"/>
      <c r="SWN140" s="34"/>
      <c r="SWO140" s="34"/>
      <c r="SWP140" s="34"/>
      <c r="SWQ140" s="34"/>
      <c r="SWR140" s="34"/>
      <c r="SWS140" s="34"/>
      <c r="SWT140" s="34"/>
      <c r="SWU140" s="34"/>
      <c r="SWV140" s="34"/>
      <c r="SWW140" s="34"/>
      <c r="SWX140" s="34"/>
      <c r="SWY140" s="34"/>
      <c r="SWZ140" s="34"/>
      <c r="SXA140" s="34"/>
      <c r="SXB140" s="34"/>
      <c r="SXC140" s="34"/>
      <c r="SXD140" s="34"/>
      <c r="SXE140" s="34"/>
      <c r="SXF140" s="34"/>
      <c r="SXG140" s="34"/>
      <c r="SXH140" s="34"/>
      <c r="SXI140" s="34"/>
      <c r="SXJ140" s="34"/>
      <c r="SXK140" s="34"/>
      <c r="SXL140" s="34"/>
      <c r="SXM140" s="34"/>
      <c r="SXN140" s="34"/>
      <c r="SXO140" s="34"/>
      <c r="SXP140" s="34"/>
      <c r="SXQ140" s="34"/>
      <c r="SXR140" s="34"/>
      <c r="SXS140" s="34"/>
      <c r="SXT140" s="34"/>
      <c r="SXU140" s="34"/>
      <c r="SXV140" s="34"/>
      <c r="SXW140" s="34"/>
      <c r="SXX140" s="34"/>
      <c r="SXY140" s="34"/>
      <c r="SXZ140" s="34"/>
      <c r="SYA140" s="34"/>
      <c r="SYB140" s="34"/>
      <c r="SYC140" s="34"/>
      <c r="SYD140" s="34"/>
      <c r="SYE140" s="34"/>
      <c r="SYF140" s="34"/>
      <c r="SYG140" s="34"/>
      <c r="SYH140" s="34"/>
      <c r="SYI140" s="34"/>
      <c r="SYJ140" s="34"/>
      <c r="SYK140" s="34"/>
      <c r="SYL140" s="34"/>
      <c r="SYM140" s="34"/>
      <c r="SYN140" s="34"/>
      <c r="SYO140" s="34"/>
      <c r="SYP140" s="34"/>
      <c r="SYQ140" s="34"/>
      <c r="SYR140" s="34"/>
      <c r="SYS140" s="34"/>
      <c r="SYT140" s="34"/>
      <c r="SYU140" s="34"/>
      <c r="SYV140" s="34"/>
      <c r="SYW140" s="34"/>
      <c r="SYX140" s="34"/>
      <c r="SYY140" s="34"/>
      <c r="SYZ140" s="34"/>
      <c r="SZA140" s="34"/>
      <c r="SZB140" s="34"/>
      <c r="SZC140" s="34"/>
      <c r="SZD140" s="34"/>
      <c r="SZE140" s="34"/>
      <c r="SZF140" s="34"/>
      <c r="SZG140" s="34"/>
      <c r="SZH140" s="34"/>
      <c r="SZI140" s="34"/>
      <c r="SZJ140" s="34"/>
      <c r="SZK140" s="34"/>
      <c r="SZL140" s="34"/>
      <c r="SZM140" s="34"/>
      <c r="SZN140" s="34"/>
      <c r="SZO140" s="34"/>
      <c r="SZP140" s="34"/>
      <c r="SZQ140" s="34"/>
      <c r="SZR140" s="34"/>
      <c r="SZS140" s="34"/>
      <c r="SZT140" s="34"/>
      <c r="SZU140" s="34"/>
      <c r="SZV140" s="34"/>
      <c r="SZW140" s="34"/>
      <c r="SZX140" s="34"/>
      <c r="SZY140" s="34"/>
      <c r="SZZ140" s="34"/>
      <c r="TAA140" s="34"/>
      <c r="TAB140" s="34"/>
      <c r="TAC140" s="34"/>
      <c r="TAD140" s="34"/>
      <c r="TAE140" s="34"/>
      <c r="TAF140" s="34"/>
      <c r="TAG140" s="34"/>
      <c r="TAH140" s="34"/>
      <c r="TAI140" s="34"/>
      <c r="TAJ140" s="34"/>
      <c r="TAK140" s="34"/>
      <c r="TAL140" s="34"/>
      <c r="TAM140" s="34"/>
      <c r="TAN140" s="34"/>
      <c r="TAO140" s="34"/>
      <c r="TAP140" s="34"/>
      <c r="TAQ140" s="34"/>
      <c r="TAR140" s="34"/>
      <c r="TAS140" s="34"/>
      <c r="TAT140" s="34"/>
      <c r="TAU140" s="34"/>
      <c r="TAV140" s="34"/>
      <c r="TAW140" s="34"/>
      <c r="TAX140" s="34"/>
      <c r="TAY140" s="34"/>
      <c r="TAZ140" s="34"/>
      <c r="TBA140" s="34"/>
      <c r="TBB140" s="34"/>
      <c r="TBC140" s="34"/>
      <c r="TBD140" s="34"/>
      <c r="TBE140" s="34"/>
      <c r="TBF140" s="34"/>
      <c r="TBG140" s="34"/>
      <c r="TBH140" s="34"/>
      <c r="TBI140" s="34"/>
      <c r="TBJ140" s="34"/>
      <c r="TBK140" s="34"/>
      <c r="TBL140" s="34"/>
      <c r="TBM140" s="34"/>
      <c r="TBN140" s="34"/>
      <c r="TBO140" s="34"/>
      <c r="TBP140" s="34"/>
      <c r="TBQ140" s="34"/>
      <c r="TBR140" s="34"/>
      <c r="TBS140" s="34"/>
      <c r="TBT140" s="34"/>
      <c r="TBU140" s="34"/>
      <c r="TBV140" s="34"/>
      <c r="TBW140" s="34"/>
      <c r="TBX140" s="34"/>
      <c r="TBY140" s="34"/>
      <c r="TBZ140" s="34"/>
      <c r="TCA140" s="34"/>
      <c r="TCB140" s="34"/>
      <c r="TCC140" s="34"/>
      <c r="TCD140" s="34"/>
      <c r="TCE140" s="34"/>
      <c r="TCF140" s="34"/>
      <c r="TCG140" s="34"/>
      <c r="TCH140" s="34"/>
      <c r="TCI140" s="34"/>
      <c r="TCJ140" s="34"/>
      <c r="TCK140" s="34"/>
      <c r="TCL140" s="34"/>
      <c r="TCM140" s="34"/>
      <c r="TCN140" s="34"/>
      <c r="TCO140" s="34"/>
      <c r="TCP140" s="34"/>
      <c r="TCQ140" s="34"/>
      <c r="TCR140" s="34"/>
      <c r="TCS140" s="34"/>
      <c r="TCT140" s="34"/>
      <c r="TCU140" s="34"/>
      <c r="TCV140" s="34"/>
      <c r="TCW140" s="34"/>
      <c r="TCX140" s="34"/>
      <c r="TCY140" s="34"/>
      <c r="TCZ140" s="34"/>
      <c r="TDA140" s="34"/>
      <c r="TDB140" s="34"/>
      <c r="TDC140" s="34"/>
      <c r="TDD140" s="34"/>
      <c r="TDE140" s="34"/>
      <c r="TDF140" s="34"/>
      <c r="TDG140" s="34"/>
      <c r="TDH140" s="34"/>
      <c r="TDI140" s="34"/>
      <c r="TDJ140" s="34"/>
      <c r="TDK140" s="34"/>
      <c r="TDL140" s="34"/>
      <c r="TDM140" s="34"/>
      <c r="TDN140" s="34"/>
      <c r="TDO140" s="34"/>
      <c r="TDP140" s="34"/>
      <c r="TDQ140" s="34"/>
      <c r="TDR140" s="34"/>
      <c r="TDS140" s="34"/>
      <c r="TDT140" s="34"/>
      <c r="TDU140" s="34"/>
      <c r="TDV140" s="34"/>
      <c r="TDW140" s="34"/>
      <c r="TDX140" s="34"/>
      <c r="TDY140" s="34"/>
      <c r="TDZ140" s="34"/>
      <c r="TEA140" s="34"/>
      <c r="TEB140" s="34"/>
      <c r="TEC140" s="34"/>
      <c r="TED140" s="34"/>
      <c r="TEE140" s="34"/>
      <c r="TEF140" s="34"/>
      <c r="TEG140" s="34"/>
      <c r="TEH140" s="34"/>
      <c r="TEI140" s="34"/>
      <c r="TEJ140" s="34"/>
      <c r="TEK140" s="34"/>
      <c r="TEL140" s="34"/>
      <c r="TEM140" s="34"/>
      <c r="TEN140" s="34"/>
      <c r="TEO140" s="34"/>
      <c r="TEP140" s="34"/>
      <c r="TEQ140" s="34"/>
      <c r="TER140" s="34"/>
      <c r="TES140" s="34"/>
      <c r="TET140" s="34"/>
      <c r="TEU140" s="34"/>
      <c r="TEV140" s="34"/>
      <c r="TEW140" s="34"/>
      <c r="TEX140" s="34"/>
      <c r="TEY140" s="34"/>
      <c r="TEZ140" s="34"/>
      <c r="TFA140" s="34"/>
      <c r="TFB140" s="34"/>
      <c r="TFC140" s="34"/>
      <c r="TFD140" s="34"/>
      <c r="TFE140" s="34"/>
      <c r="TFF140" s="34"/>
      <c r="TFG140" s="34"/>
      <c r="TFH140" s="34"/>
      <c r="TFI140" s="34"/>
      <c r="TFJ140" s="34"/>
      <c r="TFK140" s="34"/>
      <c r="TFL140" s="34"/>
      <c r="TFM140" s="34"/>
      <c r="TFN140" s="34"/>
      <c r="TFO140" s="34"/>
      <c r="TFP140" s="34"/>
      <c r="TFQ140" s="34"/>
      <c r="TFR140" s="34"/>
      <c r="TFS140" s="34"/>
      <c r="TFT140" s="34"/>
      <c r="TFU140" s="34"/>
      <c r="TFV140" s="34"/>
      <c r="TFW140" s="34"/>
      <c r="TFX140" s="34"/>
      <c r="TFY140" s="34"/>
      <c r="TFZ140" s="34"/>
      <c r="TGA140" s="34"/>
      <c r="TGB140" s="34"/>
      <c r="TGC140" s="34"/>
      <c r="TGD140" s="34"/>
      <c r="TGE140" s="34"/>
      <c r="TGF140" s="34"/>
      <c r="TGG140" s="34"/>
      <c r="TGH140" s="34"/>
      <c r="TGI140" s="34"/>
      <c r="TGJ140" s="34"/>
      <c r="TGK140" s="34"/>
      <c r="TGL140" s="34"/>
      <c r="TGM140" s="34"/>
      <c r="TGN140" s="34"/>
      <c r="TGO140" s="34"/>
      <c r="TGP140" s="34"/>
      <c r="TGQ140" s="34"/>
      <c r="TGR140" s="34"/>
      <c r="TGS140" s="34"/>
      <c r="TGT140" s="34"/>
      <c r="TGU140" s="34"/>
      <c r="TGV140" s="34"/>
      <c r="TGW140" s="34"/>
      <c r="TGX140" s="34"/>
      <c r="TGY140" s="34"/>
      <c r="TGZ140" s="34"/>
      <c r="THA140" s="34"/>
      <c r="THB140" s="34"/>
      <c r="THC140" s="34"/>
      <c r="THD140" s="34"/>
      <c r="THE140" s="34"/>
      <c r="THF140" s="34"/>
      <c r="THG140" s="34"/>
      <c r="THH140" s="34"/>
      <c r="THI140" s="34"/>
      <c r="THJ140" s="34"/>
      <c r="THK140" s="34"/>
      <c r="THL140" s="34"/>
      <c r="THM140" s="34"/>
      <c r="THN140" s="34"/>
      <c r="THO140" s="34"/>
      <c r="THP140" s="34"/>
      <c r="THQ140" s="34"/>
      <c r="THR140" s="34"/>
      <c r="THS140" s="34"/>
      <c r="THT140" s="34"/>
      <c r="THU140" s="34"/>
      <c r="THV140" s="34"/>
      <c r="THW140" s="34"/>
      <c r="THX140" s="34"/>
      <c r="THY140" s="34"/>
      <c r="THZ140" s="34"/>
      <c r="TIA140" s="34"/>
      <c r="TIB140" s="34"/>
      <c r="TIC140" s="34"/>
      <c r="TID140" s="34"/>
      <c r="TIE140" s="34"/>
      <c r="TIF140" s="34"/>
      <c r="TIG140" s="34"/>
      <c r="TIH140" s="34"/>
      <c r="TII140" s="34"/>
      <c r="TIJ140" s="34"/>
      <c r="TIK140" s="34"/>
      <c r="TIL140" s="34"/>
      <c r="TIM140" s="34"/>
      <c r="TIN140" s="34"/>
      <c r="TIO140" s="34"/>
      <c r="TIP140" s="34"/>
      <c r="TIQ140" s="34"/>
      <c r="TIR140" s="34"/>
      <c r="TIS140" s="34"/>
      <c r="TIT140" s="34"/>
      <c r="TIU140" s="34"/>
      <c r="TIV140" s="34"/>
      <c r="TIW140" s="34"/>
      <c r="TIX140" s="34"/>
      <c r="TIY140" s="34"/>
      <c r="TIZ140" s="34"/>
      <c r="TJA140" s="34"/>
      <c r="TJB140" s="34"/>
      <c r="TJC140" s="34"/>
      <c r="TJD140" s="34"/>
      <c r="TJE140" s="34"/>
      <c r="TJF140" s="34"/>
      <c r="TJG140" s="34"/>
      <c r="TJH140" s="34"/>
      <c r="TJI140" s="34"/>
      <c r="TJJ140" s="34"/>
      <c r="TJK140" s="34"/>
      <c r="TJL140" s="34"/>
      <c r="TJM140" s="34"/>
      <c r="TJN140" s="34"/>
      <c r="TJO140" s="34"/>
      <c r="TJP140" s="34"/>
      <c r="TJQ140" s="34"/>
      <c r="TJR140" s="34"/>
      <c r="TJS140" s="34"/>
      <c r="TJT140" s="34"/>
      <c r="TJU140" s="34"/>
      <c r="TJV140" s="34"/>
      <c r="TJW140" s="34"/>
      <c r="TJX140" s="34"/>
      <c r="TJY140" s="34"/>
      <c r="TJZ140" s="34"/>
      <c r="TKA140" s="34"/>
      <c r="TKB140" s="34"/>
      <c r="TKC140" s="34"/>
      <c r="TKD140" s="34"/>
      <c r="TKE140" s="34"/>
      <c r="TKF140" s="34"/>
      <c r="TKG140" s="34"/>
      <c r="TKH140" s="34"/>
      <c r="TKI140" s="34"/>
      <c r="TKJ140" s="34"/>
      <c r="TKK140" s="34"/>
      <c r="TKL140" s="34"/>
      <c r="TKM140" s="34"/>
      <c r="TKN140" s="34"/>
      <c r="TKO140" s="34"/>
      <c r="TKP140" s="34"/>
      <c r="TKQ140" s="34"/>
      <c r="TKR140" s="34"/>
      <c r="TKS140" s="34"/>
      <c r="TKT140" s="34"/>
      <c r="TKU140" s="34"/>
      <c r="TKV140" s="34"/>
      <c r="TKW140" s="34"/>
      <c r="TKX140" s="34"/>
      <c r="TKY140" s="34"/>
      <c r="TKZ140" s="34"/>
      <c r="TLA140" s="34"/>
      <c r="TLB140" s="34"/>
      <c r="TLC140" s="34"/>
      <c r="TLD140" s="34"/>
      <c r="TLE140" s="34"/>
      <c r="TLF140" s="34"/>
      <c r="TLG140" s="34"/>
      <c r="TLH140" s="34"/>
      <c r="TLI140" s="34"/>
      <c r="TLJ140" s="34"/>
      <c r="TLK140" s="34"/>
      <c r="TLL140" s="34"/>
      <c r="TLM140" s="34"/>
      <c r="TLN140" s="34"/>
      <c r="TLO140" s="34"/>
      <c r="TLP140" s="34"/>
      <c r="TLQ140" s="34"/>
      <c r="TLR140" s="34"/>
      <c r="TLS140" s="34"/>
      <c r="TLT140" s="34"/>
      <c r="TLU140" s="34"/>
      <c r="TLV140" s="34"/>
      <c r="TLW140" s="34"/>
      <c r="TLX140" s="34"/>
      <c r="TLY140" s="34"/>
      <c r="TLZ140" s="34"/>
      <c r="TMA140" s="34"/>
      <c r="TMB140" s="34"/>
      <c r="TMC140" s="34"/>
      <c r="TMD140" s="34"/>
      <c r="TME140" s="34"/>
      <c r="TMF140" s="34"/>
      <c r="TMG140" s="34"/>
      <c r="TMH140" s="34"/>
      <c r="TMI140" s="34"/>
      <c r="TMJ140" s="34"/>
      <c r="TMK140" s="34"/>
      <c r="TML140" s="34"/>
      <c r="TMM140" s="34"/>
      <c r="TMN140" s="34"/>
      <c r="TMO140" s="34"/>
      <c r="TMP140" s="34"/>
      <c r="TMQ140" s="34"/>
      <c r="TMR140" s="34"/>
      <c r="TMS140" s="34"/>
      <c r="TMT140" s="34"/>
      <c r="TMU140" s="34"/>
      <c r="TMV140" s="34"/>
      <c r="TMW140" s="34"/>
      <c r="TMX140" s="34"/>
      <c r="TMY140" s="34"/>
      <c r="TMZ140" s="34"/>
      <c r="TNA140" s="34"/>
      <c r="TNB140" s="34"/>
      <c r="TNC140" s="34"/>
      <c r="TND140" s="34"/>
      <c r="TNE140" s="34"/>
      <c r="TNF140" s="34"/>
      <c r="TNG140" s="34"/>
      <c r="TNH140" s="34"/>
      <c r="TNI140" s="34"/>
      <c r="TNJ140" s="34"/>
      <c r="TNK140" s="34"/>
      <c r="TNL140" s="34"/>
      <c r="TNM140" s="34"/>
      <c r="TNN140" s="34"/>
      <c r="TNO140" s="34"/>
      <c r="TNP140" s="34"/>
      <c r="TNQ140" s="34"/>
      <c r="TNR140" s="34"/>
      <c r="TNS140" s="34"/>
      <c r="TNT140" s="34"/>
      <c r="TNU140" s="34"/>
      <c r="TNV140" s="34"/>
      <c r="TNW140" s="34"/>
      <c r="TNX140" s="34"/>
      <c r="TNY140" s="34"/>
      <c r="TNZ140" s="34"/>
      <c r="TOA140" s="34"/>
      <c r="TOB140" s="34"/>
      <c r="TOC140" s="34"/>
      <c r="TOD140" s="34"/>
      <c r="TOE140" s="34"/>
      <c r="TOF140" s="34"/>
      <c r="TOG140" s="34"/>
      <c r="TOH140" s="34"/>
      <c r="TOI140" s="34"/>
      <c r="TOJ140" s="34"/>
      <c r="TOK140" s="34"/>
      <c r="TOL140" s="34"/>
      <c r="TOM140" s="34"/>
      <c r="TON140" s="34"/>
      <c r="TOO140" s="34"/>
      <c r="TOP140" s="34"/>
      <c r="TOQ140" s="34"/>
      <c r="TOR140" s="34"/>
      <c r="TOS140" s="34"/>
      <c r="TOT140" s="34"/>
      <c r="TOU140" s="34"/>
      <c r="TOV140" s="34"/>
      <c r="TOW140" s="34"/>
      <c r="TOX140" s="34"/>
      <c r="TOY140" s="34"/>
      <c r="TOZ140" s="34"/>
      <c r="TPA140" s="34"/>
      <c r="TPB140" s="34"/>
      <c r="TPC140" s="34"/>
      <c r="TPD140" s="34"/>
      <c r="TPE140" s="34"/>
      <c r="TPF140" s="34"/>
      <c r="TPG140" s="34"/>
      <c r="TPH140" s="34"/>
      <c r="TPI140" s="34"/>
      <c r="TPJ140" s="34"/>
      <c r="TPK140" s="34"/>
      <c r="TPL140" s="34"/>
      <c r="TPM140" s="34"/>
      <c r="TPN140" s="34"/>
      <c r="TPO140" s="34"/>
      <c r="TPP140" s="34"/>
      <c r="TPQ140" s="34"/>
      <c r="TPR140" s="34"/>
      <c r="TPS140" s="34"/>
      <c r="TPT140" s="34"/>
      <c r="TPU140" s="34"/>
      <c r="TPV140" s="34"/>
      <c r="TPW140" s="34"/>
      <c r="TPX140" s="34"/>
      <c r="TPY140" s="34"/>
      <c r="TPZ140" s="34"/>
      <c r="TQA140" s="34"/>
      <c r="TQB140" s="34"/>
      <c r="TQC140" s="34"/>
      <c r="TQD140" s="34"/>
      <c r="TQE140" s="34"/>
      <c r="TQF140" s="34"/>
      <c r="TQG140" s="34"/>
      <c r="TQH140" s="34"/>
      <c r="TQI140" s="34"/>
      <c r="TQJ140" s="34"/>
      <c r="TQK140" s="34"/>
      <c r="TQL140" s="34"/>
      <c r="TQM140" s="34"/>
      <c r="TQN140" s="34"/>
      <c r="TQO140" s="34"/>
      <c r="TQP140" s="34"/>
      <c r="TQQ140" s="34"/>
      <c r="TQR140" s="34"/>
      <c r="TQS140" s="34"/>
      <c r="TQT140" s="34"/>
      <c r="TQU140" s="34"/>
      <c r="TQV140" s="34"/>
      <c r="TQW140" s="34"/>
      <c r="TQX140" s="34"/>
      <c r="TQY140" s="34"/>
      <c r="TQZ140" s="34"/>
      <c r="TRA140" s="34"/>
      <c r="TRB140" s="34"/>
      <c r="TRC140" s="34"/>
      <c r="TRD140" s="34"/>
      <c r="TRE140" s="34"/>
      <c r="TRF140" s="34"/>
      <c r="TRG140" s="34"/>
      <c r="TRH140" s="34"/>
      <c r="TRI140" s="34"/>
      <c r="TRJ140" s="34"/>
      <c r="TRK140" s="34"/>
      <c r="TRL140" s="34"/>
      <c r="TRM140" s="34"/>
      <c r="TRN140" s="34"/>
      <c r="TRO140" s="34"/>
      <c r="TRP140" s="34"/>
      <c r="TRQ140" s="34"/>
      <c r="TRR140" s="34"/>
      <c r="TRS140" s="34"/>
      <c r="TRT140" s="34"/>
      <c r="TRU140" s="34"/>
      <c r="TRV140" s="34"/>
      <c r="TRW140" s="34"/>
      <c r="TRX140" s="34"/>
      <c r="TRY140" s="34"/>
      <c r="TRZ140" s="34"/>
      <c r="TSA140" s="34"/>
      <c r="TSB140" s="34"/>
      <c r="TSC140" s="34"/>
      <c r="TSD140" s="34"/>
      <c r="TSE140" s="34"/>
      <c r="TSF140" s="34"/>
      <c r="TSG140" s="34"/>
      <c r="TSH140" s="34"/>
      <c r="TSI140" s="34"/>
      <c r="TSJ140" s="34"/>
      <c r="TSK140" s="34"/>
      <c r="TSL140" s="34"/>
      <c r="TSM140" s="34"/>
      <c r="TSN140" s="34"/>
      <c r="TSO140" s="34"/>
      <c r="TSP140" s="34"/>
      <c r="TSQ140" s="34"/>
      <c r="TSR140" s="34"/>
      <c r="TSS140" s="34"/>
      <c r="TST140" s="34"/>
      <c r="TSU140" s="34"/>
      <c r="TSV140" s="34"/>
      <c r="TSW140" s="34"/>
      <c r="TSX140" s="34"/>
      <c r="TSY140" s="34"/>
      <c r="TSZ140" s="34"/>
      <c r="TTA140" s="34"/>
      <c r="TTB140" s="34"/>
      <c r="TTC140" s="34"/>
      <c r="TTD140" s="34"/>
      <c r="TTE140" s="34"/>
      <c r="TTF140" s="34"/>
      <c r="TTG140" s="34"/>
      <c r="TTH140" s="34"/>
      <c r="TTI140" s="34"/>
      <c r="TTJ140" s="34"/>
      <c r="TTK140" s="34"/>
      <c r="TTL140" s="34"/>
      <c r="TTM140" s="34"/>
      <c r="TTN140" s="34"/>
      <c r="TTO140" s="34"/>
      <c r="TTP140" s="34"/>
      <c r="TTQ140" s="34"/>
      <c r="TTR140" s="34"/>
      <c r="TTS140" s="34"/>
      <c r="TTT140" s="34"/>
      <c r="TTU140" s="34"/>
      <c r="TTV140" s="34"/>
      <c r="TTW140" s="34"/>
      <c r="TTX140" s="34"/>
      <c r="TTY140" s="34"/>
      <c r="TTZ140" s="34"/>
      <c r="TUA140" s="34"/>
      <c r="TUB140" s="34"/>
      <c r="TUC140" s="34"/>
      <c r="TUD140" s="34"/>
      <c r="TUE140" s="34"/>
      <c r="TUF140" s="34"/>
      <c r="TUG140" s="34"/>
      <c r="TUH140" s="34"/>
      <c r="TUI140" s="34"/>
      <c r="TUJ140" s="34"/>
      <c r="TUK140" s="34"/>
      <c r="TUL140" s="34"/>
      <c r="TUM140" s="34"/>
      <c r="TUN140" s="34"/>
      <c r="TUO140" s="34"/>
      <c r="TUP140" s="34"/>
      <c r="TUQ140" s="34"/>
      <c r="TUR140" s="34"/>
      <c r="TUS140" s="34"/>
      <c r="TUT140" s="34"/>
      <c r="TUU140" s="34"/>
      <c r="TUV140" s="34"/>
      <c r="TUW140" s="34"/>
      <c r="TUX140" s="34"/>
      <c r="TUY140" s="34"/>
      <c r="TUZ140" s="34"/>
      <c r="TVA140" s="34"/>
      <c r="TVB140" s="34"/>
      <c r="TVC140" s="34"/>
      <c r="TVD140" s="34"/>
      <c r="TVE140" s="34"/>
      <c r="TVF140" s="34"/>
      <c r="TVG140" s="34"/>
      <c r="TVH140" s="34"/>
      <c r="TVI140" s="34"/>
      <c r="TVJ140" s="34"/>
      <c r="TVK140" s="34"/>
      <c r="TVL140" s="34"/>
      <c r="TVM140" s="34"/>
      <c r="TVN140" s="34"/>
      <c r="TVO140" s="34"/>
      <c r="TVP140" s="34"/>
      <c r="TVQ140" s="34"/>
      <c r="TVR140" s="34"/>
      <c r="TVS140" s="34"/>
      <c r="TVT140" s="34"/>
      <c r="TVU140" s="34"/>
      <c r="TVV140" s="34"/>
      <c r="TVW140" s="34"/>
      <c r="TVX140" s="34"/>
      <c r="TVY140" s="34"/>
      <c r="TVZ140" s="34"/>
      <c r="TWA140" s="34"/>
      <c r="TWB140" s="34"/>
      <c r="TWC140" s="34"/>
      <c r="TWD140" s="34"/>
      <c r="TWE140" s="34"/>
      <c r="TWF140" s="34"/>
      <c r="TWG140" s="34"/>
      <c r="TWH140" s="34"/>
      <c r="TWI140" s="34"/>
      <c r="TWJ140" s="34"/>
      <c r="TWK140" s="34"/>
      <c r="TWL140" s="34"/>
      <c r="TWM140" s="34"/>
      <c r="TWN140" s="34"/>
      <c r="TWO140" s="34"/>
      <c r="TWP140" s="34"/>
      <c r="TWQ140" s="34"/>
      <c r="TWR140" s="34"/>
      <c r="TWS140" s="34"/>
      <c r="TWT140" s="34"/>
      <c r="TWU140" s="34"/>
      <c r="TWV140" s="34"/>
      <c r="TWW140" s="34"/>
      <c r="TWX140" s="34"/>
      <c r="TWY140" s="34"/>
      <c r="TWZ140" s="34"/>
      <c r="TXA140" s="34"/>
      <c r="TXB140" s="34"/>
      <c r="TXC140" s="34"/>
      <c r="TXD140" s="34"/>
      <c r="TXE140" s="34"/>
      <c r="TXF140" s="34"/>
      <c r="TXG140" s="34"/>
      <c r="TXH140" s="34"/>
      <c r="TXI140" s="34"/>
      <c r="TXJ140" s="34"/>
      <c r="TXK140" s="34"/>
      <c r="TXL140" s="34"/>
      <c r="TXM140" s="34"/>
      <c r="TXN140" s="34"/>
      <c r="TXO140" s="34"/>
      <c r="TXP140" s="34"/>
      <c r="TXQ140" s="34"/>
      <c r="TXR140" s="34"/>
      <c r="TXS140" s="34"/>
      <c r="TXT140" s="34"/>
      <c r="TXU140" s="34"/>
      <c r="TXV140" s="34"/>
      <c r="TXW140" s="34"/>
      <c r="TXX140" s="34"/>
      <c r="TXY140" s="34"/>
      <c r="TXZ140" s="34"/>
      <c r="TYA140" s="34"/>
      <c r="TYB140" s="34"/>
      <c r="TYC140" s="34"/>
      <c r="TYD140" s="34"/>
      <c r="TYE140" s="34"/>
      <c r="TYF140" s="34"/>
      <c r="TYG140" s="34"/>
      <c r="TYH140" s="34"/>
      <c r="TYI140" s="34"/>
      <c r="TYJ140" s="34"/>
      <c r="TYK140" s="34"/>
      <c r="TYL140" s="34"/>
      <c r="TYM140" s="34"/>
      <c r="TYN140" s="34"/>
      <c r="TYO140" s="34"/>
      <c r="TYP140" s="34"/>
      <c r="TYQ140" s="34"/>
      <c r="TYR140" s="34"/>
      <c r="TYS140" s="34"/>
      <c r="TYT140" s="34"/>
      <c r="TYU140" s="34"/>
      <c r="TYV140" s="34"/>
      <c r="TYW140" s="34"/>
      <c r="TYX140" s="34"/>
      <c r="TYY140" s="34"/>
      <c r="TYZ140" s="34"/>
      <c r="TZA140" s="34"/>
      <c r="TZB140" s="34"/>
      <c r="TZC140" s="34"/>
      <c r="TZD140" s="34"/>
      <c r="TZE140" s="34"/>
      <c r="TZF140" s="34"/>
      <c r="TZG140" s="34"/>
      <c r="TZH140" s="34"/>
      <c r="TZI140" s="34"/>
      <c r="TZJ140" s="34"/>
      <c r="TZK140" s="34"/>
      <c r="TZL140" s="34"/>
      <c r="TZM140" s="34"/>
      <c r="TZN140" s="34"/>
      <c r="TZO140" s="34"/>
      <c r="TZP140" s="34"/>
      <c r="TZQ140" s="34"/>
      <c r="TZR140" s="34"/>
      <c r="TZS140" s="34"/>
      <c r="TZT140" s="34"/>
      <c r="TZU140" s="34"/>
      <c r="TZV140" s="34"/>
      <c r="TZW140" s="34"/>
      <c r="TZX140" s="34"/>
      <c r="TZY140" s="34"/>
      <c r="TZZ140" s="34"/>
      <c r="UAA140" s="34"/>
      <c r="UAB140" s="34"/>
      <c r="UAC140" s="34"/>
      <c r="UAD140" s="34"/>
      <c r="UAE140" s="34"/>
      <c r="UAF140" s="34"/>
      <c r="UAG140" s="34"/>
      <c r="UAH140" s="34"/>
      <c r="UAI140" s="34"/>
      <c r="UAJ140" s="34"/>
      <c r="UAK140" s="34"/>
      <c r="UAL140" s="34"/>
      <c r="UAM140" s="34"/>
      <c r="UAN140" s="34"/>
      <c r="UAO140" s="34"/>
      <c r="UAP140" s="34"/>
      <c r="UAQ140" s="34"/>
      <c r="UAR140" s="34"/>
      <c r="UAS140" s="34"/>
      <c r="UAT140" s="34"/>
      <c r="UAU140" s="34"/>
      <c r="UAV140" s="34"/>
      <c r="UAW140" s="34"/>
      <c r="UAX140" s="34"/>
      <c r="UAY140" s="34"/>
      <c r="UAZ140" s="34"/>
      <c r="UBA140" s="34"/>
      <c r="UBB140" s="34"/>
      <c r="UBC140" s="34"/>
      <c r="UBD140" s="34"/>
      <c r="UBE140" s="34"/>
      <c r="UBF140" s="34"/>
      <c r="UBG140" s="34"/>
      <c r="UBH140" s="34"/>
      <c r="UBI140" s="34"/>
      <c r="UBJ140" s="34"/>
      <c r="UBK140" s="34"/>
      <c r="UBL140" s="34"/>
      <c r="UBM140" s="34"/>
      <c r="UBN140" s="34"/>
      <c r="UBO140" s="34"/>
      <c r="UBP140" s="34"/>
      <c r="UBQ140" s="34"/>
      <c r="UBR140" s="34"/>
      <c r="UBS140" s="34"/>
      <c r="UBT140" s="34"/>
      <c r="UBU140" s="34"/>
      <c r="UBV140" s="34"/>
      <c r="UBW140" s="34"/>
      <c r="UBX140" s="34"/>
      <c r="UBY140" s="34"/>
      <c r="UBZ140" s="34"/>
      <c r="UCA140" s="34"/>
      <c r="UCB140" s="34"/>
      <c r="UCC140" s="34"/>
      <c r="UCD140" s="34"/>
      <c r="UCE140" s="34"/>
      <c r="UCF140" s="34"/>
      <c r="UCG140" s="34"/>
      <c r="UCH140" s="34"/>
      <c r="UCI140" s="34"/>
      <c r="UCJ140" s="34"/>
      <c r="UCK140" s="34"/>
      <c r="UCL140" s="34"/>
      <c r="UCM140" s="34"/>
      <c r="UCN140" s="34"/>
      <c r="UCO140" s="34"/>
      <c r="UCP140" s="34"/>
      <c r="UCQ140" s="34"/>
      <c r="UCR140" s="34"/>
      <c r="UCS140" s="34"/>
      <c r="UCT140" s="34"/>
      <c r="UCU140" s="34"/>
      <c r="UCV140" s="34"/>
      <c r="UCW140" s="34"/>
      <c r="UCX140" s="34"/>
      <c r="UCY140" s="34"/>
      <c r="UCZ140" s="34"/>
      <c r="UDA140" s="34"/>
      <c r="UDB140" s="34"/>
      <c r="UDC140" s="34"/>
      <c r="UDD140" s="34"/>
      <c r="UDE140" s="34"/>
      <c r="UDF140" s="34"/>
      <c r="UDG140" s="34"/>
      <c r="UDH140" s="34"/>
      <c r="UDI140" s="34"/>
      <c r="UDJ140" s="34"/>
      <c r="UDK140" s="34"/>
      <c r="UDL140" s="34"/>
      <c r="UDM140" s="34"/>
      <c r="UDN140" s="34"/>
      <c r="UDO140" s="34"/>
      <c r="UDP140" s="34"/>
      <c r="UDQ140" s="34"/>
      <c r="UDR140" s="34"/>
      <c r="UDS140" s="34"/>
      <c r="UDT140" s="34"/>
      <c r="UDU140" s="34"/>
      <c r="UDV140" s="34"/>
      <c r="UDW140" s="34"/>
      <c r="UDX140" s="34"/>
      <c r="UDY140" s="34"/>
      <c r="UDZ140" s="34"/>
      <c r="UEA140" s="34"/>
      <c r="UEB140" s="34"/>
      <c r="UEC140" s="34"/>
      <c r="UED140" s="34"/>
      <c r="UEE140" s="34"/>
      <c r="UEF140" s="34"/>
      <c r="UEG140" s="34"/>
      <c r="UEH140" s="34"/>
      <c r="UEI140" s="34"/>
      <c r="UEJ140" s="34"/>
      <c r="UEK140" s="34"/>
      <c r="UEL140" s="34"/>
      <c r="UEM140" s="34"/>
      <c r="UEN140" s="34"/>
      <c r="UEO140" s="34"/>
      <c r="UEP140" s="34"/>
      <c r="UEQ140" s="34"/>
      <c r="UER140" s="34"/>
      <c r="UES140" s="34"/>
      <c r="UET140" s="34"/>
      <c r="UEU140" s="34"/>
      <c r="UEV140" s="34"/>
      <c r="UEW140" s="34"/>
      <c r="UEX140" s="34"/>
      <c r="UEY140" s="34"/>
      <c r="UEZ140" s="34"/>
      <c r="UFA140" s="34"/>
      <c r="UFB140" s="34"/>
      <c r="UFC140" s="34"/>
      <c r="UFD140" s="34"/>
      <c r="UFE140" s="34"/>
      <c r="UFF140" s="34"/>
      <c r="UFG140" s="34"/>
      <c r="UFH140" s="34"/>
      <c r="UFI140" s="34"/>
      <c r="UFJ140" s="34"/>
      <c r="UFK140" s="34"/>
      <c r="UFL140" s="34"/>
      <c r="UFM140" s="34"/>
      <c r="UFN140" s="34"/>
      <c r="UFO140" s="34"/>
      <c r="UFP140" s="34"/>
      <c r="UFQ140" s="34"/>
      <c r="UFR140" s="34"/>
      <c r="UFS140" s="34"/>
      <c r="UFT140" s="34"/>
      <c r="UFU140" s="34"/>
      <c r="UFV140" s="34"/>
      <c r="UFW140" s="34"/>
      <c r="UFX140" s="34"/>
      <c r="UFY140" s="34"/>
      <c r="UFZ140" s="34"/>
      <c r="UGA140" s="34"/>
      <c r="UGB140" s="34"/>
      <c r="UGC140" s="34"/>
      <c r="UGD140" s="34"/>
      <c r="UGE140" s="34"/>
      <c r="UGF140" s="34"/>
      <c r="UGG140" s="34"/>
      <c r="UGH140" s="34"/>
      <c r="UGI140" s="34"/>
      <c r="UGJ140" s="34"/>
      <c r="UGK140" s="34"/>
      <c r="UGL140" s="34"/>
      <c r="UGM140" s="34"/>
      <c r="UGN140" s="34"/>
      <c r="UGO140" s="34"/>
      <c r="UGP140" s="34"/>
      <c r="UGQ140" s="34"/>
      <c r="UGR140" s="34"/>
      <c r="UGS140" s="34"/>
      <c r="UGT140" s="34"/>
      <c r="UGU140" s="34"/>
      <c r="UGV140" s="34"/>
      <c r="UGW140" s="34"/>
      <c r="UGX140" s="34"/>
      <c r="UGY140" s="34"/>
      <c r="UGZ140" s="34"/>
      <c r="UHA140" s="34"/>
      <c r="UHB140" s="34"/>
      <c r="UHC140" s="34"/>
      <c r="UHD140" s="34"/>
      <c r="UHE140" s="34"/>
      <c r="UHF140" s="34"/>
      <c r="UHG140" s="34"/>
      <c r="UHH140" s="34"/>
      <c r="UHI140" s="34"/>
      <c r="UHJ140" s="34"/>
      <c r="UHK140" s="34"/>
      <c r="UHL140" s="34"/>
      <c r="UHM140" s="34"/>
      <c r="UHN140" s="34"/>
      <c r="UHO140" s="34"/>
      <c r="UHP140" s="34"/>
      <c r="UHQ140" s="34"/>
      <c r="UHR140" s="34"/>
      <c r="UHS140" s="34"/>
      <c r="UHT140" s="34"/>
      <c r="UHU140" s="34"/>
      <c r="UHV140" s="34"/>
      <c r="UHW140" s="34"/>
      <c r="UHX140" s="34"/>
      <c r="UHY140" s="34"/>
      <c r="UHZ140" s="34"/>
      <c r="UIA140" s="34"/>
      <c r="UIB140" s="34"/>
      <c r="UIC140" s="34"/>
      <c r="UID140" s="34"/>
      <c r="UIE140" s="34"/>
      <c r="UIF140" s="34"/>
      <c r="UIG140" s="34"/>
      <c r="UIH140" s="34"/>
      <c r="UII140" s="34"/>
      <c r="UIJ140" s="34"/>
      <c r="UIK140" s="34"/>
      <c r="UIL140" s="34"/>
      <c r="UIM140" s="34"/>
      <c r="UIN140" s="34"/>
      <c r="UIO140" s="34"/>
      <c r="UIP140" s="34"/>
      <c r="UIQ140" s="34"/>
      <c r="UIR140" s="34"/>
      <c r="UIS140" s="34"/>
      <c r="UIT140" s="34"/>
      <c r="UIU140" s="34"/>
      <c r="UIV140" s="34"/>
      <c r="UIW140" s="34"/>
      <c r="UIX140" s="34"/>
      <c r="UIY140" s="34"/>
      <c r="UIZ140" s="34"/>
      <c r="UJA140" s="34"/>
      <c r="UJB140" s="34"/>
      <c r="UJC140" s="34"/>
      <c r="UJD140" s="34"/>
      <c r="UJE140" s="34"/>
      <c r="UJF140" s="34"/>
      <c r="UJG140" s="34"/>
      <c r="UJH140" s="34"/>
      <c r="UJI140" s="34"/>
      <c r="UJJ140" s="34"/>
      <c r="UJK140" s="34"/>
      <c r="UJL140" s="34"/>
      <c r="UJM140" s="34"/>
      <c r="UJN140" s="34"/>
      <c r="UJO140" s="34"/>
      <c r="UJP140" s="34"/>
      <c r="UJQ140" s="34"/>
      <c r="UJR140" s="34"/>
      <c r="UJS140" s="34"/>
      <c r="UJT140" s="34"/>
      <c r="UJU140" s="34"/>
      <c r="UJV140" s="34"/>
      <c r="UJW140" s="34"/>
      <c r="UJX140" s="34"/>
      <c r="UJY140" s="34"/>
      <c r="UJZ140" s="34"/>
      <c r="UKA140" s="34"/>
      <c r="UKB140" s="34"/>
      <c r="UKC140" s="34"/>
      <c r="UKD140" s="34"/>
      <c r="UKE140" s="34"/>
      <c r="UKF140" s="34"/>
      <c r="UKG140" s="34"/>
      <c r="UKH140" s="34"/>
      <c r="UKI140" s="34"/>
      <c r="UKJ140" s="34"/>
      <c r="UKK140" s="34"/>
      <c r="UKL140" s="34"/>
      <c r="UKM140" s="34"/>
      <c r="UKN140" s="34"/>
      <c r="UKO140" s="34"/>
      <c r="UKP140" s="34"/>
      <c r="UKQ140" s="34"/>
      <c r="UKR140" s="34"/>
      <c r="UKS140" s="34"/>
      <c r="UKT140" s="34"/>
      <c r="UKU140" s="34"/>
      <c r="UKV140" s="34"/>
      <c r="UKW140" s="34"/>
      <c r="UKX140" s="34"/>
      <c r="UKY140" s="34"/>
      <c r="UKZ140" s="34"/>
      <c r="ULA140" s="34"/>
      <c r="ULB140" s="34"/>
      <c r="ULC140" s="34"/>
      <c r="ULD140" s="34"/>
      <c r="ULE140" s="34"/>
      <c r="ULF140" s="34"/>
      <c r="ULG140" s="34"/>
      <c r="ULH140" s="34"/>
      <c r="ULI140" s="34"/>
      <c r="ULJ140" s="34"/>
      <c r="ULK140" s="34"/>
      <c r="ULL140" s="34"/>
      <c r="ULM140" s="34"/>
      <c r="ULN140" s="34"/>
      <c r="ULO140" s="34"/>
      <c r="ULP140" s="34"/>
      <c r="ULQ140" s="34"/>
      <c r="ULR140" s="34"/>
      <c r="ULS140" s="34"/>
      <c r="ULT140" s="34"/>
      <c r="ULU140" s="34"/>
      <c r="ULV140" s="34"/>
      <c r="ULW140" s="34"/>
      <c r="ULX140" s="34"/>
      <c r="ULY140" s="34"/>
      <c r="ULZ140" s="34"/>
      <c r="UMA140" s="34"/>
      <c r="UMB140" s="34"/>
      <c r="UMC140" s="34"/>
      <c r="UMD140" s="34"/>
      <c r="UME140" s="34"/>
      <c r="UMF140" s="34"/>
      <c r="UMG140" s="34"/>
      <c r="UMH140" s="34"/>
      <c r="UMI140" s="34"/>
      <c r="UMJ140" s="34"/>
      <c r="UMK140" s="34"/>
      <c r="UML140" s="34"/>
      <c r="UMM140" s="34"/>
      <c r="UMN140" s="34"/>
      <c r="UMO140" s="34"/>
      <c r="UMP140" s="34"/>
      <c r="UMQ140" s="34"/>
      <c r="UMR140" s="34"/>
      <c r="UMS140" s="34"/>
      <c r="UMT140" s="34"/>
      <c r="UMU140" s="34"/>
      <c r="UMV140" s="34"/>
      <c r="UMW140" s="34"/>
      <c r="UMX140" s="34"/>
      <c r="UMY140" s="34"/>
      <c r="UMZ140" s="34"/>
      <c r="UNA140" s="34"/>
      <c r="UNB140" s="34"/>
      <c r="UNC140" s="34"/>
      <c r="UND140" s="34"/>
      <c r="UNE140" s="34"/>
      <c r="UNF140" s="34"/>
      <c r="UNG140" s="34"/>
      <c r="UNH140" s="34"/>
      <c r="UNI140" s="34"/>
      <c r="UNJ140" s="34"/>
      <c r="UNK140" s="34"/>
      <c r="UNL140" s="34"/>
      <c r="UNM140" s="34"/>
      <c r="UNN140" s="34"/>
      <c r="UNO140" s="34"/>
      <c r="UNP140" s="34"/>
      <c r="UNQ140" s="34"/>
      <c r="UNR140" s="34"/>
      <c r="UNS140" s="34"/>
      <c r="UNT140" s="34"/>
      <c r="UNU140" s="34"/>
      <c r="UNV140" s="34"/>
      <c r="UNW140" s="34"/>
      <c r="UNX140" s="34"/>
      <c r="UNY140" s="34"/>
      <c r="UNZ140" s="34"/>
      <c r="UOA140" s="34"/>
      <c r="UOB140" s="34"/>
      <c r="UOC140" s="34"/>
      <c r="UOD140" s="34"/>
      <c r="UOE140" s="34"/>
      <c r="UOF140" s="34"/>
      <c r="UOG140" s="34"/>
      <c r="UOH140" s="34"/>
      <c r="UOI140" s="34"/>
      <c r="UOJ140" s="34"/>
      <c r="UOK140" s="34"/>
      <c r="UOL140" s="34"/>
      <c r="UOM140" s="34"/>
      <c r="UON140" s="34"/>
      <c r="UOO140" s="34"/>
      <c r="UOP140" s="34"/>
      <c r="UOQ140" s="34"/>
      <c r="UOR140" s="34"/>
      <c r="UOS140" s="34"/>
      <c r="UOT140" s="34"/>
      <c r="UOU140" s="34"/>
      <c r="UOV140" s="34"/>
      <c r="UOW140" s="34"/>
      <c r="UOX140" s="34"/>
      <c r="UOY140" s="34"/>
      <c r="UOZ140" s="34"/>
      <c r="UPA140" s="34"/>
      <c r="UPB140" s="34"/>
      <c r="UPC140" s="34"/>
      <c r="UPD140" s="34"/>
      <c r="UPE140" s="34"/>
      <c r="UPF140" s="34"/>
      <c r="UPG140" s="34"/>
      <c r="UPH140" s="34"/>
      <c r="UPI140" s="34"/>
      <c r="UPJ140" s="34"/>
      <c r="UPK140" s="34"/>
      <c r="UPL140" s="34"/>
      <c r="UPM140" s="34"/>
      <c r="UPN140" s="34"/>
      <c r="UPO140" s="34"/>
      <c r="UPP140" s="34"/>
      <c r="UPQ140" s="34"/>
      <c r="UPR140" s="34"/>
      <c r="UPS140" s="34"/>
      <c r="UPT140" s="34"/>
      <c r="UPU140" s="34"/>
      <c r="UPV140" s="34"/>
      <c r="UPW140" s="34"/>
      <c r="UPX140" s="34"/>
      <c r="UPY140" s="34"/>
      <c r="UPZ140" s="34"/>
      <c r="UQA140" s="34"/>
      <c r="UQB140" s="34"/>
      <c r="UQC140" s="34"/>
      <c r="UQD140" s="34"/>
      <c r="UQE140" s="34"/>
      <c r="UQF140" s="34"/>
      <c r="UQG140" s="34"/>
      <c r="UQH140" s="34"/>
      <c r="UQI140" s="34"/>
      <c r="UQJ140" s="34"/>
      <c r="UQK140" s="34"/>
      <c r="UQL140" s="34"/>
      <c r="UQM140" s="34"/>
      <c r="UQN140" s="34"/>
      <c r="UQO140" s="34"/>
      <c r="UQP140" s="34"/>
      <c r="UQQ140" s="34"/>
      <c r="UQR140" s="34"/>
      <c r="UQS140" s="34"/>
      <c r="UQT140" s="34"/>
      <c r="UQU140" s="34"/>
      <c r="UQV140" s="34"/>
      <c r="UQW140" s="34"/>
      <c r="UQX140" s="34"/>
      <c r="UQY140" s="34"/>
      <c r="UQZ140" s="34"/>
      <c r="URA140" s="34"/>
      <c r="URB140" s="34"/>
      <c r="URC140" s="34"/>
      <c r="URD140" s="34"/>
      <c r="URE140" s="34"/>
      <c r="URF140" s="34"/>
      <c r="URG140" s="34"/>
      <c r="URH140" s="34"/>
      <c r="URI140" s="34"/>
      <c r="URJ140" s="34"/>
      <c r="URK140" s="34"/>
      <c r="URL140" s="34"/>
      <c r="URM140" s="34"/>
      <c r="URN140" s="34"/>
      <c r="URO140" s="34"/>
      <c r="URP140" s="34"/>
      <c r="URQ140" s="34"/>
      <c r="URR140" s="34"/>
      <c r="URS140" s="34"/>
      <c r="URT140" s="34"/>
      <c r="URU140" s="34"/>
      <c r="URV140" s="34"/>
      <c r="URW140" s="34"/>
      <c r="URX140" s="34"/>
      <c r="URY140" s="34"/>
      <c r="URZ140" s="34"/>
      <c r="USA140" s="34"/>
      <c r="USB140" s="34"/>
      <c r="USC140" s="34"/>
      <c r="USD140" s="34"/>
      <c r="USE140" s="34"/>
      <c r="USF140" s="34"/>
      <c r="USG140" s="34"/>
      <c r="USH140" s="34"/>
      <c r="USI140" s="34"/>
      <c r="USJ140" s="34"/>
      <c r="USK140" s="34"/>
      <c r="USL140" s="34"/>
      <c r="USM140" s="34"/>
      <c r="USN140" s="34"/>
      <c r="USO140" s="34"/>
      <c r="USP140" s="34"/>
      <c r="USQ140" s="34"/>
      <c r="USR140" s="34"/>
      <c r="USS140" s="34"/>
      <c r="UST140" s="34"/>
      <c r="USU140" s="34"/>
      <c r="USV140" s="34"/>
      <c r="USW140" s="34"/>
      <c r="USX140" s="34"/>
      <c r="USY140" s="34"/>
      <c r="USZ140" s="34"/>
      <c r="UTA140" s="34"/>
      <c r="UTB140" s="34"/>
      <c r="UTC140" s="34"/>
      <c r="UTD140" s="34"/>
      <c r="UTE140" s="34"/>
      <c r="UTF140" s="34"/>
      <c r="UTG140" s="34"/>
      <c r="UTH140" s="34"/>
      <c r="UTI140" s="34"/>
      <c r="UTJ140" s="34"/>
      <c r="UTK140" s="34"/>
      <c r="UTL140" s="34"/>
      <c r="UTM140" s="34"/>
      <c r="UTN140" s="34"/>
      <c r="UTO140" s="34"/>
      <c r="UTP140" s="34"/>
      <c r="UTQ140" s="34"/>
      <c r="UTR140" s="34"/>
      <c r="UTS140" s="34"/>
      <c r="UTT140" s="34"/>
      <c r="UTU140" s="34"/>
      <c r="UTV140" s="34"/>
      <c r="UTW140" s="34"/>
      <c r="UTX140" s="34"/>
      <c r="UTY140" s="34"/>
      <c r="UTZ140" s="34"/>
      <c r="UUA140" s="34"/>
      <c r="UUB140" s="34"/>
      <c r="UUC140" s="34"/>
      <c r="UUD140" s="34"/>
      <c r="UUE140" s="34"/>
      <c r="UUF140" s="34"/>
      <c r="UUG140" s="34"/>
      <c r="UUH140" s="34"/>
      <c r="UUI140" s="34"/>
      <c r="UUJ140" s="34"/>
      <c r="UUK140" s="34"/>
      <c r="UUL140" s="34"/>
      <c r="UUM140" s="34"/>
      <c r="UUN140" s="34"/>
      <c r="UUO140" s="34"/>
      <c r="UUP140" s="34"/>
      <c r="UUQ140" s="34"/>
      <c r="UUR140" s="34"/>
      <c r="UUS140" s="34"/>
      <c r="UUT140" s="34"/>
      <c r="UUU140" s="34"/>
      <c r="UUV140" s="34"/>
      <c r="UUW140" s="34"/>
      <c r="UUX140" s="34"/>
      <c r="UUY140" s="34"/>
      <c r="UUZ140" s="34"/>
      <c r="UVA140" s="34"/>
      <c r="UVB140" s="34"/>
      <c r="UVC140" s="34"/>
      <c r="UVD140" s="34"/>
      <c r="UVE140" s="34"/>
      <c r="UVF140" s="34"/>
      <c r="UVG140" s="34"/>
      <c r="UVH140" s="34"/>
      <c r="UVI140" s="34"/>
      <c r="UVJ140" s="34"/>
      <c r="UVK140" s="34"/>
      <c r="UVL140" s="34"/>
      <c r="UVM140" s="34"/>
      <c r="UVN140" s="34"/>
      <c r="UVO140" s="34"/>
      <c r="UVP140" s="34"/>
      <c r="UVQ140" s="34"/>
      <c r="UVR140" s="34"/>
      <c r="UVS140" s="34"/>
      <c r="UVT140" s="34"/>
      <c r="UVU140" s="34"/>
      <c r="UVV140" s="34"/>
      <c r="UVW140" s="34"/>
      <c r="UVX140" s="34"/>
      <c r="UVY140" s="34"/>
      <c r="UVZ140" s="34"/>
      <c r="UWA140" s="34"/>
      <c r="UWB140" s="34"/>
      <c r="UWC140" s="34"/>
      <c r="UWD140" s="34"/>
      <c r="UWE140" s="34"/>
      <c r="UWF140" s="34"/>
      <c r="UWG140" s="34"/>
      <c r="UWH140" s="34"/>
      <c r="UWI140" s="34"/>
      <c r="UWJ140" s="34"/>
      <c r="UWK140" s="34"/>
      <c r="UWL140" s="34"/>
      <c r="UWM140" s="34"/>
      <c r="UWN140" s="34"/>
      <c r="UWO140" s="34"/>
      <c r="UWP140" s="34"/>
      <c r="UWQ140" s="34"/>
      <c r="UWR140" s="34"/>
      <c r="UWS140" s="34"/>
      <c r="UWT140" s="34"/>
      <c r="UWU140" s="34"/>
      <c r="UWV140" s="34"/>
      <c r="UWW140" s="34"/>
      <c r="UWX140" s="34"/>
      <c r="UWY140" s="34"/>
      <c r="UWZ140" s="34"/>
      <c r="UXA140" s="34"/>
      <c r="UXB140" s="34"/>
      <c r="UXC140" s="34"/>
      <c r="UXD140" s="34"/>
      <c r="UXE140" s="34"/>
      <c r="UXF140" s="34"/>
      <c r="UXG140" s="34"/>
      <c r="UXH140" s="34"/>
      <c r="UXI140" s="34"/>
      <c r="UXJ140" s="34"/>
      <c r="UXK140" s="34"/>
      <c r="UXL140" s="34"/>
      <c r="UXM140" s="34"/>
      <c r="UXN140" s="34"/>
      <c r="UXO140" s="34"/>
      <c r="UXP140" s="34"/>
      <c r="UXQ140" s="34"/>
      <c r="UXR140" s="34"/>
      <c r="UXS140" s="34"/>
      <c r="UXT140" s="34"/>
      <c r="UXU140" s="34"/>
      <c r="UXV140" s="34"/>
      <c r="UXW140" s="34"/>
      <c r="UXX140" s="34"/>
      <c r="UXY140" s="34"/>
      <c r="UXZ140" s="34"/>
      <c r="UYA140" s="34"/>
      <c r="UYB140" s="34"/>
      <c r="UYC140" s="34"/>
      <c r="UYD140" s="34"/>
      <c r="UYE140" s="34"/>
      <c r="UYF140" s="34"/>
      <c r="UYG140" s="34"/>
      <c r="UYH140" s="34"/>
      <c r="UYI140" s="34"/>
      <c r="UYJ140" s="34"/>
      <c r="UYK140" s="34"/>
      <c r="UYL140" s="34"/>
      <c r="UYM140" s="34"/>
      <c r="UYN140" s="34"/>
      <c r="UYO140" s="34"/>
      <c r="UYP140" s="34"/>
      <c r="UYQ140" s="34"/>
      <c r="UYR140" s="34"/>
      <c r="UYS140" s="34"/>
      <c r="UYT140" s="34"/>
      <c r="UYU140" s="34"/>
      <c r="UYV140" s="34"/>
      <c r="UYW140" s="34"/>
      <c r="UYX140" s="34"/>
      <c r="UYY140" s="34"/>
      <c r="UYZ140" s="34"/>
      <c r="UZA140" s="34"/>
      <c r="UZB140" s="34"/>
      <c r="UZC140" s="34"/>
      <c r="UZD140" s="34"/>
      <c r="UZE140" s="34"/>
      <c r="UZF140" s="34"/>
      <c r="UZG140" s="34"/>
      <c r="UZH140" s="34"/>
      <c r="UZI140" s="34"/>
      <c r="UZJ140" s="34"/>
      <c r="UZK140" s="34"/>
      <c r="UZL140" s="34"/>
      <c r="UZM140" s="34"/>
      <c r="UZN140" s="34"/>
      <c r="UZO140" s="34"/>
      <c r="UZP140" s="34"/>
      <c r="UZQ140" s="34"/>
      <c r="UZR140" s="34"/>
      <c r="UZS140" s="34"/>
      <c r="UZT140" s="34"/>
      <c r="UZU140" s="34"/>
      <c r="UZV140" s="34"/>
      <c r="UZW140" s="34"/>
      <c r="UZX140" s="34"/>
      <c r="UZY140" s="34"/>
      <c r="UZZ140" s="34"/>
      <c r="VAA140" s="34"/>
      <c r="VAB140" s="34"/>
      <c r="VAC140" s="34"/>
      <c r="VAD140" s="34"/>
      <c r="VAE140" s="34"/>
      <c r="VAF140" s="34"/>
      <c r="VAG140" s="34"/>
      <c r="VAH140" s="34"/>
      <c r="VAI140" s="34"/>
      <c r="VAJ140" s="34"/>
      <c r="VAK140" s="34"/>
      <c r="VAL140" s="34"/>
      <c r="VAM140" s="34"/>
      <c r="VAN140" s="34"/>
      <c r="VAO140" s="34"/>
      <c r="VAP140" s="34"/>
      <c r="VAQ140" s="34"/>
      <c r="VAR140" s="34"/>
      <c r="VAS140" s="34"/>
      <c r="VAT140" s="34"/>
      <c r="VAU140" s="34"/>
      <c r="VAV140" s="34"/>
      <c r="VAW140" s="34"/>
      <c r="VAX140" s="34"/>
      <c r="VAY140" s="34"/>
      <c r="VAZ140" s="34"/>
      <c r="VBA140" s="34"/>
      <c r="VBB140" s="34"/>
      <c r="VBC140" s="34"/>
      <c r="VBD140" s="34"/>
      <c r="VBE140" s="34"/>
      <c r="VBF140" s="34"/>
      <c r="VBG140" s="34"/>
      <c r="VBH140" s="34"/>
      <c r="VBI140" s="34"/>
      <c r="VBJ140" s="34"/>
      <c r="VBK140" s="34"/>
      <c r="VBL140" s="34"/>
      <c r="VBM140" s="34"/>
      <c r="VBN140" s="34"/>
      <c r="VBO140" s="34"/>
      <c r="VBP140" s="34"/>
      <c r="VBQ140" s="34"/>
      <c r="VBR140" s="34"/>
      <c r="VBS140" s="34"/>
      <c r="VBT140" s="34"/>
      <c r="VBU140" s="34"/>
      <c r="VBV140" s="34"/>
      <c r="VBW140" s="34"/>
      <c r="VBX140" s="34"/>
      <c r="VBY140" s="34"/>
      <c r="VBZ140" s="34"/>
      <c r="VCA140" s="34"/>
      <c r="VCB140" s="34"/>
      <c r="VCC140" s="34"/>
      <c r="VCD140" s="34"/>
      <c r="VCE140" s="34"/>
      <c r="VCF140" s="34"/>
      <c r="VCG140" s="34"/>
      <c r="VCH140" s="34"/>
      <c r="VCI140" s="34"/>
      <c r="VCJ140" s="34"/>
      <c r="VCK140" s="34"/>
      <c r="VCL140" s="34"/>
      <c r="VCM140" s="34"/>
      <c r="VCN140" s="34"/>
      <c r="VCO140" s="34"/>
      <c r="VCP140" s="34"/>
      <c r="VCQ140" s="34"/>
      <c r="VCR140" s="34"/>
      <c r="VCS140" s="34"/>
      <c r="VCT140" s="34"/>
      <c r="VCU140" s="34"/>
      <c r="VCV140" s="34"/>
      <c r="VCW140" s="34"/>
      <c r="VCX140" s="34"/>
      <c r="VCY140" s="34"/>
      <c r="VCZ140" s="34"/>
      <c r="VDA140" s="34"/>
      <c r="VDB140" s="34"/>
      <c r="VDC140" s="34"/>
      <c r="VDD140" s="34"/>
      <c r="VDE140" s="34"/>
      <c r="VDF140" s="34"/>
      <c r="VDG140" s="34"/>
      <c r="VDH140" s="34"/>
      <c r="VDI140" s="34"/>
      <c r="VDJ140" s="34"/>
      <c r="VDK140" s="34"/>
      <c r="VDL140" s="34"/>
      <c r="VDM140" s="34"/>
      <c r="VDN140" s="34"/>
      <c r="VDO140" s="34"/>
      <c r="VDP140" s="34"/>
      <c r="VDQ140" s="34"/>
      <c r="VDR140" s="34"/>
      <c r="VDS140" s="34"/>
      <c r="VDT140" s="34"/>
      <c r="VDU140" s="34"/>
      <c r="VDV140" s="34"/>
      <c r="VDW140" s="34"/>
      <c r="VDX140" s="34"/>
      <c r="VDY140" s="34"/>
      <c r="VDZ140" s="34"/>
      <c r="VEA140" s="34"/>
      <c r="VEB140" s="34"/>
      <c r="VEC140" s="34"/>
      <c r="VED140" s="34"/>
      <c r="VEE140" s="34"/>
      <c r="VEF140" s="34"/>
      <c r="VEG140" s="34"/>
      <c r="VEH140" s="34"/>
      <c r="VEI140" s="34"/>
      <c r="VEJ140" s="34"/>
      <c r="VEK140" s="34"/>
      <c r="VEL140" s="34"/>
      <c r="VEM140" s="34"/>
      <c r="VEN140" s="34"/>
      <c r="VEO140" s="34"/>
      <c r="VEP140" s="34"/>
      <c r="VEQ140" s="34"/>
      <c r="VER140" s="34"/>
      <c r="VES140" s="34"/>
      <c r="VET140" s="34"/>
      <c r="VEU140" s="34"/>
      <c r="VEV140" s="34"/>
      <c r="VEW140" s="34"/>
      <c r="VEX140" s="34"/>
      <c r="VEY140" s="34"/>
      <c r="VEZ140" s="34"/>
      <c r="VFA140" s="34"/>
      <c r="VFB140" s="34"/>
      <c r="VFC140" s="34"/>
      <c r="VFD140" s="34"/>
      <c r="VFE140" s="34"/>
      <c r="VFF140" s="34"/>
      <c r="VFG140" s="34"/>
      <c r="VFH140" s="34"/>
      <c r="VFI140" s="34"/>
      <c r="VFJ140" s="34"/>
      <c r="VFK140" s="34"/>
      <c r="VFL140" s="34"/>
      <c r="VFM140" s="34"/>
      <c r="VFN140" s="34"/>
      <c r="VFO140" s="34"/>
      <c r="VFP140" s="34"/>
      <c r="VFQ140" s="34"/>
      <c r="VFR140" s="34"/>
      <c r="VFS140" s="34"/>
      <c r="VFT140" s="34"/>
      <c r="VFU140" s="34"/>
      <c r="VFV140" s="34"/>
      <c r="VFW140" s="34"/>
      <c r="VFX140" s="34"/>
      <c r="VFY140" s="34"/>
      <c r="VFZ140" s="34"/>
      <c r="VGA140" s="34"/>
      <c r="VGB140" s="34"/>
      <c r="VGC140" s="34"/>
      <c r="VGD140" s="34"/>
      <c r="VGE140" s="34"/>
      <c r="VGF140" s="34"/>
      <c r="VGG140" s="34"/>
      <c r="VGH140" s="34"/>
      <c r="VGI140" s="34"/>
      <c r="VGJ140" s="34"/>
      <c r="VGK140" s="34"/>
      <c r="VGL140" s="34"/>
      <c r="VGM140" s="34"/>
      <c r="VGN140" s="34"/>
      <c r="VGO140" s="34"/>
      <c r="VGP140" s="34"/>
      <c r="VGQ140" s="34"/>
      <c r="VGR140" s="34"/>
      <c r="VGS140" s="34"/>
      <c r="VGT140" s="34"/>
      <c r="VGU140" s="34"/>
      <c r="VGV140" s="34"/>
      <c r="VGW140" s="34"/>
      <c r="VGX140" s="34"/>
      <c r="VGY140" s="34"/>
      <c r="VGZ140" s="34"/>
      <c r="VHA140" s="34"/>
      <c r="VHB140" s="34"/>
      <c r="VHC140" s="34"/>
      <c r="VHD140" s="34"/>
      <c r="VHE140" s="34"/>
      <c r="VHF140" s="34"/>
      <c r="VHG140" s="34"/>
      <c r="VHH140" s="34"/>
      <c r="VHI140" s="34"/>
      <c r="VHJ140" s="34"/>
      <c r="VHK140" s="34"/>
      <c r="VHL140" s="34"/>
      <c r="VHM140" s="34"/>
      <c r="VHN140" s="34"/>
      <c r="VHO140" s="34"/>
      <c r="VHP140" s="34"/>
      <c r="VHQ140" s="34"/>
      <c r="VHR140" s="34"/>
      <c r="VHS140" s="34"/>
      <c r="VHT140" s="34"/>
      <c r="VHU140" s="34"/>
      <c r="VHV140" s="34"/>
      <c r="VHW140" s="34"/>
      <c r="VHX140" s="34"/>
      <c r="VHY140" s="34"/>
      <c r="VHZ140" s="34"/>
      <c r="VIA140" s="34"/>
      <c r="VIB140" s="34"/>
      <c r="VIC140" s="34"/>
      <c r="VID140" s="34"/>
      <c r="VIE140" s="34"/>
      <c r="VIF140" s="34"/>
      <c r="VIG140" s="34"/>
      <c r="VIH140" s="34"/>
      <c r="VII140" s="34"/>
      <c r="VIJ140" s="34"/>
      <c r="VIK140" s="34"/>
      <c r="VIL140" s="34"/>
      <c r="VIM140" s="34"/>
      <c r="VIN140" s="34"/>
      <c r="VIO140" s="34"/>
      <c r="VIP140" s="34"/>
      <c r="VIQ140" s="34"/>
      <c r="VIR140" s="34"/>
      <c r="VIS140" s="34"/>
      <c r="VIT140" s="34"/>
      <c r="VIU140" s="34"/>
      <c r="VIV140" s="34"/>
      <c r="VIW140" s="34"/>
      <c r="VIX140" s="34"/>
      <c r="VIY140" s="34"/>
      <c r="VIZ140" s="34"/>
      <c r="VJA140" s="34"/>
      <c r="VJB140" s="34"/>
      <c r="VJC140" s="34"/>
      <c r="VJD140" s="34"/>
      <c r="VJE140" s="34"/>
      <c r="VJF140" s="34"/>
      <c r="VJG140" s="34"/>
      <c r="VJH140" s="34"/>
      <c r="VJI140" s="34"/>
      <c r="VJJ140" s="34"/>
      <c r="VJK140" s="34"/>
      <c r="VJL140" s="34"/>
      <c r="VJM140" s="34"/>
      <c r="VJN140" s="34"/>
      <c r="VJO140" s="34"/>
      <c r="VJP140" s="34"/>
      <c r="VJQ140" s="34"/>
      <c r="VJR140" s="34"/>
      <c r="VJS140" s="34"/>
      <c r="VJT140" s="34"/>
      <c r="VJU140" s="34"/>
      <c r="VJV140" s="34"/>
      <c r="VJW140" s="34"/>
      <c r="VJX140" s="34"/>
      <c r="VJY140" s="34"/>
      <c r="VJZ140" s="34"/>
      <c r="VKA140" s="34"/>
      <c r="VKB140" s="34"/>
      <c r="VKC140" s="34"/>
      <c r="VKD140" s="34"/>
      <c r="VKE140" s="34"/>
      <c r="VKF140" s="34"/>
      <c r="VKG140" s="34"/>
      <c r="VKH140" s="34"/>
      <c r="VKI140" s="34"/>
      <c r="VKJ140" s="34"/>
      <c r="VKK140" s="34"/>
      <c r="VKL140" s="34"/>
      <c r="VKM140" s="34"/>
      <c r="VKN140" s="34"/>
      <c r="VKO140" s="34"/>
      <c r="VKP140" s="34"/>
      <c r="VKQ140" s="34"/>
      <c r="VKR140" s="34"/>
      <c r="VKS140" s="34"/>
      <c r="VKT140" s="34"/>
      <c r="VKU140" s="34"/>
      <c r="VKV140" s="34"/>
      <c r="VKW140" s="34"/>
      <c r="VKX140" s="34"/>
      <c r="VKY140" s="34"/>
      <c r="VKZ140" s="34"/>
      <c r="VLA140" s="34"/>
      <c r="VLB140" s="34"/>
      <c r="VLC140" s="34"/>
      <c r="VLD140" s="34"/>
      <c r="VLE140" s="34"/>
      <c r="VLF140" s="34"/>
      <c r="VLG140" s="34"/>
      <c r="VLH140" s="34"/>
      <c r="VLI140" s="34"/>
      <c r="VLJ140" s="34"/>
      <c r="VLK140" s="34"/>
      <c r="VLL140" s="34"/>
      <c r="VLM140" s="34"/>
      <c r="VLN140" s="34"/>
      <c r="VLO140" s="34"/>
      <c r="VLP140" s="34"/>
      <c r="VLQ140" s="34"/>
      <c r="VLR140" s="34"/>
      <c r="VLS140" s="34"/>
      <c r="VLT140" s="34"/>
      <c r="VLU140" s="34"/>
      <c r="VLV140" s="34"/>
      <c r="VLW140" s="34"/>
      <c r="VLX140" s="34"/>
      <c r="VLY140" s="34"/>
      <c r="VLZ140" s="34"/>
      <c r="VMA140" s="34"/>
      <c r="VMB140" s="34"/>
      <c r="VMC140" s="34"/>
      <c r="VMD140" s="34"/>
      <c r="VME140" s="34"/>
      <c r="VMF140" s="34"/>
      <c r="VMG140" s="34"/>
      <c r="VMH140" s="34"/>
      <c r="VMI140" s="34"/>
      <c r="VMJ140" s="34"/>
      <c r="VMK140" s="34"/>
      <c r="VML140" s="34"/>
      <c r="VMM140" s="34"/>
      <c r="VMN140" s="34"/>
      <c r="VMO140" s="34"/>
      <c r="VMP140" s="34"/>
      <c r="VMQ140" s="34"/>
      <c r="VMR140" s="34"/>
      <c r="VMS140" s="34"/>
      <c r="VMT140" s="34"/>
      <c r="VMU140" s="34"/>
      <c r="VMV140" s="34"/>
      <c r="VMW140" s="34"/>
      <c r="VMX140" s="34"/>
      <c r="VMY140" s="34"/>
      <c r="VMZ140" s="34"/>
      <c r="VNA140" s="34"/>
      <c r="VNB140" s="34"/>
      <c r="VNC140" s="34"/>
      <c r="VND140" s="34"/>
      <c r="VNE140" s="34"/>
      <c r="VNF140" s="34"/>
      <c r="VNG140" s="34"/>
      <c r="VNH140" s="34"/>
      <c r="VNI140" s="34"/>
      <c r="VNJ140" s="34"/>
      <c r="VNK140" s="34"/>
      <c r="VNL140" s="34"/>
      <c r="VNM140" s="34"/>
      <c r="VNN140" s="34"/>
      <c r="VNO140" s="34"/>
      <c r="VNP140" s="34"/>
      <c r="VNQ140" s="34"/>
      <c r="VNR140" s="34"/>
      <c r="VNS140" s="34"/>
      <c r="VNT140" s="34"/>
      <c r="VNU140" s="34"/>
      <c r="VNV140" s="34"/>
      <c r="VNW140" s="34"/>
      <c r="VNX140" s="34"/>
      <c r="VNY140" s="34"/>
      <c r="VNZ140" s="34"/>
      <c r="VOA140" s="34"/>
      <c r="VOB140" s="34"/>
      <c r="VOC140" s="34"/>
      <c r="VOD140" s="34"/>
      <c r="VOE140" s="34"/>
      <c r="VOF140" s="34"/>
      <c r="VOG140" s="34"/>
      <c r="VOH140" s="34"/>
      <c r="VOI140" s="34"/>
      <c r="VOJ140" s="34"/>
      <c r="VOK140" s="34"/>
      <c r="VOL140" s="34"/>
      <c r="VOM140" s="34"/>
      <c r="VON140" s="34"/>
      <c r="VOO140" s="34"/>
      <c r="VOP140" s="34"/>
      <c r="VOQ140" s="34"/>
      <c r="VOR140" s="34"/>
      <c r="VOS140" s="34"/>
      <c r="VOT140" s="34"/>
      <c r="VOU140" s="34"/>
      <c r="VOV140" s="34"/>
      <c r="VOW140" s="34"/>
      <c r="VOX140" s="34"/>
      <c r="VOY140" s="34"/>
      <c r="VOZ140" s="34"/>
      <c r="VPA140" s="34"/>
      <c r="VPB140" s="34"/>
      <c r="VPC140" s="34"/>
      <c r="VPD140" s="34"/>
      <c r="VPE140" s="34"/>
      <c r="VPF140" s="34"/>
      <c r="VPG140" s="34"/>
      <c r="VPH140" s="34"/>
      <c r="VPI140" s="34"/>
      <c r="VPJ140" s="34"/>
      <c r="VPK140" s="34"/>
      <c r="VPL140" s="34"/>
      <c r="VPM140" s="34"/>
      <c r="VPN140" s="34"/>
      <c r="VPO140" s="34"/>
      <c r="VPP140" s="34"/>
      <c r="VPQ140" s="34"/>
      <c r="VPR140" s="34"/>
      <c r="VPS140" s="34"/>
      <c r="VPT140" s="34"/>
      <c r="VPU140" s="34"/>
      <c r="VPV140" s="34"/>
      <c r="VPW140" s="34"/>
      <c r="VPX140" s="34"/>
      <c r="VPY140" s="34"/>
      <c r="VPZ140" s="34"/>
      <c r="VQA140" s="34"/>
      <c r="VQB140" s="34"/>
      <c r="VQC140" s="34"/>
      <c r="VQD140" s="34"/>
      <c r="VQE140" s="34"/>
      <c r="VQF140" s="34"/>
      <c r="VQG140" s="34"/>
      <c r="VQH140" s="34"/>
      <c r="VQI140" s="34"/>
      <c r="VQJ140" s="34"/>
      <c r="VQK140" s="34"/>
      <c r="VQL140" s="34"/>
      <c r="VQM140" s="34"/>
      <c r="VQN140" s="34"/>
      <c r="VQO140" s="34"/>
      <c r="VQP140" s="34"/>
      <c r="VQQ140" s="34"/>
      <c r="VQR140" s="34"/>
      <c r="VQS140" s="34"/>
      <c r="VQT140" s="34"/>
      <c r="VQU140" s="34"/>
      <c r="VQV140" s="34"/>
      <c r="VQW140" s="34"/>
      <c r="VQX140" s="34"/>
      <c r="VQY140" s="34"/>
      <c r="VQZ140" s="34"/>
      <c r="VRA140" s="34"/>
      <c r="VRB140" s="34"/>
      <c r="VRC140" s="34"/>
      <c r="VRD140" s="34"/>
      <c r="VRE140" s="34"/>
      <c r="VRF140" s="34"/>
      <c r="VRG140" s="34"/>
      <c r="VRH140" s="34"/>
      <c r="VRI140" s="34"/>
      <c r="VRJ140" s="34"/>
      <c r="VRK140" s="34"/>
      <c r="VRL140" s="34"/>
      <c r="VRM140" s="34"/>
      <c r="VRN140" s="34"/>
      <c r="VRO140" s="34"/>
      <c r="VRP140" s="34"/>
      <c r="VRQ140" s="34"/>
      <c r="VRR140" s="34"/>
      <c r="VRS140" s="34"/>
      <c r="VRT140" s="34"/>
      <c r="VRU140" s="34"/>
      <c r="VRV140" s="34"/>
      <c r="VRW140" s="34"/>
      <c r="VRX140" s="34"/>
      <c r="VRY140" s="34"/>
      <c r="VRZ140" s="34"/>
      <c r="VSA140" s="34"/>
      <c r="VSB140" s="34"/>
      <c r="VSC140" s="34"/>
      <c r="VSD140" s="34"/>
      <c r="VSE140" s="34"/>
      <c r="VSF140" s="34"/>
      <c r="VSG140" s="34"/>
      <c r="VSH140" s="34"/>
      <c r="VSI140" s="34"/>
      <c r="VSJ140" s="34"/>
      <c r="VSK140" s="34"/>
      <c r="VSL140" s="34"/>
      <c r="VSM140" s="34"/>
      <c r="VSN140" s="34"/>
      <c r="VSO140" s="34"/>
      <c r="VSP140" s="34"/>
      <c r="VSQ140" s="34"/>
      <c r="VSR140" s="34"/>
      <c r="VSS140" s="34"/>
      <c r="VST140" s="34"/>
      <c r="VSU140" s="34"/>
      <c r="VSV140" s="34"/>
      <c r="VSW140" s="34"/>
      <c r="VSX140" s="34"/>
      <c r="VSY140" s="34"/>
      <c r="VSZ140" s="34"/>
      <c r="VTA140" s="34"/>
      <c r="VTB140" s="34"/>
      <c r="VTC140" s="34"/>
      <c r="VTD140" s="34"/>
      <c r="VTE140" s="34"/>
      <c r="VTF140" s="34"/>
      <c r="VTG140" s="34"/>
      <c r="VTH140" s="34"/>
      <c r="VTI140" s="34"/>
      <c r="VTJ140" s="34"/>
      <c r="VTK140" s="34"/>
      <c r="VTL140" s="34"/>
      <c r="VTM140" s="34"/>
      <c r="VTN140" s="34"/>
      <c r="VTO140" s="34"/>
      <c r="VTP140" s="34"/>
      <c r="VTQ140" s="34"/>
      <c r="VTR140" s="34"/>
      <c r="VTS140" s="34"/>
      <c r="VTT140" s="34"/>
      <c r="VTU140" s="34"/>
      <c r="VTV140" s="34"/>
      <c r="VTW140" s="34"/>
      <c r="VTX140" s="34"/>
      <c r="VTY140" s="34"/>
      <c r="VTZ140" s="34"/>
      <c r="VUA140" s="34"/>
      <c r="VUB140" s="34"/>
      <c r="VUC140" s="34"/>
      <c r="VUD140" s="34"/>
      <c r="VUE140" s="34"/>
      <c r="VUF140" s="34"/>
      <c r="VUG140" s="34"/>
      <c r="VUH140" s="34"/>
      <c r="VUI140" s="34"/>
      <c r="VUJ140" s="34"/>
      <c r="VUK140" s="34"/>
      <c r="VUL140" s="34"/>
      <c r="VUM140" s="34"/>
      <c r="VUN140" s="34"/>
      <c r="VUO140" s="34"/>
      <c r="VUP140" s="34"/>
      <c r="VUQ140" s="34"/>
      <c r="VUR140" s="34"/>
      <c r="VUS140" s="34"/>
      <c r="VUT140" s="34"/>
      <c r="VUU140" s="34"/>
      <c r="VUV140" s="34"/>
      <c r="VUW140" s="34"/>
      <c r="VUX140" s="34"/>
      <c r="VUY140" s="34"/>
      <c r="VUZ140" s="34"/>
      <c r="VVA140" s="34"/>
      <c r="VVB140" s="34"/>
      <c r="VVC140" s="34"/>
      <c r="VVD140" s="34"/>
      <c r="VVE140" s="34"/>
      <c r="VVF140" s="34"/>
      <c r="VVG140" s="34"/>
      <c r="VVH140" s="34"/>
      <c r="VVI140" s="34"/>
      <c r="VVJ140" s="34"/>
      <c r="VVK140" s="34"/>
      <c r="VVL140" s="34"/>
      <c r="VVM140" s="34"/>
      <c r="VVN140" s="34"/>
      <c r="VVO140" s="34"/>
      <c r="VVP140" s="34"/>
      <c r="VVQ140" s="34"/>
      <c r="VVR140" s="34"/>
      <c r="VVS140" s="34"/>
      <c r="VVT140" s="34"/>
      <c r="VVU140" s="34"/>
      <c r="VVV140" s="34"/>
      <c r="VVW140" s="34"/>
      <c r="VVX140" s="34"/>
      <c r="VVY140" s="34"/>
      <c r="VVZ140" s="34"/>
      <c r="VWA140" s="34"/>
      <c r="VWB140" s="34"/>
      <c r="VWC140" s="34"/>
      <c r="VWD140" s="34"/>
      <c r="VWE140" s="34"/>
      <c r="VWF140" s="34"/>
      <c r="VWG140" s="34"/>
      <c r="VWH140" s="34"/>
      <c r="VWI140" s="34"/>
      <c r="VWJ140" s="34"/>
      <c r="VWK140" s="34"/>
      <c r="VWL140" s="34"/>
      <c r="VWM140" s="34"/>
      <c r="VWN140" s="34"/>
      <c r="VWO140" s="34"/>
      <c r="VWP140" s="34"/>
      <c r="VWQ140" s="34"/>
      <c r="VWR140" s="34"/>
      <c r="VWS140" s="34"/>
      <c r="VWT140" s="34"/>
      <c r="VWU140" s="34"/>
      <c r="VWV140" s="34"/>
      <c r="VWW140" s="34"/>
      <c r="VWX140" s="34"/>
      <c r="VWY140" s="34"/>
      <c r="VWZ140" s="34"/>
      <c r="VXA140" s="34"/>
      <c r="VXB140" s="34"/>
      <c r="VXC140" s="34"/>
      <c r="VXD140" s="34"/>
      <c r="VXE140" s="34"/>
      <c r="VXF140" s="34"/>
      <c r="VXG140" s="34"/>
      <c r="VXH140" s="34"/>
      <c r="VXI140" s="34"/>
      <c r="VXJ140" s="34"/>
      <c r="VXK140" s="34"/>
      <c r="VXL140" s="34"/>
      <c r="VXM140" s="34"/>
      <c r="VXN140" s="34"/>
      <c r="VXO140" s="34"/>
      <c r="VXP140" s="34"/>
      <c r="VXQ140" s="34"/>
      <c r="VXR140" s="34"/>
      <c r="VXS140" s="34"/>
      <c r="VXT140" s="34"/>
      <c r="VXU140" s="34"/>
      <c r="VXV140" s="34"/>
      <c r="VXW140" s="34"/>
      <c r="VXX140" s="34"/>
      <c r="VXY140" s="34"/>
      <c r="VXZ140" s="34"/>
      <c r="VYA140" s="34"/>
      <c r="VYB140" s="34"/>
      <c r="VYC140" s="34"/>
      <c r="VYD140" s="34"/>
      <c r="VYE140" s="34"/>
      <c r="VYF140" s="34"/>
      <c r="VYG140" s="34"/>
      <c r="VYH140" s="34"/>
      <c r="VYI140" s="34"/>
      <c r="VYJ140" s="34"/>
      <c r="VYK140" s="34"/>
      <c r="VYL140" s="34"/>
      <c r="VYM140" s="34"/>
      <c r="VYN140" s="34"/>
      <c r="VYO140" s="34"/>
      <c r="VYP140" s="34"/>
      <c r="VYQ140" s="34"/>
      <c r="VYR140" s="34"/>
      <c r="VYS140" s="34"/>
      <c r="VYT140" s="34"/>
      <c r="VYU140" s="34"/>
      <c r="VYV140" s="34"/>
      <c r="VYW140" s="34"/>
      <c r="VYX140" s="34"/>
      <c r="VYY140" s="34"/>
      <c r="VYZ140" s="34"/>
      <c r="VZA140" s="34"/>
      <c r="VZB140" s="34"/>
      <c r="VZC140" s="34"/>
      <c r="VZD140" s="34"/>
      <c r="VZE140" s="34"/>
      <c r="VZF140" s="34"/>
      <c r="VZG140" s="34"/>
      <c r="VZH140" s="34"/>
      <c r="VZI140" s="34"/>
      <c r="VZJ140" s="34"/>
      <c r="VZK140" s="34"/>
      <c r="VZL140" s="34"/>
      <c r="VZM140" s="34"/>
      <c r="VZN140" s="34"/>
      <c r="VZO140" s="34"/>
      <c r="VZP140" s="34"/>
      <c r="VZQ140" s="34"/>
      <c r="VZR140" s="34"/>
      <c r="VZS140" s="34"/>
      <c r="VZT140" s="34"/>
      <c r="VZU140" s="34"/>
      <c r="VZV140" s="34"/>
      <c r="VZW140" s="34"/>
      <c r="VZX140" s="34"/>
      <c r="VZY140" s="34"/>
      <c r="VZZ140" s="34"/>
      <c r="WAA140" s="34"/>
      <c r="WAB140" s="34"/>
      <c r="WAC140" s="34"/>
      <c r="WAD140" s="34"/>
      <c r="WAE140" s="34"/>
      <c r="WAF140" s="34"/>
      <c r="WAG140" s="34"/>
      <c r="WAH140" s="34"/>
      <c r="WAI140" s="34"/>
      <c r="WAJ140" s="34"/>
      <c r="WAK140" s="34"/>
      <c r="WAL140" s="34"/>
      <c r="WAM140" s="34"/>
      <c r="WAN140" s="34"/>
      <c r="WAO140" s="34"/>
      <c r="WAP140" s="34"/>
      <c r="WAQ140" s="34"/>
      <c r="WAR140" s="34"/>
      <c r="WAS140" s="34"/>
      <c r="WAT140" s="34"/>
      <c r="WAU140" s="34"/>
      <c r="WAV140" s="34"/>
      <c r="WAW140" s="34"/>
      <c r="WAX140" s="34"/>
      <c r="WAY140" s="34"/>
      <c r="WAZ140" s="34"/>
      <c r="WBA140" s="34"/>
      <c r="WBB140" s="34"/>
      <c r="WBC140" s="34"/>
      <c r="WBD140" s="34"/>
      <c r="WBE140" s="34"/>
      <c r="WBF140" s="34"/>
      <c r="WBG140" s="34"/>
      <c r="WBH140" s="34"/>
      <c r="WBI140" s="34"/>
      <c r="WBJ140" s="34"/>
      <c r="WBK140" s="34"/>
      <c r="WBL140" s="34"/>
      <c r="WBM140" s="34"/>
      <c r="WBN140" s="34"/>
      <c r="WBO140" s="34"/>
      <c r="WBP140" s="34"/>
      <c r="WBQ140" s="34"/>
      <c r="WBR140" s="34"/>
      <c r="WBS140" s="34"/>
      <c r="WBT140" s="34"/>
      <c r="WBU140" s="34"/>
      <c r="WBV140" s="34"/>
      <c r="WBW140" s="34"/>
      <c r="WBX140" s="34"/>
      <c r="WBY140" s="34"/>
      <c r="WBZ140" s="34"/>
      <c r="WCA140" s="34"/>
      <c r="WCB140" s="34"/>
      <c r="WCC140" s="34"/>
      <c r="WCD140" s="34"/>
      <c r="WCE140" s="34"/>
      <c r="WCF140" s="34"/>
      <c r="WCG140" s="34"/>
      <c r="WCH140" s="34"/>
      <c r="WCI140" s="34"/>
      <c r="WCJ140" s="34"/>
      <c r="WCK140" s="34"/>
      <c r="WCL140" s="34"/>
      <c r="WCM140" s="34"/>
      <c r="WCN140" s="34"/>
      <c r="WCO140" s="34"/>
      <c r="WCP140" s="34"/>
      <c r="WCQ140" s="34"/>
      <c r="WCR140" s="34"/>
      <c r="WCS140" s="34"/>
      <c r="WCT140" s="34"/>
      <c r="WCU140" s="34"/>
      <c r="WCV140" s="34"/>
      <c r="WCW140" s="34"/>
      <c r="WCX140" s="34"/>
      <c r="WCY140" s="34"/>
      <c r="WCZ140" s="34"/>
      <c r="WDA140" s="34"/>
      <c r="WDB140" s="34"/>
      <c r="WDC140" s="34"/>
      <c r="WDD140" s="34"/>
      <c r="WDE140" s="34"/>
      <c r="WDF140" s="34"/>
      <c r="WDG140" s="34"/>
      <c r="WDH140" s="34"/>
      <c r="WDI140" s="34"/>
      <c r="WDJ140" s="34"/>
      <c r="WDK140" s="34"/>
      <c r="WDL140" s="34"/>
      <c r="WDM140" s="34"/>
      <c r="WDN140" s="34"/>
      <c r="WDO140" s="34"/>
      <c r="WDP140" s="34"/>
      <c r="WDQ140" s="34"/>
      <c r="WDR140" s="34"/>
      <c r="WDS140" s="34"/>
      <c r="WDT140" s="34"/>
      <c r="WDU140" s="34"/>
      <c r="WDV140" s="34"/>
      <c r="WDW140" s="34"/>
      <c r="WDX140" s="34"/>
      <c r="WDY140" s="34"/>
      <c r="WDZ140" s="34"/>
      <c r="WEA140" s="34"/>
      <c r="WEB140" s="34"/>
      <c r="WEC140" s="34"/>
      <c r="WED140" s="34"/>
      <c r="WEE140" s="34"/>
      <c r="WEF140" s="34"/>
      <c r="WEG140" s="34"/>
      <c r="WEH140" s="34"/>
      <c r="WEI140" s="34"/>
      <c r="WEJ140" s="34"/>
      <c r="WEK140" s="34"/>
      <c r="WEL140" s="34"/>
      <c r="WEM140" s="34"/>
      <c r="WEN140" s="34"/>
      <c r="WEO140" s="34"/>
      <c r="WEP140" s="34"/>
      <c r="WEQ140" s="34"/>
      <c r="WER140" s="34"/>
      <c r="WES140" s="34"/>
      <c r="WET140" s="34"/>
      <c r="WEU140" s="34"/>
      <c r="WEV140" s="34"/>
      <c r="WEW140" s="34"/>
      <c r="WEX140" s="34"/>
      <c r="WEY140" s="34"/>
      <c r="WEZ140" s="34"/>
      <c r="WFA140" s="34"/>
      <c r="WFB140" s="34"/>
      <c r="WFC140" s="34"/>
      <c r="WFD140" s="34"/>
      <c r="WFE140" s="34"/>
      <c r="WFF140" s="34"/>
      <c r="WFG140" s="34"/>
      <c r="WFH140" s="34"/>
      <c r="WFI140" s="34"/>
      <c r="WFJ140" s="34"/>
      <c r="WFK140" s="34"/>
      <c r="WFL140" s="34"/>
      <c r="WFM140" s="34"/>
      <c r="WFN140" s="34"/>
      <c r="WFO140" s="34"/>
      <c r="WFP140" s="34"/>
      <c r="WFQ140" s="34"/>
      <c r="WFR140" s="34"/>
      <c r="WFS140" s="34"/>
      <c r="WFT140" s="34"/>
      <c r="WFU140" s="34"/>
      <c r="WFV140" s="34"/>
      <c r="WFW140" s="34"/>
      <c r="WFX140" s="34"/>
      <c r="WFY140" s="34"/>
      <c r="WFZ140" s="34"/>
      <c r="WGA140" s="34"/>
      <c r="WGB140" s="34"/>
      <c r="WGC140" s="34"/>
      <c r="WGD140" s="34"/>
      <c r="WGE140" s="34"/>
      <c r="WGF140" s="34"/>
      <c r="WGG140" s="34"/>
      <c r="WGH140" s="34"/>
      <c r="WGI140" s="34"/>
      <c r="WGJ140" s="34"/>
      <c r="WGK140" s="34"/>
      <c r="WGL140" s="34"/>
      <c r="WGM140" s="34"/>
      <c r="WGN140" s="34"/>
      <c r="WGO140" s="34"/>
      <c r="WGP140" s="34"/>
      <c r="WGQ140" s="34"/>
      <c r="WGR140" s="34"/>
      <c r="WGS140" s="34"/>
      <c r="WGT140" s="34"/>
      <c r="WGU140" s="34"/>
      <c r="WGV140" s="34"/>
      <c r="WGW140" s="34"/>
      <c r="WGX140" s="34"/>
      <c r="WGY140" s="34"/>
      <c r="WGZ140" s="34"/>
      <c r="WHA140" s="34"/>
      <c r="WHB140" s="34"/>
      <c r="WHC140" s="34"/>
      <c r="WHD140" s="34"/>
      <c r="WHE140" s="34"/>
      <c r="WHF140" s="34"/>
      <c r="WHG140" s="34"/>
      <c r="WHH140" s="34"/>
      <c r="WHI140" s="34"/>
      <c r="WHJ140" s="34"/>
      <c r="WHK140" s="34"/>
      <c r="WHL140" s="34"/>
      <c r="WHM140" s="34"/>
      <c r="WHN140" s="34"/>
      <c r="WHO140" s="34"/>
      <c r="WHP140" s="34"/>
      <c r="WHQ140" s="34"/>
      <c r="WHR140" s="34"/>
      <c r="WHS140" s="34"/>
      <c r="WHT140" s="34"/>
      <c r="WHU140" s="34"/>
      <c r="WHV140" s="34"/>
      <c r="WHW140" s="34"/>
      <c r="WHX140" s="34"/>
      <c r="WHY140" s="34"/>
      <c r="WHZ140" s="34"/>
      <c r="WIA140" s="34"/>
      <c r="WIB140" s="34"/>
      <c r="WIC140" s="34"/>
      <c r="WID140" s="34"/>
      <c r="WIE140" s="34"/>
      <c r="WIF140" s="34"/>
      <c r="WIG140" s="34"/>
      <c r="WIH140" s="34"/>
      <c r="WII140" s="34"/>
      <c r="WIJ140" s="34"/>
      <c r="WIK140" s="34"/>
      <c r="WIL140" s="34"/>
      <c r="WIM140" s="34"/>
      <c r="WIN140" s="34"/>
      <c r="WIO140" s="34"/>
      <c r="WIP140" s="34"/>
      <c r="WIQ140" s="34"/>
      <c r="WIR140" s="34"/>
      <c r="WIS140" s="34"/>
      <c r="WIT140" s="34"/>
      <c r="WIU140" s="34"/>
      <c r="WIV140" s="34"/>
      <c r="WIW140" s="34"/>
      <c r="WIX140" s="34"/>
      <c r="WIY140" s="34"/>
      <c r="WIZ140" s="34"/>
      <c r="WJA140" s="34"/>
      <c r="WJB140" s="34"/>
      <c r="WJC140" s="34"/>
      <c r="WJD140" s="34"/>
      <c r="WJE140" s="34"/>
      <c r="WJF140" s="34"/>
      <c r="WJG140" s="34"/>
      <c r="WJH140" s="34"/>
      <c r="WJI140" s="34"/>
      <c r="WJJ140" s="34"/>
      <c r="WJK140" s="34"/>
      <c r="WJL140" s="34"/>
      <c r="WJM140" s="34"/>
      <c r="WJN140" s="34"/>
      <c r="WJO140" s="34"/>
      <c r="WJP140" s="34"/>
      <c r="WJQ140" s="34"/>
      <c r="WJR140" s="34"/>
      <c r="WJS140" s="34"/>
      <c r="WJT140" s="34"/>
      <c r="WJU140" s="34"/>
      <c r="WJV140" s="34"/>
      <c r="WJW140" s="34"/>
      <c r="WJX140" s="34"/>
      <c r="WJY140" s="34"/>
      <c r="WJZ140" s="34"/>
      <c r="WKA140" s="34"/>
      <c r="WKB140" s="34"/>
      <c r="WKC140" s="34"/>
      <c r="WKD140" s="34"/>
      <c r="WKE140" s="34"/>
      <c r="WKF140" s="34"/>
      <c r="WKG140" s="34"/>
      <c r="WKH140" s="34"/>
      <c r="WKI140" s="34"/>
      <c r="WKJ140" s="34"/>
      <c r="WKK140" s="34"/>
      <c r="WKL140" s="34"/>
      <c r="WKM140" s="34"/>
      <c r="WKN140" s="34"/>
      <c r="WKO140" s="34"/>
      <c r="WKP140" s="34"/>
      <c r="WKQ140" s="34"/>
      <c r="WKR140" s="34"/>
      <c r="WKS140" s="34"/>
      <c r="WKT140" s="34"/>
      <c r="WKU140" s="34"/>
      <c r="WKV140" s="34"/>
      <c r="WKW140" s="34"/>
      <c r="WKX140" s="34"/>
      <c r="WKY140" s="34"/>
      <c r="WKZ140" s="34"/>
      <c r="WLA140" s="34"/>
      <c r="WLB140" s="34"/>
      <c r="WLC140" s="34"/>
      <c r="WLD140" s="34"/>
      <c r="WLE140" s="34"/>
      <c r="WLF140" s="34"/>
      <c r="WLG140" s="34"/>
      <c r="WLH140" s="34"/>
      <c r="WLI140" s="34"/>
      <c r="WLJ140" s="34"/>
      <c r="WLK140" s="34"/>
      <c r="WLL140" s="34"/>
      <c r="WLM140" s="34"/>
      <c r="WLN140" s="34"/>
      <c r="WLO140" s="34"/>
      <c r="WLP140" s="34"/>
      <c r="WLQ140" s="34"/>
      <c r="WLR140" s="34"/>
      <c r="WLS140" s="34"/>
      <c r="WLT140" s="34"/>
      <c r="WLU140" s="34"/>
      <c r="WLV140" s="34"/>
      <c r="WLW140" s="34"/>
      <c r="WLX140" s="34"/>
      <c r="WLY140" s="34"/>
      <c r="WLZ140" s="34"/>
      <c r="WMA140" s="34"/>
      <c r="WMB140" s="34"/>
      <c r="WMC140" s="34"/>
      <c r="WMD140" s="34"/>
      <c r="WME140" s="34"/>
      <c r="WMF140" s="34"/>
      <c r="WMG140" s="34"/>
      <c r="WMH140" s="34"/>
      <c r="WMI140" s="34"/>
      <c r="WMJ140" s="34"/>
      <c r="WMK140" s="34"/>
      <c r="WML140" s="34"/>
      <c r="WMM140" s="34"/>
      <c r="WMN140" s="34"/>
      <c r="WMO140" s="34"/>
      <c r="WMP140" s="34"/>
      <c r="WMQ140" s="34"/>
      <c r="WMR140" s="34"/>
      <c r="WMS140" s="34"/>
      <c r="WMT140" s="34"/>
      <c r="WMU140" s="34"/>
      <c r="WMV140" s="34"/>
      <c r="WMW140" s="34"/>
      <c r="WMX140" s="34"/>
      <c r="WMY140" s="34"/>
      <c r="WMZ140" s="34"/>
      <c r="WNA140" s="34"/>
      <c r="WNB140" s="34"/>
      <c r="WNC140" s="34"/>
      <c r="WND140" s="34"/>
      <c r="WNE140" s="34"/>
      <c r="WNF140" s="34"/>
      <c r="WNG140" s="34"/>
      <c r="WNH140" s="34"/>
      <c r="WNI140" s="34"/>
      <c r="WNJ140" s="34"/>
      <c r="WNK140" s="34"/>
      <c r="WNL140" s="34"/>
      <c r="WNM140" s="34"/>
      <c r="WNN140" s="34"/>
      <c r="WNO140" s="34"/>
      <c r="WNP140" s="34"/>
      <c r="WNQ140" s="34"/>
      <c r="WNR140" s="34"/>
      <c r="WNS140" s="34"/>
      <c r="WNT140" s="34"/>
      <c r="WNU140" s="34"/>
      <c r="WNV140" s="34"/>
      <c r="WNW140" s="34"/>
      <c r="WNX140" s="34"/>
      <c r="WNY140" s="34"/>
      <c r="WNZ140" s="34"/>
      <c r="WOA140" s="34"/>
      <c r="WOB140" s="34"/>
      <c r="WOC140" s="34"/>
      <c r="WOD140" s="34"/>
      <c r="WOE140" s="34"/>
      <c r="WOF140" s="34"/>
      <c r="WOG140" s="34"/>
      <c r="WOH140" s="34"/>
      <c r="WOI140" s="34"/>
      <c r="WOJ140" s="34"/>
      <c r="WOK140" s="34"/>
      <c r="WOL140" s="34"/>
      <c r="WOM140" s="34"/>
      <c r="WON140" s="34"/>
      <c r="WOO140" s="34"/>
      <c r="WOP140" s="34"/>
      <c r="WOQ140" s="34"/>
      <c r="WOR140" s="34"/>
      <c r="WOS140" s="34"/>
      <c r="WOT140" s="34"/>
      <c r="WOU140" s="34"/>
      <c r="WOV140" s="34"/>
      <c r="WOW140" s="34"/>
      <c r="WOX140" s="34"/>
      <c r="WOY140" s="34"/>
      <c r="WOZ140" s="34"/>
      <c r="WPA140" s="34"/>
      <c r="WPB140" s="34"/>
      <c r="WPC140" s="34"/>
      <c r="WPD140" s="34"/>
      <c r="WPE140" s="34"/>
      <c r="WPF140" s="34"/>
      <c r="WPG140" s="34"/>
      <c r="WPH140" s="34"/>
      <c r="WPI140" s="34"/>
      <c r="WPJ140" s="34"/>
      <c r="WPK140" s="34"/>
      <c r="WPL140" s="34"/>
      <c r="WPM140" s="34"/>
      <c r="WPN140" s="34"/>
      <c r="WPO140" s="34"/>
      <c r="WPP140" s="34"/>
      <c r="WPQ140" s="34"/>
      <c r="WPR140" s="34"/>
      <c r="WPS140" s="34"/>
      <c r="WPT140" s="34"/>
      <c r="WPU140" s="34"/>
      <c r="WPV140" s="34"/>
      <c r="WPW140" s="34"/>
      <c r="WPX140" s="34"/>
      <c r="WPY140" s="34"/>
      <c r="WPZ140" s="34"/>
      <c r="WQA140" s="34"/>
      <c r="WQB140" s="34"/>
      <c r="WQC140" s="34"/>
      <c r="WQD140" s="34"/>
      <c r="WQE140" s="34"/>
      <c r="WQF140" s="34"/>
      <c r="WQG140" s="34"/>
      <c r="WQH140" s="34"/>
      <c r="WQI140" s="34"/>
      <c r="WQJ140" s="34"/>
      <c r="WQK140" s="34"/>
      <c r="WQL140" s="34"/>
      <c r="WQM140" s="34"/>
      <c r="WQN140" s="34"/>
      <c r="WQO140" s="34"/>
      <c r="WQP140" s="34"/>
      <c r="WQQ140" s="34"/>
      <c r="WQR140" s="34"/>
      <c r="WQS140" s="34"/>
      <c r="WQT140" s="34"/>
      <c r="WQU140" s="34"/>
      <c r="WQV140" s="34"/>
      <c r="WQW140" s="34"/>
      <c r="WQX140" s="34"/>
      <c r="WQY140" s="34"/>
      <c r="WQZ140" s="34"/>
      <c r="WRA140" s="34"/>
      <c r="WRB140" s="34"/>
      <c r="WRC140" s="34"/>
      <c r="WRD140" s="34"/>
      <c r="WRE140" s="34"/>
      <c r="WRF140" s="34"/>
      <c r="WRG140" s="34"/>
      <c r="WRH140" s="34"/>
      <c r="WRI140" s="34"/>
      <c r="WRJ140" s="34"/>
      <c r="WRK140" s="34"/>
      <c r="WRL140" s="34"/>
      <c r="WRM140" s="34"/>
      <c r="WRN140" s="34"/>
      <c r="WRO140" s="34"/>
      <c r="WRP140" s="34"/>
      <c r="WRQ140" s="34"/>
      <c r="WRR140" s="34"/>
      <c r="WRS140" s="34"/>
      <c r="WRT140" s="34"/>
      <c r="WRU140" s="34"/>
      <c r="WRV140" s="34"/>
      <c r="WRW140" s="34"/>
      <c r="WRX140" s="34"/>
      <c r="WRY140" s="34"/>
      <c r="WRZ140" s="34"/>
      <c r="WSA140" s="34"/>
      <c r="WSB140" s="34"/>
      <c r="WSC140" s="34"/>
      <c r="WSD140" s="34"/>
      <c r="WSE140" s="34"/>
      <c r="WSF140" s="34"/>
      <c r="WSG140" s="34"/>
      <c r="WSH140" s="34"/>
      <c r="WSI140" s="34"/>
      <c r="WSJ140" s="34"/>
      <c r="WSK140" s="34"/>
      <c r="WSL140" s="34"/>
      <c r="WSM140" s="34"/>
      <c r="WSN140" s="34"/>
      <c r="WSO140" s="34"/>
      <c r="WSP140" s="34"/>
      <c r="WSQ140" s="34"/>
      <c r="WSR140" s="34"/>
      <c r="WSS140" s="34"/>
      <c r="WST140" s="34"/>
      <c r="WSU140" s="34"/>
      <c r="WSV140" s="34"/>
      <c r="WSW140" s="34"/>
      <c r="WSX140" s="34"/>
      <c r="WSY140" s="34"/>
      <c r="WSZ140" s="34"/>
      <c r="WTA140" s="34"/>
      <c r="WTB140" s="34"/>
      <c r="WTC140" s="34"/>
      <c r="WTD140" s="34"/>
      <c r="WTE140" s="34"/>
      <c r="WTF140" s="34"/>
      <c r="WTG140" s="34"/>
      <c r="WTH140" s="34"/>
      <c r="WTI140" s="34"/>
      <c r="WTJ140" s="34"/>
      <c r="WTK140" s="34"/>
      <c r="WTL140" s="34"/>
      <c r="WTM140" s="34"/>
      <c r="WTN140" s="34"/>
      <c r="WTO140" s="34"/>
      <c r="WTP140" s="34"/>
      <c r="WTQ140" s="34"/>
      <c r="WTR140" s="34"/>
      <c r="WTS140" s="34"/>
      <c r="WTT140" s="34"/>
      <c r="WTU140" s="34"/>
      <c r="WTV140" s="34"/>
      <c r="WTW140" s="34"/>
      <c r="WTX140" s="34"/>
      <c r="WTY140" s="34"/>
      <c r="WTZ140" s="34"/>
      <c r="WUA140" s="34"/>
      <c r="WUB140" s="34"/>
      <c r="WUC140" s="34"/>
      <c r="WUD140" s="34"/>
      <c r="WUE140" s="34"/>
      <c r="WUF140" s="34"/>
      <c r="WUG140" s="34"/>
      <c r="WUH140" s="34"/>
      <c r="WUI140" s="34"/>
      <c r="WUJ140" s="34"/>
      <c r="WUK140" s="34"/>
      <c r="WUL140" s="34"/>
      <c r="WUM140" s="34"/>
      <c r="WUN140" s="34"/>
      <c r="WUO140" s="34"/>
      <c r="WUP140" s="34"/>
      <c r="WUQ140" s="34"/>
      <c r="WUR140" s="34"/>
      <c r="WUS140" s="34"/>
      <c r="WUT140" s="34"/>
      <c r="WUU140" s="34"/>
      <c r="WUV140" s="34"/>
      <c r="WUW140" s="34"/>
      <c r="WUX140" s="34"/>
      <c r="WUY140" s="34"/>
      <c r="WUZ140" s="34"/>
      <c r="WVA140" s="34"/>
      <c r="WVB140" s="34"/>
      <c r="WVC140" s="34"/>
      <c r="WVD140" s="34"/>
      <c r="WVE140" s="34"/>
      <c r="WVF140" s="34"/>
      <c r="WVG140" s="34"/>
      <c r="WVH140" s="34"/>
      <c r="WVI140" s="34"/>
      <c r="WVJ140" s="34"/>
      <c r="WVK140" s="34"/>
      <c r="WVL140" s="34"/>
      <c r="WVM140" s="34"/>
      <c r="WVN140" s="34"/>
      <c r="WVO140" s="34"/>
      <c r="WVP140" s="34"/>
      <c r="WVQ140" s="34"/>
      <c r="WVR140" s="34"/>
      <c r="WVS140" s="34"/>
      <c r="WVT140" s="34"/>
      <c r="WVU140" s="34"/>
      <c r="WVV140" s="34"/>
      <c r="WVW140" s="34"/>
      <c r="WVX140" s="34"/>
      <c r="WVY140" s="34"/>
      <c r="WVZ140" s="34"/>
      <c r="WWA140" s="34"/>
      <c r="WWB140" s="34"/>
      <c r="WWC140" s="34"/>
      <c r="WWD140" s="34"/>
      <c r="WWE140" s="34"/>
      <c r="WWF140" s="34"/>
      <c r="WWG140" s="34"/>
      <c r="WWH140" s="34"/>
      <c r="WWI140" s="34"/>
      <c r="WWJ140" s="34"/>
      <c r="WWK140" s="34"/>
      <c r="WWL140" s="34"/>
      <c r="WWM140" s="34"/>
      <c r="WWN140" s="34"/>
      <c r="WWO140" s="34"/>
      <c r="WWP140" s="34"/>
      <c r="WWQ140" s="34"/>
      <c r="WWR140" s="34"/>
      <c r="WWS140" s="34"/>
      <c r="WWT140" s="34"/>
      <c r="WWU140" s="34"/>
      <c r="WWV140" s="34"/>
      <c r="WWW140" s="34"/>
      <c r="WWX140" s="34"/>
      <c r="WWY140" s="34"/>
      <c r="WWZ140" s="34"/>
      <c r="WXA140" s="34"/>
      <c r="WXB140" s="34"/>
      <c r="WXC140" s="34"/>
      <c r="WXD140" s="34"/>
      <c r="WXE140" s="34"/>
      <c r="WXF140" s="34"/>
      <c r="WXG140" s="34"/>
      <c r="WXH140" s="34"/>
      <c r="WXI140" s="34"/>
      <c r="WXJ140" s="34"/>
      <c r="WXK140" s="34"/>
      <c r="WXL140" s="34"/>
      <c r="WXM140" s="34"/>
      <c r="WXN140" s="34"/>
      <c r="WXO140" s="34"/>
      <c r="WXP140" s="34"/>
      <c r="WXQ140" s="34"/>
      <c r="WXR140" s="34"/>
      <c r="WXS140" s="34"/>
      <c r="WXT140" s="34"/>
      <c r="WXU140" s="34"/>
      <c r="WXV140" s="34"/>
      <c r="WXW140" s="34"/>
      <c r="WXX140" s="34"/>
      <c r="WXY140" s="34"/>
      <c r="WXZ140" s="34"/>
      <c r="WYA140" s="34"/>
      <c r="WYB140" s="34"/>
      <c r="WYC140" s="34"/>
      <c r="WYD140" s="34"/>
      <c r="WYE140" s="34"/>
      <c r="WYF140" s="34"/>
      <c r="WYG140" s="34"/>
      <c r="WYH140" s="34"/>
      <c r="WYI140" s="34"/>
      <c r="WYJ140" s="34"/>
      <c r="WYK140" s="34"/>
      <c r="WYL140" s="34"/>
      <c r="WYM140" s="34"/>
      <c r="WYN140" s="34"/>
      <c r="WYO140" s="34"/>
      <c r="WYP140" s="34"/>
      <c r="WYQ140" s="34"/>
      <c r="WYR140" s="34"/>
      <c r="WYS140" s="34"/>
      <c r="WYT140" s="34"/>
      <c r="WYU140" s="34"/>
      <c r="WYV140" s="34"/>
      <c r="WYW140" s="34"/>
      <c r="WYX140" s="34"/>
      <c r="WYY140" s="34"/>
      <c r="WYZ140" s="34"/>
      <c r="WZA140" s="34"/>
      <c r="WZB140" s="34"/>
      <c r="WZC140" s="34"/>
      <c r="WZD140" s="34"/>
      <c r="WZE140" s="34"/>
      <c r="WZF140" s="34"/>
      <c r="WZG140" s="34"/>
      <c r="WZH140" s="34"/>
      <c r="WZI140" s="34"/>
      <c r="WZJ140" s="34"/>
      <c r="WZK140" s="34"/>
      <c r="WZL140" s="34"/>
      <c r="WZM140" s="34"/>
      <c r="WZN140" s="34"/>
      <c r="WZO140" s="34"/>
      <c r="WZP140" s="34"/>
      <c r="WZQ140" s="34"/>
      <c r="WZR140" s="34"/>
      <c r="WZS140" s="34"/>
      <c r="WZT140" s="34"/>
      <c r="WZU140" s="34"/>
      <c r="WZV140" s="34"/>
      <c r="WZW140" s="34"/>
      <c r="WZX140" s="34"/>
      <c r="WZY140" s="34"/>
      <c r="WZZ140" s="34"/>
      <c r="XAA140" s="34"/>
      <c r="XAB140" s="34"/>
      <c r="XAC140" s="34"/>
      <c r="XAD140" s="34"/>
      <c r="XAE140" s="34"/>
      <c r="XAF140" s="34"/>
      <c r="XAG140" s="34"/>
      <c r="XAH140" s="34"/>
      <c r="XAI140" s="34"/>
      <c r="XAJ140" s="34"/>
      <c r="XAK140" s="34"/>
      <c r="XAL140" s="34"/>
      <c r="XAM140" s="34"/>
      <c r="XAN140" s="34"/>
      <c r="XAO140" s="34"/>
      <c r="XAP140" s="34"/>
      <c r="XAQ140" s="34"/>
      <c r="XAR140" s="34"/>
      <c r="XAS140" s="34"/>
      <c r="XAT140" s="34"/>
      <c r="XAU140" s="34"/>
      <c r="XAV140" s="34"/>
      <c r="XAW140" s="34"/>
      <c r="XAX140" s="34"/>
      <c r="XAY140" s="34"/>
      <c r="XAZ140" s="34"/>
      <c r="XBA140" s="34"/>
      <c r="XBB140" s="34"/>
      <c r="XBC140" s="34"/>
      <c r="XBD140" s="34"/>
      <c r="XBE140" s="34"/>
      <c r="XBF140" s="34"/>
      <c r="XBG140" s="34"/>
      <c r="XBH140" s="34"/>
      <c r="XBI140" s="34"/>
      <c r="XBJ140" s="34"/>
      <c r="XBK140" s="34"/>
      <c r="XBL140" s="34"/>
      <c r="XBM140" s="34"/>
      <c r="XBN140" s="34"/>
      <c r="XBO140" s="34"/>
      <c r="XBP140" s="34"/>
      <c r="XBQ140" s="34"/>
      <c r="XBR140" s="34"/>
      <c r="XBS140" s="34"/>
      <c r="XBT140" s="34"/>
      <c r="XBU140" s="34"/>
      <c r="XBV140" s="34"/>
      <c r="XBW140" s="34"/>
      <c r="XBX140" s="34"/>
      <c r="XBY140" s="34"/>
      <c r="XBZ140" s="34"/>
      <c r="XCA140" s="34"/>
      <c r="XCB140" s="34"/>
      <c r="XCC140" s="34"/>
      <c r="XCD140" s="34"/>
      <c r="XCE140" s="34"/>
      <c r="XCF140" s="34"/>
      <c r="XCG140" s="34"/>
      <c r="XCH140" s="34"/>
      <c r="XCI140" s="34"/>
      <c r="XCJ140" s="34"/>
      <c r="XCK140" s="34"/>
      <c r="XCL140" s="34"/>
      <c r="XCM140" s="34"/>
      <c r="XCN140" s="34"/>
      <c r="XCO140" s="34"/>
      <c r="XCP140" s="34"/>
      <c r="XCQ140" s="34"/>
      <c r="XCR140" s="34"/>
      <c r="XCS140" s="34"/>
      <c r="XCT140" s="34"/>
      <c r="XCU140" s="34"/>
      <c r="XCV140" s="34"/>
      <c r="XCW140" s="34"/>
      <c r="XCX140" s="34"/>
      <c r="XCY140" s="34"/>
      <c r="XCZ140" s="34"/>
      <c r="XDA140" s="34"/>
      <c r="XDB140" s="34"/>
      <c r="XDC140" s="34"/>
      <c r="XDD140" s="34"/>
      <c r="XDE140" s="34"/>
      <c r="XDF140" s="34"/>
      <c r="XDG140" s="34"/>
      <c r="XDH140" s="34"/>
      <c r="XDI140" s="34"/>
      <c r="XDJ140" s="34"/>
      <c r="XDK140" s="34"/>
      <c r="XDL140" s="34"/>
      <c r="XDM140" s="34"/>
      <c r="XDN140" s="34"/>
      <c r="XDO140" s="34"/>
      <c r="XDP140" s="34"/>
      <c r="XDQ140" s="34"/>
      <c r="XDR140" s="34"/>
      <c r="XDS140" s="34"/>
      <c r="XDT140" s="34"/>
      <c r="XDU140" s="34"/>
      <c r="XDV140" s="34"/>
      <c r="XDW140" s="34"/>
      <c r="XDX140" s="34"/>
      <c r="XDY140" s="34"/>
      <c r="XDZ140" s="34"/>
      <c r="XEA140" s="34"/>
      <c r="XEB140" s="34"/>
      <c r="XEC140" s="34"/>
      <c r="XED140" s="34"/>
      <c r="XEE140" s="34"/>
      <c r="XEF140" s="34"/>
      <c r="XEG140" s="34"/>
      <c r="XEH140" s="34"/>
      <c r="XEI140" s="34"/>
      <c r="XEJ140" s="34"/>
      <c r="XEK140" s="34"/>
      <c r="XEL140" s="34"/>
      <c r="XEM140" s="34"/>
      <c r="XEN140" s="34"/>
      <c r="XEO140" s="34"/>
      <c r="XEP140" s="34"/>
      <c r="XEQ140" s="34"/>
      <c r="XER140" s="34"/>
      <c r="XES140" s="34"/>
      <c r="XET140" s="34"/>
      <c r="XEU140" s="34"/>
      <c r="XEV140" s="34"/>
      <c r="XEW140" s="34"/>
      <c r="XEX140" s="34"/>
      <c r="XEY140" s="34"/>
      <c r="XEZ140" s="34"/>
      <c r="XFA140" s="34"/>
      <c r="XFB140" s="34"/>
      <c r="XFC140" s="34"/>
      <c r="XFD140" s="34"/>
    </row>
    <row r="141" spans="1:16384" s="409" customFormat="1" ht="18" customHeight="1" thickBot="1">
      <c r="A141" s="2237"/>
      <c r="B141" s="2231" t="s">
        <v>1420</v>
      </c>
      <c r="C141" s="2231"/>
      <c r="D141" s="2231"/>
      <c r="E141" s="2232"/>
      <c r="F141" s="2061">
        <f>SUM(F137:F140)</f>
        <v>0</v>
      </c>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c r="IW141" s="34"/>
      <c r="IX141" s="34"/>
      <c r="IY141" s="34"/>
      <c r="IZ141" s="34"/>
      <c r="JA141" s="34"/>
      <c r="JB141" s="34"/>
      <c r="JC141" s="34"/>
      <c r="JD141" s="34"/>
      <c r="JE141" s="34"/>
      <c r="JF141" s="34"/>
      <c r="JG141" s="34"/>
      <c r="JH141" s="34"/>
      <c r="JI141" s="34"/>
      <c r="JJ141" s="34"/>
      <c r="JK141" s="34"/>
      <c r="JL141" s="34"/>
      <c r="JM141" s="34"/>
      <c r="JN141" s="34"/>
      <c r="JO141" s="34"/>
      <c r="JP141" s="34"/>
      <c r="JQ141" s="34"/>
      <c r="JR141" s="34"/>
      <c r="JS141" s="34"/>
      <c r="JT141" s="34"/>
      <c r="JU141" s="34"/>
      <c r="JV141" s="34"/>
      <c r="JW141" s="34"/>
      <c r="JX141" s="34"/>
      <c r="JY141" s="34"/>
      <c r="JZ141" s="34"/>
      <c r="KA141" s="34"/>
      <c r="KB141" s="34"/>
      <c r="KC141" s="34"/>
      <c r="KD141" s="34"/>
      <c r="KE141" s="34"/>
      <c r="KF141" s="34"/>
      <c r="KG141" s="34"/>
      <c r="KH141" s="34"/>
      <c r="KI141" s="34"/>
      <c r="KJ141" s="34"/>
      <c r="KK141" s="34"/>
      <c r="KL141" s="34"/>
      <c r="KM141" s="34"/>
      <c r="KN141" s="34"/>
      <c r="KO141" s="34"/>
      <c r="KP141" s="34"/>
      <c r="KQ141" s="34"/>
      <c r="KR141" s="34"/>
      <c r="KS141" s="34"/>
      <c r="KT141" s="34"/>
      <c r="KU141" s="34"/>
      <c r="KV141" s="34"/>
      <c r="KW141" s="34"/>
      <c r="KX141" s="34"/>
      <c r="KY141" s="34"/>
      <c r="KZ141" s="34"/>
      <c r="LA141" s="34"/>
      <c r="LB141" s="34"/>
      <c r="LC141" s="34"/>
      <c r="LD141" s="34"/>
      <c r="LE141" s="34"/>
      <c r="LF141" s="34"/>
      <c r="LG141" s="34"/>
      <c r="LH141" s="34"/>
      <c r="LI141" s="34"/>
      <c r="LJ141" s="34"/>
      <c r="LK141" s="34"/>
      <c r="LL141" s="34"/>
      <c r="LM141" s="34"/>
      <c r="LN141" s="34"/>
      <c r="LO141" s="34"/>
      <c r="LP141" s="34"/>
      <c r="LQ141" s="34"/>
      <c r="LR141" s="34"/>
      <c r="LS141" s="34"/>
      <c r="LT141" s="34"/>
      <c r="LU141" s="34"/>
      <c r="LV141" s="34"/>
      <c r="LW141" s="34"/>
      <c r="LX141" s="34"/>
      <c r="LY141" s="34"/>
      <c r="LZ141" s="34"/>
      <c r="MA141" s="34"/>
      <c r="MB141" s="34"/>
      <c r="MC141" s="34"/>
      <c r="MD141" s="34"/>
      <c r="ME141" s="34"/>
      <c r="MF141" s="34"/>
      <c r="MG141" s="34"/>
      <c r="MH141" s="34"/>
      <c r="MI141" s="34"/>
      <c r="MJ141" s="34"/>
      <c r="MK141" s="34"/>
      <c r="ML141" s="34"/>
      <c r="MM141" s="34"/>
      <c r="MN141" s="34"/>
      <c r="MO141" s="34"/>
      <c r="MP141" s="34"/>
      <c r="MQ141" s="34"/>
      <c r="MR141" s="34"/>
      <c r="MS141" s="34"/>
      <c r="MT141" s="34"/>
      <c r="MU141" s="34"/>
      <c r="MV141" s="34"/>
      <c r="MW141" s="34"/>
      <c r="MX141" s="34"/>
      <c r="MY141" s="34"/>
      <c r="MZ141" s="34"/>
      <c r="NA141" s="34"/>
      <c r="NB141" s="34"/>
      <c r="NC141" s="34"/>
      <c r="ND141" s="34"/>
      <c r="NE141" s="34"/>
      <c r="NF141" s="34"/>
      <c r="NG141" s="34"/>
      <c r="NH141" s="34"/>
      <c r="NI141" s="34"/>
      <c r="NJ141" s="34"/>
      <c r="NK141" s="34"/>
      <c r="NL141" s="34"/>
      <c r="NM141" s="34"/>
      <c r="NN141" s="34"/>
      <c r="NO141" s="34"/>
      <c r="NP141" s="34"/>
      <c r="NQ141" s="34"/>
      <c r="NR141" s="34"/>
      <c r="NS141" s="34"/>
      <c r="NT141" s="34"/>
      <c r="NU141" s="34"/>
      <c r="NV141" s="34"/>
      <c r="NW141" s="34"/>
      <c r="NX141" s="34"/>
      <c r="NY141" s="34"/>
      <c r="NZ141" s="34"/>
      <c r="OA141" s="34"/>
      <c r="OB141" s="34"/>
      <c r="OC141" s="34"/>
      <c r="OD141" s="34"/>
      <c r="OE141" s="34"/>
      <c r="OF141" s="34"/>
      <c r="OG141" s="34"/>
      <c r="OH141" s="34"/>
      <c r="OI141" s="34"/>
      <c r="OJ141" s="34"/>
      <c r="OK141" s="34"/>
      <c r="OL141" s="34"/>
      <c r="OM141" s="34"/>
      <c r="ON141" s="34"/>
      <c r="OO141" s="34"/>
      <c r="OP141" s="34"/>
      <c r="OQ141" s="34"/>
      <c r="OR141" s="34"/>
      <c r="OS141" s="34"/>
      <c r="OT141" s="34"/>
      <c r="OU141" s="34"/>
      <c r="OV141" s="34"/>
      <c r="OW141" s="34"/>
      <c r="OX141" s="34"/>
      <c r="OY141" s="34"/>
      <c r="OZ141" s="34"/>
      <c r="PA141" s="34"/>
      <c r="PB141" s="34"/>
      <c r="PC141" s="34"/>
      <c r="PD141" s="34"/>
      <c r="PE141" s="34"/>
      <c r="PF141" s="34"/>
      <c r="PG141" s="34"/>
      <c r="PH141" s="34"/>
      <c r="PI141" s="34"/>
      <c r="PJ141" s="34"/>
      <c r="PK141" s="34"/>
      <c r="PL141" s="34"/>
      <c r="PM141" s="34"/>
      <c r="PN141" s="34"/>
      <c r="PO141" s="34"/>
      <c r="PP141" s="34"/>
      <c r="PQ141" s="34"/>
      <c r="PR141" s="34"/>
      <c r="PS141" s="34"/>
      <c r="PT141" s="34"/>
      <c r="PU141" s="34"/>
      <c r="PV141" s="34"/>
      <c r="PW141" s="34"/>
      <c r="PX141" s="34"/>
      <c r="PY141" s="34"/>
      <c r="PZ141" s="34"/>
      <c r="QA141" s="34"/>
      <c r="QB141" s="34"/>
      <c r="QC141" s="34"/>
      <c r="QD141" s="34"/>
      <c r="QE141" s="34"/>
      <c r="QF141" s="34"/>
      <c r="QG141" s="34"/>
      <c r="QH141" s="34"/>
      <c r="QI141" s="34"/>
      <c r="QJ141" s="34"/>
      <c r="QK141" s="34"/>
      <c r="QL141" s="34"/>
      <c r="QM141" s="34"/>
      <c r="QN141" s="34"/>
      <c r="QO141" s="34"/>
      <c r="QP141" s="34"/>
      <c r="QQ141" s="34"/>
      <c r="QR141" s="34"/>
      <c r="QS141" s="34"/>
      <c r="QT141" s="34"/>
      <c r="QU141" s="34"/>
      <c r="QV141" s="34"/>
      <c r="QW141" s="34"/>
      <c r="QX141" s="34"/>
      <c r="QY141" s="34"/>
      <c r="QZ141" s="34"/>
      <c r="RA141" s="34"/>
      <c r="RB141" s="34"/>
      <c r="RC141" s="34"/>
      <c r="RD141" s="34"/>
      <c r="RE141" s="34"/>
      <c r="RF141" s="34"/>
      <c r="RG141" s="34"/>
      <c r="RH141" s="34"/>
      <c r="RI141" s="34"/>
      <c r="RJ141" s="34"/>
      <c r="RK141" s="34"/>
      <c r="RL141" s="34"/>
      <c r="RM141" s="34"/>
      <c r="RN141" s="34"/>
      <c r="RO141" s="34"/>
      <c r="RP141" s="34"/>
      <c r="RQ141" s="34"/>
      <c r="RR141" s="34"/>
      <c r="RS141" s="34"/>
      <c r="RT141" s="34"/>
      <c r="RU141" s="34"/>
      <c r="RV141" s="34"/>
      <c r="RW141" s="34"/>
      <c r="RX141" s="34"/>
      <c r="RY141" s="34"/>
      <c r="RZ141" s="34"/>
      <c r="SA141" s="34"/>
      <c r="SB141" s="34"/>
      <c r="SC141" s="34"/>
      <c r="SD141" s="34"/>
      <c r="SE141" s="34"/>
      <c r="SF141" s="34"/>
      <c r="SG141" s="34"/>
      <c r="SH141" s="34"/>
      <c r="SI141" s="34"/>
      <c r="SJ141" s="34"/>
      <c r="SK141" s="34"/>
      <c r="SL141" s="34"/>
      <c r="SM141" s="34"/>
      <c r="SN141" s="34"/>
      <c r="SO141" s="34"/>
      <c r="SP141" s="34"/>
      <c r="SQ141" s="34"/>
      <c r="SR141" s="34"/>
      <c r="SS141" s="34"/>
      <c r="ST141" s="34"/>
      <c r="SU141" s="34"/>
      <c r="SV141" s="34"/>
      <c r="SW141" s="34"/>
      <c r="SX141" s="34"/>
      <c r="SY141" s="34"/>
      <c r="SZ141" s="34"/>
      <c r="TA141" s="34"/>
      <c r="TB141" s="34"/>
      <c r="TC141" s="34"/>
      <c r="TD141" s="34"/>
      <c r="TE141" s="34"/>
      <c r="TF141" s="34"/>
      <c r="TG141" s="34"/>
      <c r="TH141" s="34"/>
      <c r="TI141" s="34"/>
      <c r="TJ141" s="34"/>
      <c r="TK141" s="34"/>
      <c r="TL141" s="34"/>
      <c r="TM141" s="34"/>
      <c r="TN141" s="34"/>
      <c r="TO141" s="34"/>
      <c r="TP141" s="34"/>
      <c r="TQ141" s="34"/>
      <c r="TR141" s="34"/>
      <c r="TS141" s="34"/>
      <c r="TT141" s="34"/>
      <c r="TU141" s="34"/>
      <c r="TV141" s="34"/>
      <c r="TW141" s="34"/>
      <c r="TX141" s="34"/>
      <c r="TY141" s="34"/>
      <c r="TZ141" s="34"/>
      <c r="UA141" s="34"/>
      <c r="UB141" s="34"/>
      <c r="UC141" s="34"/>
      <c r="UD141" s="34"/>
      <c r="UE141" s="34"/>
      <c r="UF141" s="34"/>
      <c r="UG141" s="34"/>
      <c r="UH141" s="34"/>
      <c r="UI141" s="34"/>
      <c r="UJ141" s="34"/>
      <c r="UK141" s="34"/>
      <c r="UL141" s="34"/>
      <c r="UM141" s="34"/>
      <c r="UN141" s="34"/>
      <c r="UO141" s="34"/>
      <c r="UP141" s="34"/>
      <c r="UQ141" s="34"/>
      <c r="UR141" s="34"/>
      <c r="US141" s="34"/>
      <c r="UT141" s="34"/>
      <c r="UU141" s="34"/>
      <c r="UV141" s="34"/>
      <c r="UW141" s="34"/>
      <c r="UX141" s="34"/>
      <c r="UY141" s="34"/>
      <c r="UZ141" s="34"/>
      <c r="VA141" s="34"/>
      <c r="VB141" s="34"/>
      <c r="VC141" s="34"/>
      <c r="VD141" s="34"/>
      <c r="VE141" s="34"/>
      <c r="VF141" s="34"/>
      <c r="VG141" s="34"/>
      <c r="VH141" s="34"/>
      <c r="VI141" s="34"/>
      <c r="VJ141" s="34"/>
      <c r="VK141" s="34"/>
      <c r="VL141" s="34"/>
      <c r="VM141" s="34"/>
      <c r="VN141" s="34"/>
      <c r="VO141" s="34"/>
      <c r="VP141" s="34"/>
      <c r="VQ141" s="34"/>
      <c r="VR141" s="34"/>
      <c r="VS141" s="34"/>
      <c r="VT141" s="34"/>
      <c r="VU141" s="34"/>
      <c r="VV141" s="34"/>
      <c r="VW141" s="34"/>
      <c r="VX141" s="34"/>
      <c r="VY141" s="34"/>
      <c r="VZ141" s="34"/>
      <c r="WA141" s="34"/>
      <c r="WB141" s="34"/>
      <c r="WC141" s="34"/>
      <c r="WD141" s="34"/>
      <c r="WE141" s="34"/>
      <c r="WF141" s="34"/>
      <c r="WG141" s="34"/>
      <c r="WH141" s="34"/>
      <c r="WI141" s="34"/>
      <c r="WJ141" s="34"/>
      <c r="WK141" s="34"/>
      <c r="WL141" s="34"/>
      <c r="WM141" s="34"/>
      <c r="WN141" s="34"/>
      <c r="WO141" s="34"/>
      <c r="WP141" s="34"/>
      <c r="WQ141" s="34"/>
      <c r="WR141" s="34"/>
      <c r="WS141" s="34"/>
      <c r="WT141" s="34"/>
      <c r="WU141" s="34"/>
      <c r="WV141" s="34"/>
      <c r="WW141" s="34"/>
      <c r="WX141" s="34"/>
      <c r="WY141" s="34"/>
      <c r="WZ141" s="34"/>
      <c r="XA141" s="34"/>
      <c r="XB141" s="34"/>
      <c r="XC141" s="34"/>
      <c r="XD141" s="34"/>
      <c r="XE141" s="34"/>
      <c r="XF141" s="34"/>
      <c r="XG141" s="34"/>
      <c r="XH141" s="34"/>
      <c r="XI141" s="34"/>
      <c r="XJ141" s="34"/>
      <c r="XK141" s="34"/>
      <c r="XL141" s="34"/>
      <c r="XM141" s="34"/>
      <c r="XN141" s="34"/>
      <c r="XO141" s="34"/>
      <c r="XP141" s="34"/>
      <c r="XQ141" s="34"/>
      <c r="XR141" s="34"/>
      <c r="XS141" s="34"/>
      <c r="XT141" s="34"/>
      <c r="XU141" s="34"/>
      <c r="XV141" s="34"/>
      <c r="XW141" s="34"/>
      <c r="XX141" s="34"/>
      <c r="XY141" s="34"/>
      <c r="XZ141" s="34"/>
      <c r="YA141" s="34"/>
      <c r="YB141" s="34"/>
      <c r="YC141" s="34"/>
      <c r="YD141" s="34"/>
      <c r="YE141" s="34"/>
      <c r="YF141" s="34"/>
      <c r="YG141" s="34"/>
      <c r="YH141" s="34"/>
      <c r="YI141" s="34"/>
      <c r="YJ141" s="34"/>
      <c r="YK141" s="34"/>
      <c r="YL141" s="34"/>
      <c r="YM141" s="34"/>
      <c r="YN141" s="34"/>
      <c r="YO141" s="34"/>
      <c r="YP141" s="34"/>
      <c r="YQ141" s="34"/>
      <c r="YR141" s="34"/>
      <c r="YS141" s="34"/>
      <c r="YT141" s="34"/>
      <c r="YU141" s="34"/>
      <c r="YV141" s="34"/>
      <c r="YW141" s="34"/>
      <c r="YX141" s="34"/>
      <c r="YY141" s="34"/>
      <c r="YZ141" s="34"/>
      <c r="ZA141" s="34"/>
      <c r="ZB141" s="34"/>
      <c r="ZC141" s="34"/>
      <c r="ZD141" s="34"/>
      <c r="ZE141" s="34"/>
      <c r="ZF141" s="34"/>
      <c r="ZG141" s="34"/>
      <c r="ZH141" s="34"/>
      <c r="ZI141" s="34"/>
      <c r="ZJ141" s="34"/>
      <c r="ZK141" s="34"/>
      <c r="ZL141" s="34"/>
      <c r="ZM141" s="34"/>
      <c r="ZN141" s="34"/>
      <c r="ZO141" s="34"/>
      <c r="ZP141" s="34"/>
      <c r="ZQ141" s="34"/>
      <c r="ZR141" s="34"/>
      <c r="ZS141" s="34"/>
      <c r="ZT141" s="34"/>
      <c r="ZU141" s="34"/>
      <c r="ZV141" s="34"/>
      <c r="ZW141" s="34"/>
      <c r="ZX141" s="34"/>
      <c r="ZY141" s="34"/>
      <c r="ZZ141" s="34"/>
      <c r="AAA141" s="34"/>
      <c r="AAB141" s="34"/>
      <c r="AAC141" s="34"/>
      <c r="AAD141" s="34"/>
      <c r="AAE141" s="34"/>
      <c r="AAF141" s="34"/>
      <c r="AAG141" s="34"/>
      <c r="AAH141" s="34"/>
      <c r="AAI141" s="34"/>
      <c r="AAJ141" s="34"/>
      <c r="AAK141" s="34"/>
      <c r="AAL141" s="34"/>
      <c r="AAM141" s="34"/>
      <c r="AAN141" s="34"/>
      <c r="AAO141" s="34"/>
      <c r="AAP141" s="34"/>
      <c r="AAQ141" s="34"/>
      <c r="AAR141" s="34"/>
      <c r="AAS141" s="34"/>
      <c r="AAT141" s="34"/>
      <c r="AAU141" s="34"/>
      <c r="AAV141" s="34"/>
      <c r="AAW141" s="34"/>
      <c r="AAX141" s="34"/>
      <c r="AAY141" s="34"/>
      <c r="AAZ141" s="34"/>
      <c r="ABA141" s="34"/>
      <c r="ABB141" s="34"/>
      <c r="ABC141" s="34"/>
      <c r="ABD141" s="34"/>
      <c r="ABE141" s="34"/>
      <c r="ABF141" s="34"/>
      <c r="ABG141" s="34"/>
      <c r="ABH141" s="34"/>
      <c r="ABI141" s="34"/>
      <c r="ABJ141" s="34"/>
      <c r="ABK141" s="34"/>
      <c r="ABL141" s="34"/>
      <c r="ABM141" s="34"/>
      <c r="ABN141" s="34"/>
      <c r="ABO141" s="34"/>
      <c r="ABP141" s="34"/>
      <c r="ABQ141" s="34"/>
      <c r="ABR141" s="34"/>
      <c r="ABS141" s="34"/>
      <c r="ABT141" s="34"/>
      <c r="ABU141" s="34"/>
      <c r="ABV141" s="34"/>
      <c r="ABW141" s="34"/>
      <c r="ABX141" s="34"/>
      <c r="ABY141" s="34"/>
      <c r="ABZ141" s="34"/>
      <c r="ACA141" s="34"/>
      <c r="ACB141" s="34"/>
      <c r="ACC141" s="34"/>
      <c r="ACD141" s="34"/>
      <c r="ACE141" s="34"/>
      <c r="ACF141" s="34"/>
      <c r="ACG141" s="34"/>
      <c r="ACH141" s="34"/>
      <c r="ACI141" s="34"/>
      <c r="ACJ141" s="34"/>
      <c r="ACK141" s="34"/>
      <c r="ACL141" s="34"/>
      <c r="ACM141" s="34"/>
      <c r="ACN141" s="34"/>
      <c r="ACO141" s="34"/>
      <c r="ACP141" s="34"/>
      <c r="ACQ141" s="34"/>
      <c r="ACR141" s="34"/>
      <c r="ACS141" s="34"/>
      <c r="ACT141" s="34"/>
      <c r="ACU141" s="34"/>
      <c r="ACV141" s="34"/>
      <c r="ACW141" s="34"/>
      <c r="ACX141" s="34"/>
      <c r="ACY141" s="34"/>
      <c r="ACZ141" s="34"/>
      <c r="ADA141" s="34"/>
      <c r="ADB141" s="34"/>
      <c r="ADC141" s="34"/>
      <c r="ADD141" s="34"/>
      <c r="ADE141" s="34"/>
      <c r="ADF141" s="34"/>
      <c r="ADG141" s="34"/>
      <c r="ADH141" s="34"/>
      <c r="ADI141" s="34"/>
      <c r="ADJ141" s="34"/>
      <c r="ADK141" s="34"/>
      <c r="ADL141" s="34"/>
      <c r="ADM141" s="34"/>
      <c r="ADN141" s="34"/>
      <c r="ADO141" s="34"/>
      <c r="ADP141" s="34"/>
      <c r="ADQ141" s="34"/>
      <c r="ADR141" s="34"/>
      <c r="ADS141" s="34"/>
      <c r="ADT141" s="34"/>
      <c r="ADU141" s="34"/>
      <c r="ADV141" s="34"/>
      <c r="ADW141" s="34"/>
      <c r="ADX141" s="34"/>
      <c r="ADY141" s="34"/>
      <c r="ADZ141" s="34"/>
      <c r="AEA141" s="34"/>
      <c r="AEB141" s="34"/>
      <c r="AEC141" s="34"/>
      <c r="AED141" s="34"/>
      <c r="AEE141" s="34"/>
      <c r="AEF141" s="34"/>
      <c r="AEG141" s="34"/>
      <c r="AEH141" s="34"/>
      <c r="AEI141" s="34"/>
      <c r="AEJ141" s="34"/>
      <c r="AEK141" s="34"/>
      <c r="AEL141" s="34"/>
      <c r="AEM141" s="34"/>
      <c r="AEN141" s="34"/>
      <c r="AEO141" s="34"/>
      <c r="AEP141" s="34"/>
      <c r="AEQ141" s="34"/>
      <c r="AER141" s="34"/>
      <c r="AES141" s="34"/>
      <c r="AET141" s="34"/>
      <c r="AEU141" s="34"/>
      <c r="AEV141" s="34"/>
      <c r="AEW141" s="34"/>
      <c r="AEX141" s="34"/>
      <c r="AEY141" s="34"/>
      <c r="AEZ141" s="34"/>
      <c r="AFA141" s="34"/>
      <c r="AFB141" s="34"/>
      <c r="AFC141" s="34"/>
      <c r="AFD141" s="34"/>
      <c r="AFE141" s="34"/>
      <c r="AFF141" s="34"/>
      <c r="AFG141" s="34"/>
      <c r="AFH141" s="34"/>
      <c r="AFI141" s="34"/>
      <c r="AFJ141" s="34"/>
      <c r="AFK141" s="34"/>
      <c r="AFL141" s="34"/>
      <c r="AFM141" s="34"/>
      <c r="AFN141" s="34"/>
      <c r="AFO141" s="34"/>
      <c r="AFP141" s="34"/>
      <c r="AFQ141" s="34"/>
      <c r="AFR141" s="34"/>
      <c r="AFS141" s="34"/>
      <c r="AFT141" s="34"/>
      <c r="AFU141" s="34"/>
      <c r="AFV141" s="34"/>
      <c r="AFW141" s="34"/>
      <c r="AFX141" s="34"/>
      <c r="AFY141" s="34"/>
      <c r="AFZ141" s="34"/>
      <c r="AGA141" s="34"/>
      <c r="AGB141" s="34"/>
      <c r="AGC141" s="34"/>
      <c r="AGD141" s="34"/>
      <c r="AGE141" s="34"/>
      <c r="AGF141" s="34"/>
      <c r="AGG141" s="34"/>
      <c r="AGH141" s="34"/>
      <c r="AGI141" s="34"/>
      <c r="AGJ141" s="34"/>
      <c r="AGK141" s="34"/>
      <c r="AGL141" s="34"/>
      <c r="AGM141" s="34"/>
      <c r="AGN141" s="34"/>
      <c r="AGO141" s="34"/>
      <c r="AGP141" s="34"/>
      <c r="AGQ141" s="34"/>
      <c r="AGR141" s="34"/>
      <c r="AGS141" s="34"/>
      <c r="AGT141" s="34"/>
      <c r="AGU141" s="34"/>
      <c r="AGV141" s="34"/>
      <c r="AGW141" s="34"/>
      <c r="AGX141" s="34"/>
      <c r="AGY141" s="34"/>
      <c r="AGZ141" s="34"/>
      <c r="AHA141" s="34"/>
      <c r="AHB141" s="34"/>
      <c r="AHC141" s="34"/>
      <c r="AHD141" s="34"/>
      <c r="AHE141" s="34"/>
      <c r="AHF141" s="34"/>
      <c r="AHG141" s="34"/>
      <c r="AHH141" s="34"/>
      <c r="AHI141" s="34"/>
      <c r="AHJ141" s="34"/>
      <c r="AHK141" s="34"/>
      <c r="AHL141" s="34"/>
      <c r="AHM141" s="34"/>
      <c r="AHN141" s="34"/>
      <c r="AHO141" s="34"/>
      <c r="AHP141" s="34"/>
      <c r="AHQ141" s="34"/>
      <c r="AHR141" s="34"/>
      <c r="AHS141" s="34"/>
      <c r="AHT141" s="34"/>
      <c r="AHU141" s="34"/>
      <c r="AHV141" s="34"/>
      <c r="AHW141" s="34"/>
      <c r="AHX141" s="34"/>
      <c r="AHY141" s="34"/>
      <c r="AHZ141" s="34"/>
      <c r="AIA141" s="34"/>
      <c r="AIB141" s="34"/>
      <c r="AIC141" s="34"/>
      <c r="AID141" s="34"/>
      <c r="AIE141" s="34"/>
      <c r="AIF141" s="34"/>
      <c r="AIG141" s="34"/>
      <c r="AIH141" s="34"/>
      <c r="AII141" s="34"/>
      <c r="AIJ141" s="34"/>
      <c r="AIK141" s="34"/>
      <c r="AIL141" s="34"/>
      <c r="AIM141" s="34"/>
      <c r="AIN141" s="34"/>
      <c r="AIO141" s="34"/>
      <c r="AIP141" s="34"/>
      <c r="AIQ141" s="34"/>
      <c r="AIR141" s="34"/>
      <c r="AIS141" s="34"/>
      <c r="AIT141" s="34"/>
      <c r="AIU141" s="34"/>
      <c r="AIV141" s="34"/>
      <c r="AIW141" s="34"/>
      <c r="AIX141" s="34"/>
      <c r="AIY141" s="34"/>
      <c r="AIZ141" s="34"/>
      <c r="AJA141" s="34"/>
      <c r="AJB141" s="34"/>
      <c r="AJC141" s="34"/>
      <c r="AJD141" s="34"/>
      <c r="AJE141" s="34"/>
      <c r="AJF141" s="34"/>
      <c r="AJG141" s="34"/>
      <c r="AJH141" s="34"/>
      <c r="AJI141" s="34"/>
      <c r="AJJ141" s="34"/>
      <c r="AJK141" s="34"/>
      <c r="AJL141" s="34"/>
      <c r="AJM141" s="34"/>
      <c r="AJN141" s="34"/>
      <c r="AJO141" s="34"/>
      <c r="AJP141" s="34"/>
      <c r="AJQ141" s="34"/>
      <c r="AJR141" s="34"/>
      <c r="AJS141" s="34"/>
      <c r="AJT141" s="34"/>
      <c r="AJU141" s="34"/>
      <c r="AJV141" s="34"/>
      <c r="AJW141" s="34"/>
      <c r="AJX141" s="34"/>
      <c r="AJY141" s="34"/>
      <c r="AJZ141" s="34"/>
      <c r="AKA141" s="34"/>
      <c r="AKB141" s="34"/>
      <c r="AKC141" s="34"/>
      <c r="AKD141" s="34"/>
      <c r="AKE141" s="34"/>
      <c r="AKF141" s="34"/>
      <c r="AKG141" s="34"/>
      <c r="AKH141" s="34"/>
      <c r="AKI141" s="34"/>
      <c r="AKJ141" s="34"/>
      <c r="AKK141" s="34"/>
      <c r="AKL141" s="34"/>
      <c r="AKM141" s="34"/>
      <c r="AKN141" s="34"/>
      <c r="AKO141" s="34"/>
      <c r="AKP141" s="34"/>
      <c r="AKQ141" s="34"/>
      <c r="AKR141" s="34"/>
      <c r="AKS141" s="34"/>
      <c r="AKT141" s="34"/>
      <c r="AKU141" s="34"/>
      <c r="AKV141" s="34"/>
      <c r="AKW141" s="34"/>
      <c r="AKX141" s="34"/>
      <c r="AKY141" s="34"/>
      <c r="AKZ141" s="34"/>
      <c r="ALA141" s="34"/>
      <c r="ALB141" s="34"/>
      <c r="ALC141" s="34"/>
      <c r="ALD141" s="34"/>
      <c r="ALE141" s="34"/>
      <c r="ALF141" s="34"/>
      <c r="ALG141" s="34"/>
      <c r="ALH141" s="34"/>
      <c r="ALI141" s="34"/>
      <c r="ALJ141" s="34"/>
      <c r="ALK141" s="34"/>
      <c r="ALL141" s="34"/>
      <c r="ALM141" s="34"/>
      <c r="ALN141" s="34"/>
      <c r="ALO141" s="34"/>
      <c r="ALP141" s="34"/>
      <c r="ALQ141" s="34"/>
      <c r="ALR141" s="34"/>
      <c r="ALS141" s="34"/>
      <c r="ALT141" s="34"/>
      <c r="ALU141" s="34"/>
      <c r="ALV141" s="34"/>
      <c r="ALW141" s="34"/>
      <c r="ALX141" s="34"/>
      <c r="ALY141" s="34"/>
      <c r="ALZ141" s="34"/>
      <c r="AMA141" s="34"/>
      <c r="AMB141" s="34"/>
      <c r="AMC141" s="34"/>
      <c r="AMD141" s="34"/>
      <c r="AME141" s="34"/>
      <c r="AMF141" s="34"/>
      <c r="AMG141" s="34"/>
      <c r="AMH141" s="34"/>
      <c r="AMI141" s="34"/>
      <c r="AMJ141" s="34"/>
      <c r="AMK141" s="34"/>
      <c r="AML141" s="34"/>
      <c r="AMM141" s="34"/>
      <c r="AMN141" s="34"/>
      <c r="AMO141" s="34"/>
      <c r="AMP141" s="34"/>
      <c r="AMQ141" s="34"/>
      <c r="AMR141" s="34"/>
      <c r="AMS141" s="34"/>
      <c r="AMT141" s="34"/>
      <c r="AMU141" s="34"/>
      <c r="AMV141" s="34"/>
      <c r="AMW141" s="34"/>
      <c r="AMX141" s="34"/>
      <c r="AMY141" s="34"/>
      <c r="AMZ141" s="34"/>
      <c r="ANA141" s="34"/>
      <c r="ANB141" s="34"/>
      <c r="ANC141" s="34"/>
      <c r="AND141" s="34"/>
      <c r="ANE141" s="34"/>
      <c r="ANF141" s="34"/>
      <c r="ANG141" s="34"/>
      <c r="ANH141" s="34"/>
      <c r="ANI141" s="34"/>
      <c r="ANJ141" s="34"/>
      <c r="ANK141" s="34"/>
      <c r="ANL141" s="34"/>
      <c r="ANM141" s="34"/>
      <c r="ANN141" s="34"/>
      <c r="ANO141" s="34"/>
      <c r="ANP141" s="34"/>
      <c r="ANQ141" s="34"/>
      <c r="ANR141" s="34"/>
      <c r="ANS141" s="34"/>
      <c r="ANT141" s="34"/>
      <c r="ANU141" s="34"/>
      <c r="ANV141" s="34"/>
      <c r="ANW141" s="34"/>
      <c r="ANX141" s="34"/>
      <c r="ANY141" s="34"/>
      <c r="ANZ141" s="34"/>
      <c r="AOA141" s="34"/>
      <c r="AOB141" s="34"/>
      <c r="AOC141" s="34"/>
      <c r="AOD141" s="34"/>
      <c r="AOE141" s="34"/>
      <c r="AOF141" s="34"/>
      <c r="AOG141" s="34"/>
      <c r="AOH141" s="34"/>
      <c r="AOI141" s="34"/>
      <c r="AOJ141" s="34"/>
      <c r="AOK141" s="34"/>
      <c r="AOL141" s="34"/>
      <c r="AOM141" s="34"/>
      <c r="AON141" s="34"/>
      <c r="AOO141" s="34"/>
      <c r="AOP141" s="34"/>
      <c r="AOQ141" s="34"/>
      <c r="AOR141" s="34"/>
      <c r="AOS141" s="34"/>
      <c r="AOT141" s="34"/>
      <c r="AOU141" s="34"/>
      <c r="AOV141" s="34"/>
      <c r="AOW141" s="34"/>
      <c r="AOX141" s="34"/>
      <c r="AOY141" s="34"/>
      <c r="AOZ141" s="34"/>
      <c r="APA141" s="34"/>
      <c r="APB141" s="34"/>
      <c r="APC141" s="34"/>
      <c r="APD141" s="34"/>
      <c r="APE141" s="34"/>
      <c r="APF141" s="34"/>
      <c r="APG141" s="34"/>
      <c r="APH141" s="34"/>
      <c r="API141" s="34"/>
      <c r="APJ141" s="34"/>
      <c r="APK141" s="34"/>
      <c r="APL141" s="34"/>
      <c r="APM141" s="34"/>
      <c r="APN141" s="34"/>
      <c r="APO141" s="34"/>
      <c r="APP141" s="34"/>
      <c r="APQ141" s="34"/>
      <c r="APR141" s="34"/>
      <c r="APS141" s="34"/>
      <c r="APT141" s="34"/>
      <c r="APU141" s="34"/>
      <c r="APV141" s="34"/>
      <c r="APW141" s="34"/>
      <c r="APX141" s="34"/>
      <c r="APY141" s="34"/>
      <c r="APZ141" s="34"/>
      <c r="AQA141" s="34"/>
      <c r="AQB141" s="34"/>
      <c r="AQC141" s="34"/>
      <c r="AQD141" s="34"/>
      <c r="AQE141" s="34"/>
      <c r="AQF141" s="34"/>
      <c r="AQG141" s="34"/>
      <c r="AQH141" s="34"/>
      <c r="AQI141" s="34"/>
      <c r="AQJ141" s="34"/>
      <c r="AQK141" s="34"/>
      <c r="AQL141" s="34"/>
      <c r="AQM141" s="34"/>
      <c r="AQN141" s="34"/>
      <c r="AQO141" s="34"/>
      <c r="AQP141" s="34"/>
      <c r="AQQ141" s="34"/>
      <c r="AQR141" s="34"/>
      <c r="AQS141" s="34"/>
      <c r="AQT141" s="34"/>
      <c r="AQU141" s="34"/>
      <c r="AQV141" s="34"/>
      <c r="AQW141" s="34"/>
      <c r="AQX141" s="34"/>
      <c r="AQY141" s="34"/>
      <c r="AQZ141" s="34"/>
      <c r="ARA141" s="34"/>
      <c r="ARB141" s="34"/>
      <c r="ARC141" s="34"/>
      <c r="ARD141" s="34"/>
      <c r="ARE141" s="34"/>
      <c r="ARF141" s="34"/>
      <c r="ARG141" s="34"/>
      <c r="ARH141" s="34"/>
      <c r="ARI141" s="34"/>
      <c r="ARJ141" s="34"/>
      <c r="ARK141" s="34"/>
      <c r="ARL141" s="34"/>
      <c r="ARM141" s="34"/>
      <c r="ARN141" s="34"/>
      <c r="ARO141" s="34"/>
      <c r="ARP141" s="34"/>
      <c r="ARQ141" s="34"/>
      <c r="ARR141" s="34"/>
      <c r="ARS141" s="34"/>
      <c r="ART141" s="34"/>
      <c r="ARU141" s="34"/>
      <c r="ARV141" s="34"/>
      <c r="ARW141" s="34"/>
      <c r="ARX141" s="34"/>
      <c r="ARY141" s="34"/>
      <c r="ARZ141" s="34"/>
      <c r="ASA141" s="34"/>
      <c r="ASB141" s="34"/>
      <c r="ASC141" s="34"/>
      <c r="ASD141" s="34"/>
      <c r="ASE141" s="34"/>
      <c r="ASF141" s="34"/>
      <c r="ASG141" s="34"/>
      <c r="ASH141" s="34"/>
      <c r="ASI141" s="34"/>
      <c r="ASJ141" s="34"/>
      <c r="ASK141" s="34"/>
      <c r="ASL141" s="34"/>
      <c r="ASM141" s="34"/>
      <c r="ASN141" s="34"/>
      <c r="ASO141" s="34"/>
      <c r="ASP141" s="34"/>
      <c r="ASQ141" s="34"/>
      <c r="ASR141" s="34"/>
      <c r="ASS141" s="34"/>
      <c r="AST141" s="34"/>
      <c r="ASU141" s="34"/>
      <c r="ASV141" s="34"/>
      <c r="ASW141" s="34"/>
      <c r="ASX141" s="34"/>
      <c r="ASY141" s="34"/>
      <c r="ASZ141" s="34"/>
      <c r="ATA141" s="34"/>
      <c r="ATB141" s="34"/>
      <c r="ATC141" s="34"/>
      <c r="ATD141" s="34"/>
      <c r="ATE141" s="34"/>
      <c r="ATF141" s="34"/>
      <c r="ATG141" s="34"/>
      <c r="ATH141" s="34"/>
      <c r="ATI141" s="34"/>
      <c r="ATJ141" s="34"/>
      <c r="ATK141" s="34"/>
      <c r="ATL141" s="34"/>
      <c r="ATM141" s="34"/>
      <c r="ATN141" s="34"/>
      <c r="ATO141" s="34"/>
      <c r="ATP141" s="34"/>
      <c r="ATQ141" s="34"/>
      <c r="ATR141" s="34"/>
      <c r="ATS141" s="34"/>
      <c r="ATT141" s="34"/>
      <c r="ATU141" s="34"/>
      <c r="ATV141" s="34"/>
      <c r="ATW141" s="34"/>
      <c r="ATX141" s="34"/>
      <c r="ATY141" s="34"/>
      <c r="ATZ141" s="34"/>
      <c r="AUA141" s="34"/>
      <c r="AUB141" s="34"/>
      <c r="AUC141" s="34"/>
      <c r="AUD141" s="34"/>
      <c r="AUE141" s="34"/>
      <c r="AUF141" s="34"/>
      <c r="AUG141" s="34"/>
      <c r="AUH141" s="34"/>
      <c r="AUI141" s="34"/>
      <c r="AUJ141" s="34"/>
      <c r="AUK141" s="34"/>
      <c r="AUL141" s="34"/>
      <c r="AUM141" s="34"/>
      <c r="AUN141" s="34"/>
      <c r="AUO141" s="34"/>
      <c r="AUP141" s="34"/>
      <c r="AUQ141" s="34"/>
      <c r="AUR141" s="34"/>
      <c r="AUS141" s="34"/>
      <c r="AUT141" s="34"/>
      <c r="AUU141" s="34"/>
      <c r="AUV141" s="34"/>
      <c r="AUW141" s="34"/>
      <c r="AUX141" s="34"/>
      <c r="AUY141" s="34"/>
      <c r="AUZ141" s="34"/>
      <c r="AVA141" s="34"/>
      <c r="AVB141" s="34"/>
      <c r="AVC141" s="34"/>
      <c r="AVD141" s="34"/>
      <c r="AVE141" s="34"/>
      <c r="AVF141" s="34"/>
      <c r="AVG141" s="34"/>
      <c r="AVH141" s="34"/>
      <c r="AVI141" s="34"/>
      <c r="AVJ141" s="34"/>
      <c r="AVK141" s="34"/>
      <c r="AVL141" s="34"/>
      <c r="AVM141" s="34"/>
      <c r="AVN141" s="34"/>
      <c r="AVO141" s="34"/>
      <c r="AVP141" s="34"/>
      <c r="AVQ141" s="34"/>
      <c r="AVR141" s="34"/>
      <c r="AVS141" s="34"/>
      <c r="AVT141" s="34"/>
      <c r="AVU141" s="34"/>
      <c r="AVV141" s="34"/>
      <c r="AVW141" s="34"/>
      <c r="AVX141" s="34"/>
      <c r="AVY141" s="34"/>
      <c r="AVZ141" s="34"/>
      <c r="AWA141" s="34"/>
      <c r="AWB141" s="34"/>
      <c r="AWC141" s="34"/>
      <c r="AWD141" s="34"/>
      <c r="AWE141" s="34"/>
      <c r="AWF141" s="34"/>
      <c r="AWG141" s="34"/>
      <c r="AWH141" s="34"/>
      <c r="AWI141" s="34"/>
      <c r="AWJ141" s="34"/>
      <c r="AWK141" s="34"/>
      <c r="AWL141" s="34"/>
      <c r="AWM141" s="34"/>
      <c r="AWN141" s="34"/>
      <c r="AWO141" s="34"/>
      <c r="AWP141" s="34"/>
      <c r="AWQ141" s="34"/>
      <c r="AWR141" s="34"/>
      <c r="AWS141" s="34"/>
      <c r="AWT141" s="34"/>
      <c r="AWU141" s="34"/>
      <c r="AWV141" s="34"/>
      <c r="AWW141" s="34"/>
      <c r="AWX141" s="34"/>
      <c r="AWY141" s="34"/>
      <c r="AWZ141" s="34"/>
      <c r="AXA141" s="34"/>
      <c r="AXB141" s="34"/>
      <c r="AXC141" s="34"/>
      <c r="AXD141" s="34"/>
      <c r="AXE141" s="34"/>
      <c r="AXF141" s="34"/>
      <c r="AXG141" s="34"/>
      <c r="AXH141" s="34"/>
      <c r="AXI141" s="34"/>
      <c r="AXJ141" s="34"/>
      <c r="AXK141" s="34"/>
      <c r="AXL141" s="34"/>
      <c r="AXM141" s="34"/>
      <c r="AXN141" s="34"/>
      <c r="AXO141" s="34"/>
      <c r="AXP141" s="34"/>
      <c r="AXQ141" s="34"/>
      <c r="AXR141" s="34"/>
      <c r="AXS141" s="34"/>
      <c r="AXT141" s="34"/>
      <c r="AXU141" s="34"/>
      <c r="AXV141" s="34"/>
      <c r="AXW141" s="34"/>
      <c r="AXX141" s="34"/>
      <c r="AXY141" s="34"/>
      <c r="AXZ141" s="34"/>
      <c r="AYA141" s="34"/>
      <c r="AYB141" s="34"/>
      <c r="AYC141" s="34"/>
      <c r="AYD141" s="34"/>
      <c r="AYE141" s="34"/>
      <c r="AYF141" s="34"/>
      <c r="AYG141" s="34"/>
      <c r="AYH141" s="34"/>
      <c r="AYI141" s="34"/>
      <c r="AYJ141" s="34"/>
      <c r="AYK141" s="34"/>
      <c r="AYL141" s="34"/>
      <c r="AYM141" s="34"/>
      <c r="AYN141" s="34"/>
      <c r="AYO141" s="34"/>
      <c r="AYP141" s="34"/>
      <c r="AYQ141" s="34"/>
      <c r="AYR141" s="34"/>
      <c r="AYS141" s="34"/>
      <c r="AYT141" s="34"/>
      <c r="AYU141" s="34"/>
      <c r="AYV141" s="34"/>
      <c r="AYW141" s="34"/>
      <c r="AYX141" s="34"/>
      <c r="AYY141" s="34"/>
      <c r="AYZ141" s="34"/>
      <c r="AZA141" s="34"/>
      <c r="AZB141" s="34"/>
      <c r="AZC141" s="34"/>
      <c r="AZD141" s="34"/>
      <c r="AZE141" s="34"/>
      <c r="AZF141" s="34"/>
      <c r="AZG141" s="34"/>
      <c r="AZH141" s="34"/>
      <c r="AZI141" s="34"/>
      <c r="AZJ141" s="34"/>
      <c r="AZK141" s="34"/>
      <c r="AZL141" s="34"/>
      <c r="AZM141" s="34"/>
      <c r="AZN141" s="34"/>
      <c r="AZO141" s="34"/>
      <c r="AZP141" s="34"/>
      <c r="AZQ141" s="34"/>
      <c r="AZR141" s="34"/>
      <c r="AZS141" s="34"/>
      <c r="AZT141" s="34"/>
      <c r="AZU141" s="34"/>
      <c r="AZV141" s="34"/>
      <c r="AZW141" s="34"/>
      <c r="AZX141" s="34"/>
      <c r="AZY141" s="34"/>
      <c r="AZZ141" s="34"/>
      <c r="BAA141" s="34"/>
      <c r="BAB141" s="34"/>
      <c r="BAC141" s="34"/>
      <c r="BAD141" s="34"/>
      <c r="BAE141" s="34"/>
      <c r="BAF141" s="34"/>
      <c r="BAG141" s="34"/>
      <c r="BAH141" s="34"/>
      <c r="BAI141" s="34"/>
      <c r="BAJ141" s="34"/>
      <c r="BAK141" s="34"/>
      <c r="BAL141" s="34"/>
      <c r="BAM141" s="34"/>
      <c r="BAN141" s="34"/>
      <c r="BAO141" s="34"/>
      <c r="BAP141" s="34"/>
      <c r="BAQ141" s="34"/>
      <c r="BAR141" s="34"/>
      <c r="BAS141" s="34"/>
      <c r="BAT141" s="34"/>
      <c r="BAU141" s="34"/>
      <c r="BAV141" s="34"/>
      <c r="BAW141" s="34"/>
      <c r="BAX141" s="34"/>
      <c r="BAY141" s="34"/>
      <c r="BAZ141" s="34"/>
      <c r="BBA141" s="34"/>
      <c r="BBB141" s="34"/>
      <c r="BBC141" s="34"/>
      <c r="BBD141" s="34"/>
      <c r="BBE141" s="34"/>
      <c r="BBF141" s="34"/>
      <c r="BBG141" s="34"/>
      <c r="BBH141" s="34"/>
      <c r="BBI141" s="34"/>
      <c r="BBJ141" s="34"/>
      <c r="BBK141" s="34"/>
      <c r="BBL141" s="34"/>
      <c r="BBM141" s="34"/>
      <c r="BBN141" s="34"/>
      <c r="BBO141" s="34"/>
      <c r="BBP141" s="34"/>
      <c r="BBQ141" s="34"/>
      <c r="BBR141" s="34"/>
      <c r="BBS141" s="34"/>
      <c r="BBT141" s="34"/>
      <c r="BBU141" s="34"/>
      <c r="BBV141" s="34"/>
      <c r="BBW141" s="34"/>
      <c r="BBX141" s="34"/>
      <c r="BBY141" s="34"/>
      <c r="BBZ141" s="34"/>
      <c r="BCA141" s="34"/>
      <c r="BCB141" s="34"/>
      <c r="BCC141" s="34"/>
      <c r="BCD141" s="34"/>
      <c r="BCE141" s="34"/>
      <c r="BCF141" s="34"/>
      <c r="BCG141" s="34"/>
      <c r="BCH141" s="34"/>
      <c r="BCI141" s="34"/>
      <c r="BCJ141" s="34"/>
      <c r="BCK141" s="34"/>
      <c r="BCL141" s="34"/>
      <c r="BCM141" s="34"/>
      <c r="BCN141" s="34"/>
      <c r="BCO141" s="34"/>
      <c r="BCP141" s="34"/>
      <c r="BCQ141" s="34"/>
      <c r="BCR141" s="34"/>
      <c r="BCS141" s="34"/>
      <c r="BCT141" s="34"/>
      <c r="BCU141" s="34"/>
      <c r="BCV141" s="34"/>
      <c r="BCW141" s="34"/>
      <c r="BCX141" s="34"/>
      <c r="BCY141" s="34"/>
      <c r="BCZ141" s="34"/>
      <c r="BDA141" s="34"/>
      <c r="BDB141" s="34"/>
      <c r="BDC141" s="34"/>
      <c r="BDD141" s="34"/>
      <c r="BDE141" s="34"/>
      <c r="BDF141" s="34"/>
      <c r="BDG141" s="34"/>
      <c r="BDH141" s="34"/>
      <c r="BDI141" s="34"/>
      <c r="BDJ141" s="34"/>
      <c r="BDK141" s="34"/>
      <c r="BDL141" s="34"/>
      <c r="BDM141" s="34"/>
      <c r="BDN141" s="34"/>
      <c r="BDO141" s="34"/>
      <c r="BDP141" s="34"/>
      <c r="BDQ141" s="34"/>
      <c r="BDR141" s="34"/>
      <c r="BDS141" s="34"/>
      <c r="BDT141" s="34"/>
      <c r="BDU141" s="34"/>
      <c r="BDV141" s="34"/>
      <c r="BDW141" s="34"/>
      <c r="BDX141" s="34"/>
      <c r="BDY141" s="34"/>
      <c r="BDZ141" s="34"/>
      <c r="BEA141" s="34"/>
      <c r="BEB141" s="34"/>
      <c r="BEC141" s="34"/>
      <c r="BED141" s="34"/>
      <c r="BEE141" s="34"/>
      <c r="BEF141" s="34"/>
      <c r="BEG141" s="34"/>
      <c r="BEH141" s="34"/>
      <c r="BEI141" s="34"/>
      <c r="BEJ141" s="34"/>
      <c r="BEK141" s="34"/>
      <c r="BEL141" s="34"/>
      <c r="BEM141" s="34"/>
      <c r="BEN141" s="34"/>
      <c r="BEO141" s="34"/>
      <c r="BEP141" s="34"/>
      <c r="BEQ141" s="34"/>
      <c r="BER141" s="34"/>
      <c r="BES141" s="34"/>
      <c r="BET141" s="34"/>
      <c r="BEU141" s="34"/>
      <c r="BEV141" s="34"/>
      <c r="BEW141" s="34"/>
      <c r="BEX141" s="34"/>
      <c r="BEY141" s="34"/>
      <c r="BEZ141" s="34"/>
      <c r="BFA141" s="34"/>
      <c r="BFB141" s="34"/>
      <c r="BFC141" s="34"/>
      <c r="BFD141" s="34"/>
      <c r="BFE141" s="34"/>
      <c r="BFF141" s="34"/>
      <c r="BFG141" s="34"/>
      <c r="BFH141" s="34"/>
      <c r="BFI141" s="34"/>
      <c r="BFJ141" s="34"/>
      <c r="BFK141" s="34"/>
      <c r="BFL141" s="34"/>
      <c r="BFM141" s="34"/>
      <c r="BFN141" s="34"/>
      <c r="BFO141" s="34"/>
      <c r="BFP141" s="34"/>
      <c r="BFQ141" s="34"/>
      <c r="BFR141" s="34"/>
      <c r="BFS141" s="34"/>
      <c r="BFT141" s="34"/>
      <c r="BFU141" s="34"/>
      <c r="BFV141" s="34"/>
      <c r="BFW141" s="34"/>
      <c r="BFX141" s="34"/>
      <c r="BFY141" s="34"/>
      <c r="BFZ141" s="34"/>
      <c r="BGA141" s="34"/>
      <c r="BGB141" s="34"/>
      <c r="BGC141" s="34"/>
      <c r="BGD141" s="34"/>
      <c r="BGE141" s="34"/>
      <c r="BGF141" s="34"/>
      <c r="BGG141" s="34"/>
      <c r="BGH141" s="34"/>
      <c r="BGI141" s="34"/>
      <c r="BGJ141" s="34"/>
      <c r="BGK141" s="34"/>
      <c r="BGL141" s="34"/>
      <c r="BGM141" s="34"/>
      <c r="BGN141" s="34"/>
      <c r="BGO141" s="34"/>
      <c r="BGP141" s="34"/>
      <c r="BGQ141" s="34"/>
      <c r="BGR141" s="34"/>
      <c r="BGS141" s="34"/>
      <c r="BGT141" s="34"/>
      <c r="BGU141" s="34"/>
      <c r="BGV141" s="34"/>
      <c r="BGW141" s="34"/>
      <c r="BGX141" s="34"/>
      <c r="BGY141" s="34"/>
      <c r="BGZ141" s="34"/>
      <c r="BHA141" s="34"/>
      <c r="BHB141" s="34"/>
      <c r="BHC141" s="34"/>
      <c r="BHD141" s="34"/>
      <c r="BHE141" s="34"/>
      <c r="BHF141" s="34"/>
      <c r="BHG141" s="34"/>
      <c r="BHH141" s="34"/>
      <c r="BHI141" s="34"/>
      <c r="BHJ141" s="34"/>
      <c r="BHK141" s="34"/>
      <c r="BHL141" s="34"/>
      <c r="BHM141" s="34"/>
      <c r="BHN141" s="34"/>
      <c r="BHO141" s="34"/>
      <c r="BHP141" s="34"/>
      <c r="BHQ141" s="34"/>
      <c r="BHR141" s="34"/>
      <c r="BHS141" s="34"/>
      <c r="BHT141" s="34"/>
      <c r="BHU141" s="34"/>
      <c r="BHV141" s="34"/>
      <c r="BHW141" s="34"/>
      <c r="BHX141" s="34"/>
      <c r="BHY141" s="34"/>
      <c r="BHZ141" s="34"/>
      <c r="BIA141" s="34"/>
      <c r="BIB141" s="34"/>
      <c r="BIC141" s="34"/>
      <c r="BID141" s="34"/>
      <c r="BIE141" s="34"/>
      <c r="BIF141" s="34"/>
      <c r="BIG141" s="34"/>
      <c r="BIH141" s="34"/>
      <c r="BII141" s="34"/>
      <c r="BIJ141" s="34"/>
      <c r="BIK141" s="34"/>
      <c r="BIL141" s="34"/>
      <c r="BIM141" s="34"/>
      <c r="BIN141" s="34"/>
      <c r="BIO141" s="34"/>
      <c r="BIP141" s="34"/>
      <c r="BIQ141" s="34"/>
      <c r="BIR141" s="34"/>
      <c r="BIS141" s="34"/>
      <c r="BIT141" s="34"/>
      <c r="BIU141" s="34"/>
      <c r="BIV141" s="34"/>
      <c r="BIW141" s="34"/>
      <c r="BIX141" s="34"/>
      <c r="BIY141" s="34"/>
      <c r="BIZ141" s="34"/>
      <c r="BJA141" s="34"/>
      <c r="BJB141" s="34"/>
      <c r="BJC141" s="34"/>
      <c r="BJD141" s="34"/>
      <c r="BJE141" s="34"/>
      <c r="BJF141" s="34"/>
      <c r="BJG141" s="34"/>
      <c r="BJH141" s="34"/>
      <c r="BJI141" s="34"/>
      <c r="BJJ141" s="34"/>
      <c r="BJK141" s="34"/>
      <c r="BJL141" s="34"/>
      <c r="BJM141" s="34"/>
      <c r="BJN141" s="34"/>
      <c r="BJO141" s="34"/>
      <c r="BJP141" s="34"/>
      <c r="BJQ141" s="34"/>
      <c r="BJR141" s="34"/>
      <c r="BJS141" s="34"/>
      <c r="BJT141" s="34"/>
      <c r="BJU141" s="34"/>
      <c r="BJV141" s="34"/>
      <c r="BJW141" s="34"/>
      <c r="BJX141" s="34"/>
      <c r="BJY141" s="34"/>
      <c r="BJZ141" s="34"/>
      <c r="BKA141" s="34"/>
      <c r="BKB141" s="34"/>
      <c r="BKC141" s="34"/>
      <c r="BKD141" s="34"/>
      <c r="BKE141" s="34"/>
      <c r="BKF141" s="34"/>
      <c r="BKG141" s="34"/>
      <c r="BKH141" s="34"/>
      <c r="BKI141" s="34"/>
      <c r="BKJ141" s="34"/>
      <c r="BKK141" s="34"/>
      <c r="BKL141" s="34"/>
      <c r="BKM141" s="34"/>
      <c r="BKN141" s="34"/>
      <c r="BKO141" s="34"/>
      <c r="BKP141" s="34"/>
      <c r="BKQ141" s="34"/>
      <c r="BKR141" s="34"/>
      <c r="BKS141" s="34"/>
      <c r="BKT141" s="34"/>
      <c r="BKU141" s="34"/>
      <c r="BKV141" s="34"/>
      <c r="BKW141" s="34"/>
      <c r="BKX141" s="34"/>
      <c r="BKY141" s="34"/>
      <c r="BKZ141" s="34"/>
      <c r="BLA141" s="34"/>
      <c r="BLB141" s="34"/>
      <c r="BLC141" s="34"/>
      <c r="BLD141" s="34"/>
      <c r="BLE141" s="34"/>
      <c r="BLF141" s="34"/>
      <c r="BLG141" s="34"/>
      <c r="BLH141" s="34"/>
      <c r="BLI141" s="34"/>
      <c r="BLJ141" s="34"/>
      <c r="BLK141" s="34"/>
      <c r="BLL141" s="34"/>
      <c r="BLM141" s="34"/>
      <c r="BLN141" s="34"/>
      <c r="BLO141" s="34"/>
      <c r="BLP141" s="34"/>
      <c r="BLQ141" s="34"/>
      <c r="BLR141" s="34"/>
      <c r="BLS141" s="34"/>
      <c r="BLT141" s="34"/>
      <c r="BLU141" s="34"/>
      <c r="BLV141" s="34"/>
      <c r="BLW141" s="34"/>
      <c r="BLX141" s="34"/>
      <c r="BLY141" s="34"/>
      <c r="BLZ141" s="34"/>
      <c r="BMA141" s="34"/>
      <c r="BMB141" s="34"/>
      <c r="BMC141" s="34"/>
      <c r="BMD141" s="34"/>
      <c r="BME141" s="34"/>
      <c r="BMF141" s="34"/>
      <c r="BMG141" s="34"/>
      <c r="BMH141" s="34"/>
      <c r="BMI141" s="34"/>
      <c r="BMJ141" s="34"/>
      <c r="BMK141" s="34"/>
      <c r="BML141" s="34"/>
      <c r="BMM141" s="34"/>
      <c r="BMN141" s="34"/>
      <c r="BMO141" s="34"/>
      <c r="BMP141" s="34"/>
      <c r="BMQ141" s="34"/>
      <c r="BMR141" s="34"/>
      <c r="BMS141" s="34"/>
      <c r="BMT141" s="34"/>
      <c r="BMU141" s="34"/>
      <c r="BMV141" s="34"/>
      <c r="BMW141" s="34"/>
      <c r="BMX141" s="34"/>
      <c r="BMY141" s="34"/>
      <c r="BMZ141" s="34"/>
      <c r="BNA141" s="34"/>
      <c r="BNB141" s="34"/>
      <c r="BNC141" s="34"/>
      <c r="BND141" s="34"/>
      <c r="BNE141" s="34"/>
      <c r="BNF141" s="34"/>
      <c r="BNG141" s="34"/>
      <c r="BNH141" s="34"/>
      <c r="BNI141" s="34"/>
      <c r="BNJ141" s="34"/>
      <c r="BNK141" s="34"/>
      <c r="BNL141" s="34"/>
      <c r="BNM141" s="34"/>
      <c r="BNN141" s="34"/>
      <c r="BNO141" s="34"/>
      <c r="BNP141" s="34"/>
      <c r="BNQ141" s="34"/>
      <c r="BNR141" s="34"/>
      <c r="BNS141" s="34"/>
      <c r="BNT141" s="34"/>
      <c r="BNU141" s="34"/>
      <c r="BNV141" s="34"/>
      <c r="BNW141" s="34"/>
      <c r="BNX141" s="34"/>
      <c r="BNY141" s="34"/>
      <c r="BNZ141" s="34"/>
      <c r="BOA141" s="34"/>
      <c r="BOB141" s="34"/>
      <c r="BOC141" s="34"/>
      <c r="BOD141" s="34"/>
      <c r="BOE141" s="34"/>
      <c r="BOF141" s="34"/>
      <c r="BOG141" s="34"/>
      <c r="BOH141" s="34"/>
      <c r="BOI141" s="34"/>
      <c r="BOJ141" s="34"/>
      <c r="BOK141" s="34"/>
      <c r="BOL141" s="34"/>
      <c r="BOM141" s="34"/>
      <c r="BON141" s="34"/>
      <c r="BOO141" s="34"/>
      <c r="BOP141" s="34"/>
      <c r="BOQ141" s="34"/>
      <c r="BOR141" s="34"/>
      <c r="BOS141" s="34"/>
      <c r="BOT141" s="34"/>
      <c r="BOU141" s="34"/>
      <c r="BOV141" s="34"/>
      <c r="BOW141" s="34"/>
      <c r="BOX141" s="34"/>
      <c r="BOY141" s="34"/>
      <c r="BOZ141" s="34"/>
      <c r="BPA141" s="34"/>
      <c r="BPB141" s="34"/>
      <c r="BPC141" s="34"/>
      <c r="BPD141" s="34"/>
      <c r="BPE141" s="34"/>
      <c r="BPF141" s="34"/>
      <c r="BPG141" s="34"/>
      <c r="BPH141" s="34"/>
      <c r="BPI141" s="34"/>
      <c r="BPJ141" s="34"/>
      <c r="BPK141" s="34"/>
      <c r="BPL141" s="34"/>
      <c r="BPM141" s="34"/>
      <c r="BPN141" s="34"/>
      <c r="BPO141" s="34"/>
      <c r="BPP141" s="34"/>
      <c r="BPQ141" s="34"/>
      <c r="BPR141" s="34"/>
      <c r="BPS141" s="34"/>
      <c r="BPT141" s="34"/>
      <c r="BPU141" s="34"/>
      <c r="BPV141" s="34"/>
      <c r="BPW141" s="34"/>
      <c r="BPX141" s="34"/>
      <c r="BPY141" s="34"/>
      <c r="BPZ141" s="34"/>
      <c r="BQA141" s="34"/>
      <c r="BQB141" s="34"/>
      <c r="BQC141" s="34"/>
      <c r="BQD141" s="34"/>
      <c r="BQE141" s="34"/>
      <c r="BQF141" s="34"/>
      <c r="BQG141" s="34"/>
      <c r="BQH141" s="34"/>
      <c r="BQI141" s="34"/>
      <c r="BQJ141" s="34"/>
      <c r="BQK141" s="34"/>
      <c r="BQL141" s="34"/>
      <c r="BQM141" s="34"/>
      <c r="BQN141" s="34"/>
      <c r="BQO141" s="34"/>
      <c r="BQP141" s="34"/>
      <c r="BQQ141" s="34"/>
      <c r="BQR141" s="34"/>
      <c r="BQS141" s="34"/>
      <c r="BQT141" s="34"/>
      <c r="BQU141" s="34"/>
      <c r="BQV141" s="34"/>
      <c r="BQW141" s="34"/>
      <c r="BQX141" s="34"/>
      <c r="BQY141" s="34"/>
      <c r="BQZ141" s="34"/>
      <c r="BRA141" s="34"/>
      <c r="BRB141" s="34"/>
      <c r="BRC141" s="34"/>
      <c r="BRD141" s="34"/>
      <c r="BRE141" s="34"/>
      <c r="BRF141" s="34"/>
      <c r="BRG141" s="34"/>
      <c r="BRH141" s="34"/>
      <c r="BRI141" s="34"/>
      <c r="BRJ141" s="34"/>
      <c r="BRK141" s="34"/>
      <c r="BRL141" s="34"/>
      <c r="BRM141" s="34"/>
      <c r="BRN141" s="34"/>
      <c r="BRO141" s="34"/>
      <c r="BRP141" s="34"/>
      <c r="BRQ141" s="34"/>
      <c r="BRR141" s="34"/>
      <c r="BRS141" s="34"/>
      <c r="BRT141" s="34"/>
      <c r="BRU141" s="34"/>
      <c r="BRV141" s="34"/>
      <c r="BRW141" s="34"/>
      <c r="BRX141" s="34"/>
      <c r="BRY141" s="34"/>
      <c r="BRZ141" s="34"/>
      <c r="BSA141" s="34"/>
      <c r="BSB141" s="34"/>
      <c r="BSC141" s="34"/>
      <c r="BSD141" s="34"/>
      <c r="BSE141" s="34"/>
      <c r="BSF141" s="34"/>
      <c r="BSG141" s="34"/>
      <c r="BSH141" s="34"/>
      <c r="BSI141" s="34"/>
      <c r="BSJ141" s="34"/>
      <c r="BSK141" s="34"/>
      <c r="BSL141" s="34"/>
      <c r="BSM141" s="34"/>
      <c r="BSN141" s="34"/>
      <c r="BSO141" s="34"/>
      <c r="BSP141" s="34"/>
      <c r="BSQ141" s="34"/>
      <c r="BSR141" s="34"/>
      <c r="BSS141" s="34"/>
      <c r="BST141" s="34"/>
      <c r="BSU141" s="34"/>
      <c r="BSV141" s="34"/>
      <c r="BSW141" s="34"/>
      <c r="BSX141" s="34"/>
      <c r="BSY141" s="34"/>
      <c r="BSZ141" s="34"/>
      <c r="BTA141" s="34"/>
      <c r="BTB141" s="34"/>
      <c r="BTC141" s="34"/>
      <c r="BTD141" s="34"/>
      <c r="BTE141" s="34"/>
      <c r="BTF141" s="34"/>
      <c r="BTG141" s="34"/>
      <c r="BTH141" s="34"/>
      <c r="BTI141" s="34"/>
      <c r="BTJ141" s="34"/>
      <c r="BTK141" s="34"/>
      <c r="BTL141" s="34"/>
      <c r="BTM141" s="34"/>
      <c r="BTN141" s="34"/>
      <c r="BTO141" s="34"/>
      <c r="BTP141" s="34"/>
      <c r="BTQ141" s="34"/>
      <c r="BTR141" s="34"/>
      <c r="BTS141" s="34"/>
      <c r="BTT141" s="34"/>
      <c r="BTU141" s="34"/>
      <c r="BTV141" s="34"/>
      <c r="BTW141" s="34"/>
      <c r="BTX141" s="34"/>
      <c r="BTY141" s="34"/>
      <c r="BTZ141" s="34"/>
      <c r="BUA141" s="34"/>
      <c r="BUB141" s="34"/>
      <c r="BUC141" s="34"/>
      <c r="BUD141" s="34"/>
      <c r="BUE141" s="34"/>
      <c r="BUF141" s="34"/>
      <c r="BUG141" s="34"/>
      <c r="BUH141" s="34"/>
      <c r="BUI141" s="34"/>
      <c r="BUJ141" s="34"/>
      <c r="BUK141" s="34"/>
      <c r="BUL141" s="34"/>
      <c r="BUM141" s="34"/>
      <c r="BUN141" s="34"/>
      <c r="BUO141" s="34"/>
      <c r="BUP141" s="34"/>
      <c r="BUQ141" s="34"/>
      <c r="BUR141" s="34"/>
      <c r="BUS141" s="34"/>
      <c r="BUT141" s="34"/>
      <c r="BUU141" s="34"/>
      <c r="BUV141" s="34"/>
      <c r="BUW141" s="34"/>
      <c r="BUX141" s="34"/>
      <c r="BUY141" s="34"/>
      <c r="BUZ141" s="34"/>
      <c r="BVA141" s="34"/>
      <c r="BVB141" s="34"/>
      <c r="BVC141" s="34"/>
      <c r="BVD141" s="34"/>
      <c r="BVE141" s="34"/>
      <c r="BVF141" s="34"/>
      <c r="BVG141" s="34"/>
      <c r="BVH141" s="34"/>
      <c r="BVI141" s="34"/>
      <c r="BVJ141" s="34"/>
      <c r="BVK141" s="34"/>
      <c r="BVL141" s="34"/>
      <c r="BVM141" s="34"/>
      <c r="BVN141" s="34"/>
      <c r="BVO141" s="34"/>
      <c r="BVP141" s="34"/>
      <c r="BVQ141" s="34"/>
      <c r="BVR141" s="34"/>
      <c r="BVS141" s="34"/>
      <c r="BVT141" s="34"/>
      <c r="BVU141" s="34"/>
      <c r="BVV141" s="34"/>
      <c r="BVW141" s="34"/>
      <c r="BVX141" s="34"/>
      <c r="BVY141" s="34"/>
      <c r="BVZ141" s="34"/>
      <c r="BWA141" s="34"/>
      <c r="BWB141" s="34"/>
      <c r="BWC141" s="34"/>
      <c r="BWD141" s="34"/>
      <c r="BWE141" s="34"/>
      <c r="BWF141" s="34"/>
      <c r="BWG141" s="34"/>
      <c r="BWH141" s="34"/>
      <c r="BWI141" s="34"/>
      <c r="BWJ141" s="34"/>
      <c r="BWK141" s="34"/>
      <c r="BWL141" s="34"/>
      <c r="BWM141" s="34"/>
      <c r="BWN141" s="34"/>
      <c r="BWO141" s="34"/>
      <c r="BWP141" s="34"/>
      <c r="BWQ141" s="34"/>
      <c r="BWR141" s="34"/>
      <c r="BWS141" s="34"/>
      <c r="BWT141" s="34"/>
      <c r="BWU141" s="34"/>
      <c r="BWV141" s="34"/>
      <c r="BWW141" s="34"/>
      <c r="BWX141" s="34"/>
      <c r="BWY141" s="34"/>
      <c r="BWZ141" s="34"/>
      <c r="BXA141" s="34"/>
      <c r="BXB141" s="34"/>
      <c r="BXC141" s="34"/>
      <c r="BXD141" s="34"/>
      <c r="BXE141" s="34"/>
      <c r="BXF141" s="34"/>
      <c r="BXG141" s="34"/>
      <c r="BXH141" s="34"/>
      <c r="BXI141" s="34"/>
      <c r="BXJ141" s="34"/>
      <c r="BXK141" s="34"/>
      <c r="BXL141" s="34"/>
      <c r="BXM141" s="34"/>
      <c r="BXN141" s="34"/>
      <c r="BXO141" s="34"/>
      <c r="BXP141" s="34"/>
      <c r="BXQ141" s="34"/>
      <c r="BXR141" s="34"/>
      <c r="BXS141" s="34"/>
      <c r="BXT141" s="34"/>
      <c r="BXU141" s="34"/>
      <c r="BXV141" s="34"/>
      <c r="BXW141" s="34"/>
      <c r="BXX141" s="34"/>
      <c r="BXY141" s="34"/>
      <c r="BXZ141" s="34"/>
      <c r="BYA141" s="34"/>
      <c r="BYB141" s="34"/>
      <c r="BYC141" s="34"/>
      <c r="BYD141" s="34"/>
      <c r="BYE141" s="34"/>
      <c r="BYF141" s="34"/>
      <c r="BYG141" s="34"/>
      <c r="BYH141" s="34"/>
      <c r="BYI141" s="34"/>
      <c r="BYJ141" s="34"/>
      <c r="BYK141" s="34"/>
      <c r="BYL141" s="34"/>
      <c r="BYM141" s="34"/>
      <c r="BYN141" s="34"/>
      <c r="BYO141" s="34"/>
      <c r="BYP141" s="34"/>
      <c r="BYQ141" s="34"/>
      <c r="BYR141" s="34"/>
      <c r="BYS141" s="34"/>
      <c r="BYT141" s="34"/>
      <c r="BYU141" s="34"/>
      <c r="BYV141" s="34"/>
      <c r="BYW141" s="34"/>
      <c r="BYX141" s="34"/>
      <c r="BYY141" s="34"/>
      <c r="BYZ141" s="34"/>
      <c r="BZA141" s="34"/>
      <c r="BZB141" s="34"/>
      <c r="BZC141" s="34"/>
      <c r="BZD141" s="34"/>
      <c r="BZE141" s="34"/>
      <c r="BZF141" s="34"/>
      <c r="BZG141" s="34"/>
      <c r="BZH141" s="34"/>
      <c r="BZI141" s="34"/>
      <c r="BZJ141" s="34"/>
      <c r="BZK141" s="34"/>
      <c r="BZL141" s="34"/>
      <c r="BZM141" s="34"/>
      <c r="BZN141" s="34"/>
      <c r="BZO141" s="34"/>
      <c r="BZP141" s="34"/>
      <c r="BZQ141" s="34"/>
      <c r="BZR141" s="34"/>
      <c r="BZS141" s="34"/>
      <c r="BZT141" s="34"/>
      <c r="BZU141" s="34"/>
      <c r="BZV141" s="34"/>
      <c r="BZW141" s="34"/>
      <c r="BZX141" s="34"/>
      <c r="BZY141" s="34"/>
      <c r="BZZ141" s="34"/>
      <c r="CAA141" s="34"/>
      <c r="CAB141" s="34"/>
      <c r="CAC141" s="34"/>
      <c r="CAD141" s="34"/>
      <c r="CAE141" s="34"/>
      <c r="CAF141" s="34"/>
      <c r="CAG141" s="34"/>
      <c r="CAH141" s="34"/>
      <c r="CAI141" s="34"/>
      <c r="CAJ141" s="34"/>
      <c r="CAK141" s="34"/>
      <c r="CAL141" s="34"/>
      <c r="CAM141" s="34"/>
      <c r="CAN141" s="34"/>
      <c r="CAO141" s="34"/>
      <c r="CAP141" s="34"/>
      <c r="CAQ141" s="34"/>
      <c r="CAR141" s="34"/>
      <c r="CAS141" s="34"/>
      <c r="CAT141" s="34"/>
      <c r="CAU141" s="34"/>
      <c r="CAV141" s="34"/>
      <c r="CAW141" s="34"/>
      <c r="CAX141" s="34"/>
      <c r="CAY141" s="34"/>
      <c r="CAZ141" s="34"/>
      <c r="CBA141" s="34"/>
      <c r="CBB141" s="34"/>
      <c r="CBC141" s="34"/>
      <c r="CBD141" s="34"/>
      <c r="CBE141" s="34"/>
      <c r="CBF141" s="34"/>
      <c r="CBG141" s="34"/>
      <c r="CBH141" s="34"/>
      <c r="CBI141" s="34"/>
      <c r="CBJ141" s="34"/>
      <c r="CBK141" s="34"/>
      <c r="CBL141" s="34"/>
      <c r="CBM141" s="34"/>
      <c r="CBN141" s="34"/>
      <c r="CBO141" s="34"/>
      <c r="CBP141" s="34"/>
      <c r="CBQ141" s="34"/>
      <c r="CBR141" s="34"/>
      <c r="CBS141" s="34"/>
      <c r="CBT141" s="34"/>
      <c r="CBU141" s="34"/>
      <c r="CBV141" s="34"/>
      <c r="CBW141" s="34"/>
      <c r="CBX141" s="34"/>
      <c r="CBY141" s="34"/>
      <c r="CBZ141" s="34"/>
      <c r="CCA141" s="34"/>
      <c r="CCB141" s="34"/>
      <c r="CCC141" s="34"/>
      <c r="CCD141" s="34"/>
      <c r="CCE141" s="34"/>
      <c r="CCF141" s="34"/>
      <c r="CCG141" s="34"/>
      <c r="CCH141" s="34"/>
      <c r="CCI141" s="34"/>
      <c r="CCJ141" s="34"/>
      <c r="CCK141" s="34"/>
      <c r="CCL141" s="34"/>
      <c r="CCM141" s="34"/>
      <c r="CCN141" s="34"/>
      <c r="CCO141" s="34"/>
      <c r="CCP141" s="34"/>
      <c r="CCQ141" s="34"/>
      <c r="CCR141" s="34"/>
      <c r="CCS141" s="34"/>
      <c r="CCT141" s="34"/>
      <c r="CCU141" s="34"/>
      <c r="CCV141" s="34"/>
      <c r="CCW141" s="34"/>
      <c r="CCX141" s="34"/>
      <c r="CCY141" s="34"/>
      <c r="CCZ141" s="34"/>
      <c r="CDA141" s="34"/>
      <c r="CDB141" s="34"/>
      <c r="CDC141" s="34"/>
      <c r="CDD141" s="34"/>
      <c r="CDE141" s="34"/>
      <c r="CDF141" s="34"/>
      <c r="CDG141" s="34"/>
      <c r="CDH141" s="34"/>
      <c r="CDI141" s="34"/>
      <c r="CDJ141" s="34"/>
      <c r="CDK141" s="34"/>
      <c r="CDL141" s="34"/>
      <c r="CDM141" s="34"/>
      <c r="CDN141" s="34"/>
      <c r="CDO141" s="34"/>
      <c r="CDP141" s="34"/>
      <c r="CDQ141" s="34"/>
      <c r="CDR141" s="34"/>
      <c r="CDS141" s="34"/>
      <c r="CDT141" s="34"/>
      <c r="CDU141" s="34"/>
      <c r="CDV141" s="34"/>
      <c r="CDW141" s="34"/>
      <c r="CDX141" s="34"/>
      <c r="CDY141" s="34"/>
      <c r="CDZ141" s="34"/>
      <c r="CEA141" s="34"/>
      <c r="CEB141" s="34"/>
      <c r="CEC141" s="34"/>
      <c r="CED141" s="34"/>
      <c r="CEE141" s="34"/>
      <c r="CEF141" s="34"/>
      <c r="CEG141" s="34"/>
      <c r="CEH141" s="34"/>
      <c r="CEI141" s="34"/>
      <c r="CEJ141" s="34"/>
      <c r="CEK141" s="34"/>
      <c r="CEL141" s="34"/>
      <c r="CEM141" s="34"/>
      <c r="CEN141" s="34"/>
      <c r="CEO141" s="34"/>
      <c r="CEP141" s="34"/>
      <c r="CEQ141" s="34"/>
      <c r="CER141" s="34"/>
      <c r="CES141" s="34"/>
      <c r="CET141" s="34"/>
      <c r="CEU141" s="34"/>
      <c r="CEV141" s="34"/>
      <c r="CEW141" s="34"/>
      <c r="CEX141" s="34"/>
      <c r="CEY141" s="34"/>
      <c r="CEZ141" s="34"/>
      <c r="CFA141" s="34"/>
      <c r="CFB141" s="34"/>
      <c r="CFC141" s="34"/>
      <c r="CFD141" s="34"/>
      <c r="CFE141" s="34"/>
      <c r="CFF141" s="34"/>
      <c r="CFG141" s="34"/>
      <c r="CFH141" s="34"/>
      <c r="CFI141" s="34"/>
      <c r="CFJ141" s="34"/>
      <c r="CFK141" s="34"/>
      <c r="CFL141" s="34"/>
      <c r="CFM141" s="34"/>
      <c r="CFN141" s="34"/>
      <c r="CFO141" s="34"/>
      <c r="CFP141" s="34"/>
      <c r="CFQ141" s="34"/>
      <c r="CFR141" s="34"/>
      <c r="CFS141" s="34"/>
      <c r="CFT141" s="34"/>
      <c r="CFU141" s="34"/>
      <c r="CFV141" s="34"/>
      <c r="CFW141" s="34"/>
      <c r="CFX141" s="34"/>
      <c r="CFY141" s="34"/>
      <c r="CFZ141" s="34"/>
      <c r="CGA141" s="34"/>
      <c r="CGB141" s="34"/>
      <c r="CGC141" s="34"/>
      <c r="CGD141" s="34"/>
      <c r="CGE141" s="34"/>
      <c r="CGF141" s="34"/>
      <c r="CGG141" s="34"/>
      <c r="CGH141" s="34"/>
      <c r="CGI141" s="34"/>
      <c r="CGJ141" s="34"/>
      <c r="CGK141" s="34"/>
      <c r="CGL141" s="34"/>
      <c r="CGM141" s="34"/>
      <c r="CGN141" s="34"/>
      <c r="CGO141" s="34"/>
      <c r="CGP141" s="34"/>
      <c r="CGQ141" s="34"/>
      <c r="CGR141" s="34"/>
      <c r="CGS141" s="34"/>
      <c r="CGT141" s="34"/>
      <c r="CGU141" s="34"/>
      <c r="CGV141" s="34"/>
      <c r="CGW141" s="34"/>
      <c r="CGX141" s="34"/>
      <c r="CGY141" s="34"/>
      <c r="CGZ141" s="34"/>
      <c r="CHA141" s="34"/>
      <c r="CHB141" s="34"/>
      <c r="CHC141" s="34"/>
      <c r="CHD141" s="34"/>
      <c r="CHE141" s="34"/>
      <c r="CHF141" s="34"/>
      <c r="CHG141" s="34"/>
      <c r="CHH141" s="34"/>
      <c r="CHI141" s="34"/>
      <c r="CHJ141" s="34"/>
      <c r="CHK141" s="34"/>
      <c r="CHL141" s="34"/>
      <c r="CHM141" s="34"/>
      <c r="CHN141" s="34"/>
      <c r="CHO141" s="34"/>
      <c r="CHP141" s="34"/>
      <c r="CHQ141" s="34"/>
      <c r="CHR141" s="34"/>
      <c r="CHS141" s="34"/>
      <c r="CHT141" s="34"/>
      <c r="CHU141" s="34"/>
      <c r="CHV141" s="34"/>
      <c r="CHW141" s="34"/>
      <c r="CHX141" s="34"/>
      <c r="CHY141" s="34"/>
      <c r="CHZ141" s="34"/>
      <c r="CIA141" s="34"/>
      <c r="CIB141" s="34"/>
      <c r="CIC141" s="34"/>
      <c r="CID141" s="34"/>
      <c r="CIE141" s="34"/>
      <c r="CIF141" s="34"/>
      <c r="CIG141" s="34"/>
      <c r="CIH141" s="34"/>
      <c r="CII141" s="34"/>
      <c r="CIJ141" s="34"/>
      <c r="CIK141" s="34"/>
      <c r="CIL141" s="34"/>
      <c r="CIM141" s="34"/>
      <c r="CIN141" s="34"/>
      <c r="CIO141" s="34"/>
      <c r="CIP141" s="34"/>
      <c r="CIQ141" s="34"/>
      <c r="CIR141" s="34"/>
      <c r="CIS141" s="34"/>
      <c r="CIT141" s="34"/>
      <c r="CIU141" s="34"/>
      <c r="CIV141" s="34"/>
      <c r="CIW141" s="34"/>
      <c r="CIX141" s="34"/>
      <c r="CIY141" s="34"/>
      <c r="CIZ141" s="34"/>
      <c r="CJA141" s="34"/>
      <c r="CJB141" s="34"/>
      <c r="CJC141" s="34"/>
      <c r="CJD141" s="34"/>
      <c r="CJE141" s="34"/>
      <c r="CJF141" s="34"/>
      <c r="CJG141" s="34"/>
      <c r="CJH141" s="34"/>
      <c r="CJI141" s="34"/>
      <c r="CJJ141" s="34"/>
      <c r="CJK141" s="34"/>
      <c r="CJL141" s="34"/>
      <c r="CJM141" s="34"/>
      <c r="CJN141" s="34"/>
      <c r="CJO141" s="34"/>
      <c r="CJP141" s="34"/>
      <c r="CJQ141" s="34"/>
      <c r="CJR141" s="34"/>
      <c r="CJS141" s="34"/>
      <c r="CJT141" s="34"/>
      <c r="CJU141" s="34"/>
      <c r="CJV141" s="34"/>
      <c r="CJW141" s="34"/>
      <c r="CJX141" s="34"/>
      <c r="CJY141" s="34"/>
      <c r="CJZ141" s="34"/>
      <c r="CKA141" s="34"/>
      <c r="CKB141" s="34"/>
      <c r="CKC141" s="34"/>
      <c r="CKD141" s="34"/>
      <c r="CKE141" s="34"/>
      <c r="CKF141" s="34"/>
      <c r="CKG141" s="34"/>
      <c r="CKH141" s="34"/>
      <c r="CKI141" s="34"/>
      <c r="CKJ141" s="34"/>
      <c r="CKK141" s="34"/>
      <c r="CKL141" s="34"/>
      <c r="CKM141" s="34"/>
      <c r="CKN141" s="34"/>
      <c r="CKO141" s="34"/>
      <c r="CKP141" s="34"/>
      <c r="CKQ141" s="34"/>
      <c r="CKR141" s="34"/>
      <c r="CKS141" s="34"/>
      <c r="CKT141" s="34"/>
      <c r="CKU141" s="34"/>
      <c r="CKV141" s="34"/>
      <c r="CKW141" s="34"/>
      <c r="CKX141" s="34"/>
      <c r="CKY141" s="34"/>
      <c r="CKZ141" s="34"/>
      <c r="CLA141" s="34"/>
      <c r="CLB141" s="34"/>
      <c r="CLC141" s="34"/>
      <c r="CLD141" s="34"/>
      <c r="CLE141" s="34"/>
      <c r="CLF141" s="34"/>
      <c r="CLG141" s="34"/>
      <c r="CLH141" s="34"/>
      <c r="CLI141" s="34"/>
      <c r="CLJ141" s="34"/>
      <c r="CLK141" s="34"/>
      <c r="CLL141" s="34"/>
      <c r="CLM141" s="34"/>
      <c r="CLN141" s="34"/>
      <c r="CLO141" s="34"/>
      <c r="CLP141" s="34"/>
      <c r="CLQ141" s="34"/>
      <c r="CLR141" s="34"/>
      <c r="CLS141" s="34"/>
      <c r="CLT141" s="34"/>
      <c r="CLU141" s="34"/>
      <c r="CLV141" s="34"/>
      <c r="CLW141" s="34"/>
      <c r="CLX141" s="34"/>
      <c r="CLY141" s="34"/>
      <c r="CLZ141" s="34"/>
      <c r="CMA141" s="34"/>
      <c r="CMB141" s="34"/>
      <c r="CMC141" s="34"/>
      <c r="CMD141" s="34"/>
      <c r="CME141" s="34"/>
      <c r="CMF141" s="34"/>
      <c r="CMG141" s="34"/>
      <c r="CMH141" s="34"/>
      <c r="CMI141" s="34"/>
      <c r="CMJ141" s="34"/>
      <c r="CMK141" s="34"/>
      <c r="CML141" s="34"/>
      <c r="CMM141" s="34"/>
      <c r="CMN141" s="34"/>
      <c r="CMO141" s="34"/>
      <c r="CMP141" s="34"/>
      <c r="CMQ141" s="34"/>
      <c r="CMR141" s="34"/>
      <c r="CMS141" s="34"/>
      <c r="CMT141" s="34"/>
      <c r="CMU141" s="34"/>
      <c r="CMV141" s="34"/>
      <c r="CMW141" s="34"/>
      <c r="CMX141" s="34"/>
      <c r="CMY141" s="34"/>
      <c r="CMZ141" s="34"/>
      <c r="CNA141" s="34"/>
      <c r="CNB141" s="34"/>
      <c r="CNC141" s="34"/>
      <c r="CND141" s="34"/>
      <c r="CNE141" s="34"/>
      <c r="CNF141" s="34"/>
      <c r="CNG141" s="34"/>
      <c r="CNH141" s="34"/>
      <c r="CNI141" s="34"/>
      <c r="CNJ141" s="34"/>
      <c r="CNK141" s="34"/>
      <c r="CNL141" s="34"/>
      <c r="CNM141" s="34"/>
      <c r="CNN141" s="34"/>
      <c r="CNO141" s="34"/>
      <c r="CNP141" s="34"/>
      <c r="CNQ141" s="34"/>
      <c r="CNR141" s="34"/>
      <c r="CNS141" s="34"/>
      <c r="CNT141" s="34"/>
      <c r="CNU141" s="34"/>
      <c r="CNV141" s="34"/>
      <c r="CNW141" s="34"/>
      <c r="CNX141" s="34"/>
      <c r="CNY141" s="34"/>
      <c r="CNZ141" s="34"/>
      <c r="COA141" s="34"/>
      <c r="COB141" s="34"/>
      <c r="COC141" s="34"/>
      <c r="COD141" s="34"/>
      <c r="COE141" s="34"/>
      <c r="COF141" s="34"/>
      <c r="COG141" s="34"/>
      <c r="COH141" s="34"/>
      <c r="COI141" s="34"/>
      <c r="COJ141" s="34"/>
      <c r="COK141" s="34"/>
      <c r="COL141" s="34"/>
      <c r="COM141" s="34"/>
      <c r="CON141" s="34"/>
      <c r="COO141" s="34"/>
      <c r="COP141" s="34"/>
      <c r="COQ141" s="34"/>
      <c r="COR141" s="34"/>
      <c r="COS141" s="34"/>
      <c r="COT141" s="34"/>
      <c r="COU141" s="34"/>
      <c r="COV141" s="34"/>
      <c r="COW141" s="34"/>
      <c r="COX141" s="34"/>
      <c r="COY141" s="34"/>
      <c r="COZ141" s="34"/>
      <c r="CPA141" s="34"/>
      <c r="CPB141" s="34"/>
      <c r="CPC141" s="34"/>
      <c r="CPD141" s="34"/>
      <c r="CPE141" s="34"/>
      <c r="CPF141" s="34"/>
      <c r="CPG141" s="34"/>
      <c r="CPH141" s="34"/>
      <c r="CPI141" s="34"/>
      <c r="CPJ141" s="34"/>
      <c r="CPK141" s="34"/>
      <c r="CPL141" s="34"/>
      <c r="CPM141" s="34"/>
      <c r="CPN141" s="34"/>
      <c r="CPO141" s="34"/>
      <c r="CPP141" s="34"/>
      <c r="CPQ141" s="34"/>
      <c r="CPR141" s="34"/>
      <c r="CPS141" s="34"/>
      <c r="CPT141" s="34"/>
      <c r="CPU141" s="34"/>
      <c r="CPV141" s="34"/>
      <c r="CPW141" s="34"/>
      <c r="CPX141" s="34"/>
      <c r="CPY141" s="34"/>
      <c r="CPZ141" s="34"/>
      <c r="CQA141" s="34"/>
      <c r="CQB141" s="34"/>
      <c r="CQC141" s="34"/>
      <c r="CQD141" s="34"/>
      <c r="CQE141" s="34"/>
      <c r="CQF141" s="34"/>
      <c r="CQG141" s="34"/>
      <c r="CQH141" s="34"/>
      <c r="CQI141" s="34"/>
      <c r="CQJ141" s="34"/>
      <c r="CQK141" s="34"/>
      <c r="CQL141" s="34"/>
      <c r="CQM141" s="34"/>
      <c r="CQN141" s="34"/>
      <c r="CQO141" s="34"/>
      <c r="CQP141" s="34"/>
      <c r="CQQ141" s="34"/>
      <c r="CQR141" s="34"/>
      <c r="CQS141" s="34"/>
      <c r="CQT141" s="34"/>
      <c r="CQU141" s="34"/>
      <c r="CQV141" s="34"/>
      <c r="CQW141" s="34"/>
      <c r="CQX141" s="34"/>
      <c r="CQY141" s="34"/>
      <c r="CQZ141" s="34"/>
      <c r="CRA141" s="34"/>
      <c r="CRB141" s="34"/>
      <c r="CRC141" s="34"/>
      <c r="CRD141" s="34"/>
      <c r="CRE141" s="34"/>
      <c r="CRF141" s="34"/>
      <c r="CRG141" s="34"/>
      <c r="CRH141" s="34"/>
      <c r="CRI141" s="34"/>
      <c r="CRJ141" s="34"/>
      <c r="CRK141" s="34"/>
      <c r="CRL141" s="34"/>
      <c r="CRM141" s="34"/>
      <c r="CRN141" s="34"/>
      <c r="CRO141" s="34"/>
      <c r="CRP141" s="34"/>
      <c r="CRQ141" s="34"/>
      <c r="CRR141" s="34"/>
      <c r="CRS141" s="34"/>
      <c r="CRT141" s="34"/>
      <c r="CRU141" s="34"/>
      <c r="CRV141" s="34"/>
      <c r="CRW141" s="34"/>
      <c r="CRX141" s="34"/>
      <c r="CRY141" s="34"/>
      <c r="CRZ141" s="34"/>
      <c r="CSA141" s="34"/>
      <c r="CSB141" s="34"/>
      <c r="CSC141" s="34"/>
      <c r="CSD141" s="34"/>
      <c r="CSE141" s="34"/>
      <c r="CSF141" s="34"/>
      <c r="CSG141" s="34"/>
      <c r="CSH141" s="34"/>
      <c r="CSI141" s="34"/>
      <c r="CSJ141" s="34"/>
      <c r="CSK141" s="34"/>
      <c r="CSL141" s="34"/>
      <c r="CSM141" s="34"/>
      <c r="CSN141" s="34"/>
      <c r="CSO141" s="34"/>
      <c r="CSP141" s="34"/>
      <c r="CSQ141" s="34"/>
      <c r="CSR141" s="34"/>
      <c r="CSS141" s="34"/>
      <c r="CST141" s="34"/>
      <c r="CSU141" s="34"/>
      <c r="CSV141" s="34"/>
      <c r="CSW141" s="34"/>
      <c r="CSX141" s="34"/>
      <c r="CSY141" s="34"/>
      <c r="CSZ141" s="34"/>
      <c r="CTA141" s="34"/>
      <c r="CTB141" s="34"/>
      <c r="CTC141" s="34"/>
      <c r="CTD141" s="34"/>
      <c r="CTE141" s="34"/>
      <c r="CTF141" s="34"/>
      <c r="CTG141" s="34"/>
      <c r="CTH141" s="34"/>
      <c r="CTI141" s="34"/>
      <c r="CTJ141" s="34"/>
      <c r="CTK141" s="34"/>
      <c r="CTL141" s="34"/>
      <c r="CTM141" s="34"/>
      <c r="CTN141" s="34"/>
      <c r="CTO141" s="34"/>
      <c r="CTP141" s="34"/>
      <c r="CTQ141" s="34"/>
      <c r="CTR141" s="34"/>
      <c r="CTS141" s="34"/>
      <c r="CTT141" s="34"/>
      <c r="CTU141" s="34"/>
      <c r="CTV141" s="34"/>
      <c r="CTW141" s="34"/>
      <c r="CTX141" s="34"/>
      <c r="CTY141" s="34"/>
      <c r="CTZ141" s="34"/>
      <c r="CUA141" s="34"/>
      <c r="CUB141" s="34"/>
      <c r="CUC141" s="34"/>
      <c r="CUD141" s="34"/>
      <c r="CUE141" s="34"/>
      <c r="CUF141" s="34"/>
      <c r="CUG141" s="34"/>
      <c r="CUH141" s="34"/>
      <c r="CUI141" s="34"/>
      <c r="CUJ141" s="34"/>
      <c r="CUK141" s="34"/>
      <c r="CUL141" s="34"/>
      <c r="CUM141" s="34"/>
      <c r="CUN141" s="34"/>
      <c r="CUO141" s="34"/>
      <c r="CUP141" s="34"/>
      <c r="CUQ141" s="34"/>
      <c r="CUR141" s="34"/>
      <c r="CUS141" s="34"/>
      <c r="CUT141" s="34"/>
      <c r="CUU141" s="34"/>
      <c r="CUV141" s="34"/>
      <c r="CUW141" s="34"/>
      <c r="CUX141" s="34"/>
      <c r="CUY141" s="34"/>
      <c r="CUZ141" s="34"/>
      <c r="CVA141" s="34"/>
      <c r="CVB141" s="34"/>
      <c r="CVC141" s="34"/>
      <c r="CVD141" s="34"/>
      <c r="CVE141" s="34"/>
      <c r="CVF141" s="34"/>
      <c r="CVG141" s="34"/>
      <c r="CVH141" s="34"/>
      <c r="CVI141" s="34"/>
      <c r="CVJ141" s="34"/>
      <c r="CVK141" s="34"/>
      <c r="CVL141" s="34"/>
      <c r="CVM141" s="34"/>
      <c r="CVN141" s="34"/>
      <c r="CVO141" s="34"/>
      <c r="CVP141" s="34"/>
      <c r="CVQ141" s="34"/>
      <c r="CVR141" s="34"/>
      <c r="CVS141" s="34"/>
      <c r="CVT141" s="34"/>
      <c r="CVU141" s="34"/>
      <c r="CVV141" s="34"/>
      <c r="CVW141" s="34"/>
      <c r="CVX141" s="34"/>
      <c r="CVY141" s="34"/>
      <c r="CVZ141" s="34"/>
      <c r="CWA141" s="34"/>
      <c r="CWB141" s="34"/>
      <c r="CWC141" s="34"/>
      <c r="CWD141" s="34"/>
      <c r="CWE141" s="34"/>
      <c r="CWF141" s="34"/>
      <c r="CWG141" s="34"/>
      <c r="CWH141" s="34"/>
      <c r="CWI141" s="34"/>
      <c r="CWJ141" s="34"/>
      <c r="CWK141" s="34"/>
      <c r="CWL141" s="34"/>
      <c r="CWM141" s="34"/>
      <c r="CWN141" s="34"/>
      <c r="CWO141" s="34"/>
      <c r="CWP141" s="34"/>
      <c r="CWQ141" s="34"/>
      <c r="CWR141" s="34"/>
      <c r="CWS141" s="34"/>
      <c r="CWT141" s="34"/>
      <c r="CWU141" s="34"/>
      <c r="CWV141" s="34"/>
      <c r="CWW141" s="34"/>
      <c r="CWX141" s="34"/>
      <c r="CWY141" s="34"/>
      <c r="CWZ141" s="34"/>
      <c r="CXA141" s="34"/>
      <c r="CXB141" s="34"/>
      <c r="CXC141" s="34"/>
      <c r="CXD141" s="34"/>
      <c r="CXE141" s="34"/>
      <c r="CXF141" s="34"/>
      <c r="CXG141" s="34"/>
      <c r="CXH141" s="34"/>
      <c r="CXI141" s="34"/>
      <c r="CXJ141" s="34"/>
      <c r="CXK141" s="34"/>
      <c r="CXL141" s="34"/>
      <c r="CXM141" s="34"/>
      <c r="CXN141" s="34"/>
      <c r="CXO141" s="34"/>
      <c r="CXP141" s="34"/>
      <c r="CXQ141" s="34"/>
      <c r="CXR141" s="34"/>
      <c r="CXS141" s="34"/>
      <c r="CXT141" s="34"/>
      <c r="CXU141" s="34"/>
      <c r="CXV141" s="34"/>
      <c r="CXW141" s="34"/>
      <c r="CXX141" s="34"/>
      <c r="CXY141" s="34"/>
      <c r="CXZ141" s="34"/>
      <c r="CYA141" s="34"/>
      <c r="CYB141" s="34"/>
      <c r="CYC141" s="34"/>
      <c r="CYD141" s="34"/>
      <c r="CYE141" s="34"/>
      <c r="CYF141" s="34"/>
      <c r="CYG141" s="34"/>
      <c r="CYH141" s="34"/>
      <c r="CYI141" s="34"/>
      <c r="CYJ141" s="34"/>
      <c r="CYK141" s="34"/>
      <c r="CYL141" s="34"/>
      <c r="CYM141" s="34"/>
      <c r="CYN141" s="34"/>
      <c r="CYO141" s="34"/>
      <c r="CYP141" s="34"/>
      <c r="CYQ141" s="34"/>
      <c r="CYR141" s="34"/>
      <c r="CYS141" s="34"/>
      <c r="CYT141" s="34"/>
      <c r="CYU141" s="34"/>
      <c r="CYV141" s="34"/>
      <c r="CYW141" s="34"/>
      <c r="CYX141" s="34"/>
      <c r="CYY141" s="34"/>
      <c r="CYZ141" s="34"/>
      <c r="CZA141" s="34"/>
      <c r="CZB141" s="34"/>
      <c r="CZC141" s="34"/>
      <c r="CZD141" s="34"/>
      <c r="CZE141" s="34"/>
      <c r="CZF141" s="34"/>
      <c r="CZG141" s="34"/>
      <c r="CZH141" s="34"/>
      <c r="CZI141" s="34"/>
      <c r="CZJ141" s="34"/>
      <c r="CZK141" s="34"/>
      <c r="CZL141" s="34"/>
      <c r="CZM141" s="34"/>
      <c r="CZN141" s="34"/>
      <c r="CZO141" s="34"/>
      <c r="CZP141" s="34"/>
      <c r="CZQ141" s="34"/>
      <c r="CZR141" s="34"/>
      <c r="CZS141" s="34"/>
      <c r="CZT141" s="34"/>
      <c r="CZU141" s="34"/>
      <c r="CZV141" s="34"/>
      <c r="CZW141" s="34"/>
      <c r="CZX141" s="34"/>
      <c r="CZY141" s="34"/>
      <c r="CZZ141" s="34"/>
      <c r="DAA141" s="34"/>
      <c r="DAB141" s="34"/>
      <c r="DAC141" s="34"/>
      <c r="DAD141" s="34"/>
      <c r="DAE141" s="34"/>
      <c r="DAF141" s="34"/>
      <c r="DAG141" s="34"/>
      <c r="DAH141" s="34"/>
      <c r="DAI141" s="34"/>
      <c r="DAJ141" s="34"/>
      <c r="DAK141" s="34"/>
      <c r="DAL141" s="34"/>
      <c r="DAM141" s="34"/>
      <c r="DAN141" s="34"/>
      <c r="DAO141" s="34"/>
      <c r="DAP141" s="34"/>
      <c r="DAQ141" s="34"/>
      <c r="DAR141" s="34"/>
      <c r="DAS141" s="34"/>
      <c r="DAT141" s="34"/>
      <c r="DAU141" s="34"/>
      <c r="DAV141" s="34"/>
      <c r="DAW141" s="34"/>
      <c r="DAX141" s="34"/>
      <c r="DAY141" s="34"/>
      <c r="DAZ141" s="34"/>
      <c r="DBA141" s="34"/>
      <c r="DBB141" s="34"/>
      <c r="DBC141" s="34"/>
      <c r="DBD141" s="34"/>
      <c r="DBE141" s="34"/>
      <c r="DBF141" s="34"/>
      <c r="DBG141" s="34"/>
      <c r="DBH141" s="34"/>
      <c r="DBI141" s="34"/>
      <c r="DBJ141" s="34"/>
      <c r="DBK141" s="34"/>
      <c r="DBL141" s="34"/>
      <c r="DBM141" s="34"/>
      <c r="DBN141" s="34"/>
      <c r="DBO141" s="34"/>
      <c r="DBP141" s="34"/>
      <c r="DBQ141" s="34"/>
      <c r="DBR141" s="34"/>
      <c r="DBS141" s="34"/>
      <c r="DBT141" s="34"/>
      <c r="DBU141" s="34"/>
      <c r="DBV141" s="34"/>
      <c r="DBW141" s="34"/>
      <c r="DBX141" s="34"/>
      <c r="DBY141" s="34"/>
      <c r="DBZ141" s="34"/>
      <c r="DCA141" s="34"/>
      <c r="DCB141" s="34"/>
      <c r="DCC141" s="34"/>
      <c r="DCD141" s="34"/>
      <c r="DCE141" s="34"/>
      <c r="DCF141" s="34"/>
      <c r="DCG141" s="34"/>
      <c r="DCH141" s="34"/>
      <c r="DCI141" s="34"/>
      <c r="DCJ141" s="34"/>
      <c r="DCK141" s="34"/>
      <c r="DCL141" s="34"/>
      <c r="DCM141" s="34"/>
      <c r="DCN141" s="34"/>
      <c r="DCO141" s="34"/>
      <c r="DCP141" s="34"/>
      <c r="DCQ141" s="34"/>
      <c r="DCR141" s="34"/>
      <c r="DCS141" s="34"/>
      <c r="DCT141" s="34"/>
      <c r="DCU141" s="34"/>
      <c r="DCV141" s="34"/>
      <c r="DCW141" s="34"/>
      <c r="DCX141" s="34"/>
      <c r="DCY141" s="34"/>
      <c r="DCZ141" s="34"/>
      <c r="DDA141" s="34"/>
      <c r="DDB141" s="34"/>
      <c r="DDC141" s="34"/>
      <c r="DDD141" s="34"/>
      <c r="DDE141" s="34"/>
      <c r="DDF141" s="34"/>
      <c r="DDG141" s="34"/>
      <c r="DDH141" s="34"/>
      <c r="DDI141" s="34"/>
      <c r="DDJ141" s="34"/>
      <c r="DDK141" s="34"/>
      <c r="DDL141" s="34"/>
      <c r="DDM141" s="34"/>
      <c r="DDN141" s="34"/>
      <c r="DDO141" s="34"/>
      <c r="DDP141" s="34"/>
      <c r="DDQ141" s="34"/>
      <c r="DDR141" s="34"/>
      <c r="DDS141" s="34"/>
      <c r="DDT141" s="34"/>
      <c r="DDU141" s="34"/>
      <c r="DDV141" s="34"/>
      <c r="DDW141" s="34"/>
      <c r="DDX141" s="34"/>
      <c r="DDY141" s="34"/>
      <c r="DDZ141" s="34"/>
      <c r="DEA141" s="34"/>
      <c r="DEB141" s="34"/>
      <c r="DEC141" s="34"/>
      <c r="DED141" s="34"/>
      <c r="DEE141" s="34"/>
      <c r="DEF141" s="34"/>
      <c r="DEG141" s="34"/>
      <c r="DEH141" s="34"/>
      <c r="DEI141" s="34"/>
      <c r="DEJ141" s="34"/>
      <c r="DEK141" s="34"/>
      <c r="DEL141" s="34"/>
      <c r="DEM141" s="34"/>
      <c r="DEN141" s="34"/>
      <c r="DEO141" s="34"/>
      <c r="DEP141" s="34"/>
      <c r="DEQ141" s="34"/>
      <c r="DER141" s="34"/>
      <c r="DES141" s="34"/>
      <c r="DET141" s="34"/>
      <c r="DEU141" s="34"/>
      <c r="DEV141" s="34"/>
      <c r="DEW141" s="34"/>
      <c r="DEX141" s="34"/>
      <c r="DEY141" s="34"/>
      <c r="DEZ141" s="34"/>
      <c r="DFA141" s="34"/>
      <c r="DFB141" s="34"/>
      <c r="DFC141" s="34"/>
      <c r="DFD141" s="34"/>
      <c r="DFE141" s="34"/>
      <c r="DFF141" s="34"/>
      <c r="DFG141" s="34"/>
      <c r="DFH141" s="34"/>
      <c r="DFI141" s="34"/>
      <c r="DFJ141" s="34"/>
      <c r="DFK141" s="34"/>
      <c r="DFL141" s="34"/>
      <c r="DFM141" s="34"/>
      <c r="DFN141" s="34"/>
      <c r="DFO141" s="34"/>
      <c r="DFP141" s="34"/>
      <c r="DFQ141" s="34"/>
      <c r="DFR141" s="34"/>
      <c r="DFS141" s="34"/>
      <c r="DFT141" s="34"/>
      <c r="DFU141" s="34"/>
      <c r="DFV141" s="34"/>
      <c r="DFW141" s="34"/>
      <c r="DFX141" s="34"/>
      <c r="DFY141" s="34"/>
      <c r="DFZ141" s="34"/>
      <c r="DGA141" s="34"/>
      <c r="DGB141" s="34"/>
      <c r="DGC141" s="34"/>
      <c r="DGD141" s="34"/>
      <c r="DGE141" s="34"/>
      <c r="DGF141" s="34"/>
      <c r="DGG141" s="34"/>
      <c r="DGH141" s="34"/>
      <c r="DGI141" s="34"/>
      <c r="DGJ141" s="34"/>
      <c r="DGK141" s="34"/>
      <c r="DGL141" s="34"/>
      <c r="DGM141" s="34"/>
      <c r="DGN141" s="34"/>
      <c r="DGO141" s="34"/>
      <c r="DGP141" s="34"/>
      <c r="DGQ141" s="34"/>
      <c r="DGR141" s="34"/>
      <c r="DGS141" s="34"/>
      <c r="DGT141" s="34"/>
      <c r="DGU141" s="34"/>
      <c r="DGV141" s="34"/>
      <c r="DGW141" s="34"/>
      <c r="DGX141" s="34"/>
      <c r="DGY141" s="34"/>
      <c r="DGZ141" s="34"/>
      <c r="DHA141" s="34"/>
      <c r="DHB141" s="34"/>
      <c r="DHC141" s="34"/>
      <c r="DHD141" s="34"/>
      <c r="DHE141" s="34"/>
      <c r="DHF141" s="34"/>
      <c r="DHG141" s="34"/>
      <c r="DHH141" s="34"/>
      <c r="DHI141" s="34"/>
      <c r="DHJ141" s="34"/>
      <c r="DHK141" s="34"/>
      <c r="DHL141" s="34"/>
      <c r="DHM141" s="34"/>
      <c r="DHN141" s="34"/>
      <c r="DHO141" s="34"/>
      <c r="DHP141" s="34"/>
      <c r="DHQ141" s="34"/>
      <c r="DHR141" s="34"/>
      <c r="DHS141" s="34"/>
      <c r="DHT141" s="34"/>
      <c r="DHU141" s="34"/>
      <c r="DHV141" s="34"/>
      <c r="DHW141" s="34"/>
      <c r="DHX141" s="34"/>
      <c r="DHY141" s="34"/>
      <c r="DHZ141" s="34"/>
      <c r="DIA141" s="34"/>
      <c r="DIB141" s="34"/>
      <c r="DIC141" s="34"/>
      <c r="DID141" s="34"/>
      <c r="DIE141" s="34"/>
      <c r="DIF141" s="34"/>
      <c r="DIG141" s="34"/>
      <c r="DIH141" s="34"/>
      <c r="DII141" s="34"/>
      <c r="DIJ141" s="34"/>
      <c r="DIK141" s="34"/>
      <c r="DIL141" s="34"/>
      <c r="DIM141" s="34"/>
      <c r="DIN141" s="34"/>
      <c r="DIO141" s="34"/>
      <c r="DIP141" s="34"/>
      <c r="DIQ141" s="34"/>
      <c r="DIR141" s="34"/>
      <c r="DIS141" s="34"/>
      <c r="DIT141" s="34"/>
      <c r="DIU141" s="34"/>
      <c r="DIV141" s="34"/>
      <c r="DIW141" s="34"/>
      <c r="DIX141" s="34"/>
      <c r="DIY141" s="34"/>
      <c r="DIZ141" s="34"/>
      <c r="DJA141" s="34"/>
      <c r="DJB141" s="34"/>
      <c r="DJC141" s="34"/>
      <c r="DJD141" s="34"/>
      <c r="DJE141" s="34"/>
      <c r="DJF141" s="34"/>
      <c r="DJG141" s="34"/>
      <c r="DJH141" s="34"/>
      <c r="DJI141" s="34"/>
      <c r="DJJ141" s="34"/>
      <c r="DJK141" s="34"/>
      <c r="DJL141" s="34"/>
      <c r="DJM141" s="34"/>
      <c r="DJN141" s="34"/>
      <c r="DJO141" s="34"/>
      <c r="DJP141" s="34"/>
      <c r="DJQ141" s="34"/>
      <c r="DJR141" s="34"/>
      <c r="DJS141" s="34"/>
      <c r="DJT141" s="34"/>
      <c r="DJU141" s="34"/>
      <c r="DJV141" s="34"/>
      <c r="DJW141" s="34"/>
      <c r="DJX141" s="34"/>
      <c r="DJY141" s="34"/>
      <c r="DJZ141" s="34"/>
      <c r="DKA141" s="34"/>
      <c r="DKB141" s="34"/>
      <c r="DKC141" s="34"/>
      <c r="DKD141" s="34"/>
      <c r="DKE141" s="34"/>
      <c r="DKF141" s="34"/>
      <c r="DKG141" s="34"/>
      <c r="DKH141" s="34"/>
      <c r="DKI141" s="34"/>
      <c r="DKJ141" s="34"/>
      <c r="DKK141" s="34"/>
      <c r="DKL141" s="34"/>
      <c r="DKM141" s="34"/>
      <c r="DKN141" s="34"/>
      <c r="DKO141" s="34"/>
      <c r="DKP141" s="34"/>
      <c r="DKQ141" s="34"/>
      <c r="DKR141" s="34"/>
      <c r="DKS141" s="34"/>
      <c r="DKT141" s="34"/>
      <c r="DKU141" s="34"/>
      <c r="DKV141" s="34"/>
      <c r="DKW141" s="34"/>
      <c r="DKX141" s="34"/>
      <c r="DKY141" s="34"/>
      <c r="DKZ141" s="34"/>
      <c r="DLA141" s="34"/>
      <c r="DLB141" s="34"/>
      <c r="DLC141" s="34"/>
      <c r="DLD141" s="34"/>
      <c r="DLE141" s="34"/>
      <c r="DLF141" s="34"/>
      <c r="DLG141" s="34"/>
      <c r="DLH141" s="34"/>
      <c r="DLI141" s="34"/>
      <c r="DLJ141" s="34"/>
      <c r="DLK141" s="34"/>
      <c r="DLL141" s="34"/>
      <c r="DLM141" s="34"/>
      <c r="DLN141" s="34"/>
      <c r="DLO141" s="34"/>
      <c r="DLP141" s="34"/>
      <c r="DLQ141" s="34"/>
      <c r="DLR141" s="34"/>
      <c r="DLS141" s="34"/>
      <c r="DLT141" s="34"/>
      <c r="DLU141" s="34"/>
      <c r="DLV141" s="34"/>
      <c r="DLW141" s="34"/>
      <c r="DLX141" s="34"/>
      <c r="DLY141" s="34"/>
      <c r="DLZ141" s="34"/>
      <c r="DMA141" s="34"/>
      <c r="DMB141" s="34"/>
      <c r="DMC141" s="34"/>
      <c r="DMD141" s="34"/>
      <c r="DME141" s="34"/>
      <c r="DMF141" s="34"/>
      <c r="DMG141" s="34"/>
      <c r="DMH141" s="34"/>
      <c r="DMI141" s="34"/>
      <c r="DMJ141" s="34"/>
      <c r="DMK141" s="34"/>
      <c r="DML141" s="34"/>
      <c r="DMM141" s="34"/>
      <c r="DMN141" s="34"/>
      <c r="DMO141" s="34"/>
      <c r="DMP141" s="34"/>
      <c r="DMQ141" s="34"/>
      <c r="DMR141" s="34"/>
      <c r="DMS141" s="34"/>
      <c r="DMT141" s="34"/>
      <c r="DMU141" s="34"/>
      <c r="DMV141" s="34"/>
      <c r="DMW141" s="34"/>
      <c r="DMX141" s="34"/>
      <c r="DMY141" s="34"/>
      <c r="DMZ141" s="34"/>
      <c r="DNA141" s="34"/>
      <c r="DNB141" s="34"/>
      <c r="DNC141" s="34"/>
      <c r="DND141" s="34"/>
      <c r="DNE141" s="34"/>
      <c r="DNF141" s="34"/>
      <c r="DNG141" s="34"/>
      <c r="DNH141" s="34"/>
      <c r="DNI141" s="34"/>
      <c r="DNJ141" s="34"/>
      <c r="DNK141" s="34"/>
      <c r="DNL141" s="34"/>
      <c r="DNM141" s="34"/>
      <c r="DNN141" s="34"/>
      <c r="DNO141" s="34"/>
      <c r="DNP141" s="34"/>
      <c r="DNQ141" s="34"/>
      <c r="DNR141" s="34"/>
      <c r="DNS141" s="34"/>
      <c r="DNT141" s="34"/>
      <c r="DNU141" s="34"/>
      <c r="DNV141" s="34"/>
      <c r="DNW141" s="34"/>
      <c r="DNX141" s="34"/>
      <c r="DNY141" s="34"/>
      <c r="DNZ141" s="34"/>
      <c r="DOA141" s="34"/>
      <c r="DOB141" s="34"/>
      <c r="DOC141" s="34"/>
      <c r="DOD141" s="34"/>
      <c r="DOE141" s="34"/>
      <c r="DOF141" s="34"/>
      <c r="DOG141" s="34"/>
      <c r="DOH141" s="34"/>
      <c r="DOI141" s="34"/>
      <c r="DOJ141" s="34"/>
      <c r="DOK141" s="34"/>
      <c r="DOL141" s="34"/>
      <c r="DOM141" s="34"/>
      <c r="DON141" s="34"/>
      <c r="DOO141" s="34"/>
      <c r="DOP141" s="34"/>
      <c r="DOQ141" s="34"/>
      <c r="DOR141" s="34"/>
      <c r="DOS141" s="34"/>
      <c r="DOT141" s="34"/>
      <c r="DOU141" s="34"/>
      <c r="DOV141" s="34"/>
      <c r="DOW141" s="34"/>
      <c r="DOX141" s="34"/>
      <c r="DOY141" s="34"/>
      <c r="DOZ141" s="34"/>
      <c r="DPA141" s="34"/>
      <c r="DPB141" s="34"/>
      <c r="DPC141" s="34"/>
      <c r="DPD141" s="34"/>
      <c r="DPE141" s="34"/>
      <c r="DPF141" s="34"/>
      <c r="DPG141" s="34"/>
      <c r="DPH141" s="34"/>
      <c r="DPI141" s="34"/>
      <c r="DPJ141" s="34"/>
      <c r="DPK141" s="34"/>
      <c r="DPL141" s="34"/>
      <c r="DPM141" s="34"/>
      <c r="DPN141" s="34"/>
      <c r="DPO141" s="34"/>
      <c r="DPP141" s="34"/>
      <c r="DPQ141" s="34"/>
      <c r="DPR141" s="34"/>
      <c r="DPS141" s="34"/>
      <c r="DPT141" s="34"/>
      <c r="DPU141" s="34"/>
      <c r="DPV141" s="34"/>
      <c r="DPW141" s="34"/>
      <c r="DPX141" s="34"/>
      <c r="DPY141" s="34"/>
      <c r="DPZ141" s="34"/>
      <c r="DQA141" s="34"/>
      <c r="DQB141" s="34"/>
      <c r="DQC141" s="34"/>
      <c r="DQD141" s="34"/>
      <c r="DQE141" s="34"/>
      <c r="DQF141" s="34"/>
      <c r="DQG141" s="34"/>
      <c r="DQH141" s="34"/>
      <c r="DQI141" s="34"/>
      <c r="DQJ141" s="34"/>
      <c r="DQK141" s="34"/>
      <c r="DQL141" s="34"/>
      <c r="DQM141" s="34"/>
      <c r="DQN141" s="34"/>
      <c r="DQO141" s="34"/>
      <c r="DQP141" s="34"/>
      <c r="DQQ141" s="34"/>
      <c r="DQR141" s="34"/>
      <c r="DQS141" s="34"/>
      <c r="DQT141" s="34"/>
      <c r="DQU141" s="34"/>
      <c r="DQV141" s="34"/>
      <c r="DQW141" s="34"/>
      <c r="DQX141" s="34"/>
      <c r="DQY141" s="34"/>
      <c r="DQZ141" s="34"/>
      <c r="DRA141" s="34"/>
      <c r="DRB141" s="34"/>
      <c r="DRC141" s="34"/>
      <c r="DRD141" s="34"/>
      <c r="DRE141" s="34"/>
      <c r="DRF141" s="34"/>
      <c r="DRG141" s="34"/>
      <c r="DRH141" s="34"/>
      <c r="DRI141" s="34"/>
      <c r="DRJ141" s="34"/>
      <c r="DRK141" s="34"/>
      <c r="DRL141" s="34"/>
      <c r="DRM141" s="34"/>
      <c r="DRN141" s="34"/>
      <c r="DRO141" s="34"/>
      <c r="DRP141" s="34"/>
      <c r="DRQ141" s="34"/>
      <c r="DRR141" s="34"/>
      <c r="DRS141" s="34"/>
      <c r="DRT141" s="34"/>
      <c r="DRU141" s="34"/>
      <c r="DRV141" s="34"/>
      <c r="DRW141" s="34"/>
      <c r="DRX141" s="34"/>
      <c r="DRY141" s="34"/>
      <c r="DRZ141" s="34"/>
      <c r="DSA141" s="34"/>
      <c r="DSB141" s="34"/>
      <c r="DSC141" s="34"/>
      <c r="DSD141" s="34"/>
      <c r="DSE141" s="34"/>
      <c r="DSF141" s="34"/>
      <c r="DSG141" s="34"/>
      <c r="DSH141" s="34"/>
      <c r="DSI141" s="34"/>
      <c r="DSJ141" s="34"/>
      <c r="DSK141" s="34"/>
      <c r="DSL141" s="34"/>
      <c r="DSM141" s="34"/>
      <c r="DSN141" s="34"/>
      <c r="DSO141" s="34"/>
      <c r="DSP141" s="34"/>
      <c r="DSQ141" s="34"/>
      <c r="DSR141" s="34"/>
      <c r="DSS141" s="34"/>
      <c r="DST141" s="34"/>
      <c r="DSU141" s="34"/>
      <c r="DSV141" s="34"/>
      <c r="DSW141" s="34"/>
      <c r="DSX141" s="34"/>
      <c r="DSY141" s="34"/>
      <c r="DSZ141" s="34"/>
      <c r="DTA141" s="34"/>
      <c r="DTB141" s="34"/>
      <c r="DTC141" s="34"/>
      <c r="DTD141" s="34"/>
      <c r="DTE141" s="34"/>
      <c r="DTF141" s="34"/>
      <c r="DTG141" s="34"/>
      <c r="DTH141" s="34"/>
      <c r="DTI141" s="34"/>
      <c r="DTJ141" s="34"/>
      <c r="DTK141" s="34"/>
      <c r="DTL141" s="34"/>
      <c r="DTM141" s="34"/>
      <c r="DTN141" s="34"/>
      <c r="DTO141" s="34"/>
      <c r="DTP141" s="34"/>
      <c r="DTQ141" s="34"/>
      <c r="DTR141" s="34"/>
      <c r="DTS141" s="34"/>
      <c r="DTT141" s="34"/>
      <c r="DTU141" s="34"/>
      <c r="DTV141" s="34"/>
      <c r="DTW141" s="34"/>
      <c r="DTX141" s="34"/>
      <c r="DTY141" s="34"/>
      <c r="DTZ141" s="34"/>
      <c r="DUA141" s="34"/>
      <c r="DUB141" s="34"/>
      <c r="DUC141" s="34"/>
      <c r="DUD141" s="34"/>
      <c r="DUE141" s="34"/>
      <c r="DUF141" s="34"/>
      <c r="DUG141" s="34"/>
      <c r="DUH141" s="34"/>
      <c r="DUI141" s="34"/>
      <c r="DUJ141" s="34"/>
      <c r="DUK141" s="34"/>
      <c r="DUL141" s="34"/>
      <c r="DUM141" s="34"/>
      <c r="DUN141" s="34"/>
      <c r="DUO141" s="34"/>
      <c r="DUP141" s="34"/>
      <c r="DUQ141" s="34"/>
      <c r="DUR141" s="34"/>
      <c r="DUS141" s="34"/>
      <c r="DUT141" s="34"/>
      <c r="DUU141" s="34"/>
      <c r="DUV141" s="34"/>
      <c r="DUW141" s="34"/>
      <c r="DUX141" s="34"/>
      <c r="DUY141" s="34"/>
      <c r="DUZ141" s="34"/>
      <c r="DVA141" s="34"/>
      <c r="DVB141" s="34"/>
      <c r="DVC141" s="34"/>
      <c r="DVD141" s="34"/>
      <c r="DVE141" s="34"/>
      <c r="DVF141" s="34"/>
      <c r="DVG141" s="34"/>
      <c r="DVH141" s="34"/>
      <c r="DVI141" s="34"/>
      <c r="DVJ141" s="34"/>
      <c r="DVK141" s="34"/>
      <c r="DVL141" s="34"/>
      <c r="DVM141" s="34"/>
      <c r="DVN141" s="34"/>
      <c r="DVO141" s="34"/>
      <c r="DVP141" s="34"/>
      <c r="DVQ141" s="34"/>
      <c r="DVR141" s="34"/>
      <c r="DVS141" s="34"/>
      <c r="DVT141" s="34"/>
      <c r="DVU141" s="34"/>
      <c r="DVV141" s="34"/>
      <c r="DVW141" s="34"/>
      <c r="DVX141" s="34"/>
      <c r="DVY141" s="34"/>
      <c r="DVZ141" s="34"/>
      <c r="DWA141" s="34"/>
      <c r="DWB141" s="34"/>
      <c r="DWC141" s="34"/>
      <c r="DWD141" s="34"/>
      <c r="DWE141" s="34"/>
      <c r="DWF141" s="34"/>
      <c r="DWG141" s="34"/>
      <c r="DWH141" s="34"/>
      <c r="DWI141" s="34"/>
      <c r="DWJ141" s="34"/>
      <c r="DWK141" s="34"/>
      <c r="DWL141" s="34"/>
      <c r="DWM141" s="34"/>
      <c r="DWN141" s="34"/>
      <c r="DWO141" s="34"/>
      <c r="DWP141" s="34"/>
      <c r="DWQ141" s="34"/>
      <c r="DWR141" s="34"/>
      <c r="DWS141" s="34"/>
      <c r="DWT141" s="34"/>
      <c r="DWU141" s="34"/>
      <c r="DWV141" s="34"/>
      <c r="DWW141" s="34"/>
      <c r="DWX141" s="34"/>
      <c r="DWY141" s="34"/>
      <c r="DWZ141" s="34"/>
      <c r="DXA141" s="34"/>
      <c r="DXB141" s="34"/>
      <c r="DXC141" s="34"/>
      <c r="DXD141" s="34"/>
      <c r="DXE141" s="34"/>
      <c r="DXF141" s="34"/>
      <c r="DXG141" s="34"/>
      <c r="DXH141" s="34"/>
      <c r="DXI141" s="34"/>
      <c r="DXJ141" s="34"/>
      <c r="DXK141" s="34"/>
      <c r="DXL141" s="34"/>
      <c r="DXM141" s="34"/>
      <c r="DXN141" s="34"/>
      <c r="DXO141" s="34"/>
      <c r="DXP141" s="34"/>
      <c r="DXQ141" s="34"/>
      <c r="DXR141" s="34"/>
      <c r="DXS141" s="34"/>
      <c r="DXT141" s="34"/>
      <c r="DXU141" s="34"/>
      <c r="DXV141" s="34"/>
      <c r="DXW141" s="34"/>
      <c r="DXX141" s="34"/>
      <c r="DXY141" s="34"/>
      <c r="DXZ141" s="34"/>
      <c r="DYA141" s="34"/>
      <c r="DYB141" s="34"/>
      <c r="DYC141" s="34"/>
      <c r="DYD141" s="34"/>
      <c r="DYE141" s="34"/>
      <c r="DYF141" s="34"/>
      <c r="DYG141" s="34"/>
      <c r="DYH141" s="34"/>
      <c r="DYI141" s="34"/>
      <c r="DYJ141" s="34"/>
      <c r="DYK141" s="34"/>
      <c r="DYL141" s="34"/>
      <c r="DYM141" s="34"/>
      <c r="DYN141" s="34"/>
      <c r="DYO141" s="34"/>
      <c r="DYP141" s="34"/>
      <c r="DYQ141" s="34"/>
      <c r="DYR141" s="34"/>
      <c r="DYS141" s="34"/>
      <c r="DYT141" s="34"/>
      <c r="DYU141" s="34"/>
      <c r="DYV141" s="34"/>
      <c r="DYW141" s="34"/>
      <c r="DYX141" s="34"/>
      <c r="DYY141" s="34"/>
      <c r="DYZ141" s="34"/>
      <c r="DZA141" s="34"/>
      <c r="DZB141" s="34"/>
      <c r="DZC141" s="34"/>
      <c r="DZD141" s="34"/>
      <c r="DZE141" s="34"/>
      <c r="DZF141" s="34"/>
      <c r="DZG141" s="34"/>
      <c r="DZH141" s="34"/>
      <c r="DZI141" s="34"/>
      <c r="DZJ141" s="34"/>
      <c r="DZK141" s="34"/>
      <c r="DZL141" s="34"/>
      <c r="DZM141" s="34"/>
      <c r="DZN141" s="34"/>
      <c r="DZO141" s="34"/>
      <c r="DZP141" s="34"/>
      <c r="DZQ141" s="34"/>
      <c r="DZR141" s="34"/>
      <c r="DZS141" s="34"/>
      <c r="DZT141" s="34"/>
      <c r="DZU141" s="34"/>
      <c r="DZV141" s="34"/>
      <c r="DZW141" s="34"/>
      <c r="DZX141" s="34"/>
      <c r="DZY141" s="34"/>
      <c r="DZZ141" s="34"/>
      <c r="EAA141" s="34"/>
      <c r="EAB141" s="34"/>
      <c r="EAC141" s="34"/>
      <c r="EAD141" s="34"/>
      <c r="EAE141" s="34"/>
      <c r="EAF141" s="34"/>
      <c r="EAG141" s="34"/>
      <c r="EAH141" s="34"/>
      <c r="EAI141" s="34"/>
      <c r="EAJ141" s="34"/>
      <c r="EAK141" s="34"/>
      <c r="EAL141" s="34"/>
      <c r="EAM141" s="34"/>
      <c r="EAN141" s="34"/>
      <c r="EAO141" s="34"/>
      <c r="EAP141" s="34"/>
      <c r="EAQ141" s="34"/>
      <c r="EAR141" s="34"/>
      <c r="EAS141" s="34"/>
      <c r="EAT141" s="34"/>
      <c r="EAU141" s="34"/>
      <c r="EAV141" s="34"/>
      <c r="EAW141" s="34"/>
      <c r="EAX141" s="34"/>
      <c r="EAY141" s="34"/>
      <c r="EAZ141" s="34"/>
      <c r="EBA141" s="34"/>
      <c r="EBB141" s="34"/>
      <c r="EBC141" s="34"/>
      <c r="EBD141" s="34"/>
      <c r="EBE141" s="34"/>
      <c r="EBF141" s="34"/>
      <c r="EBG141" s="34"/>
      <c r="EBH141" s="34"/>
      <c r="EBI141" s="34"/>
      <c r="EBJ141" s="34"/>
      <c r="EBK141" s="34"/>
      <c r="EBL141" s="34"/>
      <c r="EBM141" s="34"/>
      <c r="EBN141" s="34"/>
      <c r="EBO141" s="34"/>
      <c r="EBP141" s="34"/>
      <c r="EBQ141" s="34"/>
      <c r="EBR141" s="34"/>
      <c r="EBS141" s="34"/>
      <c r="EBT141" s="34"/>
      <c r="EBU141" s="34"/>
      <c r="EBV141" s="34"/>
      <c r="EBW141" s="34"/>
      <c r="EBX141" s="34"/>
      <c r="EBY141" s="34"/>
      <c r="EBZ141" s="34"/>
      <c r="ECA141" s="34"/>
      <c r="ECB141" s="34"/>
      <c r="ECC141" s="34"/>
      <c r="ECD141" s="34"/>
      <c r="ECE141" s="34"/>
      <c r="ECF141" s="34"/>
      <c r="ECG141" s="34"/>
      <c r="ECH141" s="34"/>
      <c r="ECI141" s="34"/>
      <c r="ECJ141" s="34"/>
      <c r="ECK141" s="34"/>
      <c r="ECL141" s="34"/>
      <c r="ECM141" s="34"/>
      <c r="ECN141" s="34"/>
      <c r="ECO141" s="34"/>
      <c r="ECP141" s="34"/>
      <c r="ECQ141" s="34"/>
      <c r="ECR141" s="34"/>
      <c r="ECS141" s="34"/>
      <c r="ECT141" s="34"/>
      <c r="ECU141" s="34"/>
      <c r="ECV141" s="34"/>
      <c r="ECW141" s="34"/>
      <c r="ECX141" s="34"/>
      <c r="ECY141" s="34"/>
      <c r="ECZ141" s="34"/>
      <c r="EDA141" s="34"/>
      <c r="EDB141" s="34"/>
      <c r="EDC141" s="34"/>
      <c r="EDD141" s="34"/>
      <c r="EDE141" s="34"/>
      <c r="EDF141" s="34"/>
      <c r="EDG141" s="34"/>
      <c r="EDH141" s="34"/>
      <c r="EDI141" s="34"/>
      <c r="EDJ141" s="34"/>
      <c r="EDK141" s="34"/>
      <c r="EDL141" s="34"/>
      <c r="EDM141" s="34"/>
      <c r="EDN141" s="34"/>
      <c r="EDO141" s="34"/>
      <c r="EDP141" s="34"/>
      <c r="EDQ141" s="34"/>
      <c r="EDR141" s="34"/>
      <c r="EDS141" s="34"/>
      <c r="EDT141" s="34"/>
      <c r="EDU141" s="34"/>
      <c r="EDV141" s="34"/>
      <c r="EDW141" s="34"/>
      <c r="EDX141" s="34"/>
      <c r="EDY141" s="34"/>
      <c r="EDZ141" s="34"/>
      <c r="EEA141" s="34"/>
      <c r="EEB141" s="34"/>
      <c r="EEC141" s="34"/>
      <c r="EED141" s="34"/>
      <c r="EEE141" s="34"/>
      <c r="EEF141" s="34"/>
      <c r="EEG141" s="34"/>
      <c r="EEH141" s="34"/>
      <c r="EEI141" s="34"/>
      <c r="EEJ141" s="34"/>
      <c r="EEK141" s="34"/>
      <c r="EEL141" s="34"/>
      <c r="EEM141" s="34"/>
      <c r="EEN141" s="34"/>
      <c r="EEO141" s="34"/>
      <c r="EEP141" s="34"/>
      <c r="EEQ141" s="34"/>
      <c r="EER141" s="34"/>
      <c r="EES141" s="34"/>
      <c r="EET141" s="34"/>
      <c r="EEU141" s="34"/>
      <c r="EEV141" s="34"/>
      <c r="EEW141" s="34"/>
      <c r="EEX141" s="34"/>
      <c r="EEY141" s="34"/>
      <c r="EEZ141" s="34"/>
      <c r="EFA141" s="34"/>
      <c r="EFB141" s="34"/>
      <c r="EFC141" s="34"/>
      <c r="EFD141" s="34"/>
      <c r="EFE141" s="34"/>
      <c r="EFF141" s="34"/>
      <c r="EFG141" s="34"/>
      <c r="EFH141" s="34"/>
      <c r="EFI141" s="34"/>
      <c r="EFJ141" s="34"/>
      <c r="EFK141" s="34"/>
      <c r="EFL141" s="34"/>
      <c r="EFM141" s="34"/>
      <c r="EFN141" s="34"/>
      <c r="EFO141" s="34"/>
      <c r="EFP141" s="34"/>
      <c r="EFQ141" s="34"/>
      <c r="EFR141" s="34"/>
      <c r="EFS141" s="34"/>
      <c r="EFT141" s="34"/>
      <c r="EFU141" s="34"/>
      <c r="EFV141" s="34"/>
      <c r="EFW141" s="34"/>
      <c r="EFX141" s="34"/>
      <c r="EFY141" s="34"/>
      <c r="EFZ141" s="34"/>
      <c r="EGA141" s="34"/>
      <c r="EGB141" s="34"/>
      <c r="EGC141" s="34"/>
      <c r="EGD141" s="34"/>
      <c r="EGE141" s="34"/>
      <c r="EGF141" s="34"/>
      <c r="EGG141" s="34"/>
      <c r="EGH141" s="34"/>
      <c r="EGI141" s="34"/>
      <c r="EGJ141" s="34"/>
      <c r="EGK141" s="34"/>
      <c r="EGL141" s="34"/>
      <c r="EGM141" s="34"/>
      <c r="EGN141" s="34"/>
      <c r="EGO141" s="34"/>
      <c r="EGP141" s="34"/>
      <c r="EGQ141" s="34"/>
      <c r="EGR141" s="34"/>
      <c r="EGS141" s="34"/>
      <c r="EGT141" s="34"/>
      <c r="EGU141" s="34"/>
      <c r="EGV141" s="34"/>
      <c r="EGW141" s="34"/>
      <c r="EGX141" s="34"/>
      <c r="EGY141" s="34"/>
      <c r="EGZ141" s="34"/>
      <c r="EHA141" s="34"/>
      <c r="EHB141" s="34"/>
      <c r="EHC141" s="34"/>
      <c r="EHD141" s="34"/>
      <c r="EHE141" s="34"/>
      <c r="EHF141" s="34"/>
      <c r="EHG141" s="34"/>
      <c r="EHH141" s="34"/>
      <c r="EHI141" s="34"/>
      <c r="EHJ141" s="34"/>
      <c r="EHK141" s="34"/>
      <c r="EHL141" s="34"/>
      <c r="EHM141" s="34"/>
      <c r="EHN141" s="34"/>
      <c r="EHO141" s="34"/>
      <c r="EHP141" s="34"/>
      <c r="EHQ141" s="34"/>
      <c r="EHR141" s="34"/>
      <c r="EHS141" s="34"/>
      <c r="EHT141" s="34"/>
      <c r="EHU141" s="34"/>
      <c r="EHV141" s="34"/>
      <c r="EHW141" s="34"/>
      <c r="EHX141" s="34"/>
      <c r="EHY141" s="34"/>
      <c r="EHZ141" s="34"/>
      <c r="EIA141" s="34"/>
      <c r="EIB141" s="34"/>
      <c r="EIC141" s="34"/>
      <c r="EID141" s="34"/>
      <c r="EIE141" s="34"/>
      <c r="EIF141" s="34"/>
      <c r="EIG141" s="34"/>
      <c r="EIH141" s="34"/>
      <c r="EII141" s="34"/>
      <c r="EIJ141" s="34"/>
      <c r="EIK141" s="34"/>
      <c r="EIL141" s="34"/>
      <c r="EIM141" s="34"/>
      <c r="EIN141" s="34"/>
      <c r="EIO141" s="34"/>
      <c r="EIP141" s="34"/>
      <c r="EIQ141" s="34"/>
      <c r="EIR141" s="34"/>
      <c r="EIS141" s="34"/>
      <c r="EIT141" s="34"/>
      <c r="EIU141" s="34"/>
      <c r="EIV141" s="34"/>
      <c r="EIW141" s="34"/>
      <c r="EIX141" s="34"/>
      <c r="EIY141" s="34"/>
      <c r="EIZ141" s="34"/>
      <c r="EJA141" s="34"/>
      <c r="EJB141" s="34"/>
      <c r="EJC141" s="34"/>
      <c r="EJD141" s="34"/>
      <c r="EJE141" s="34"/>
      <c r="EJF141" s="34"/>
      <c r="EJG141" s="34"/>
      <c r="EJH141" s="34"/>
      <c r="EJI141" s="34"/>
      <c r="EJJ141" s="34"/>
      <c r="EJK141" s="34"/>
      <c r="EJL141" s="34"/>
      <c r="EJM141" s="34"/>
      <c r="EJN141" s="34"/>
      <c r="EJO141" s="34"/>
      <c r="EJP141" s="34"/>
      <c r="EJQ141" s="34"/>
      <c r="EJR141" s="34"/>
      <c r="EJS141" s="34"/>
      <c r="EJT141" s="34"/>
      <c r="EJU141" s="34"/>
      <c r="EJV141" s="34"/>
      <c r="EJW141" s="34"/>
      <c r="EJX141" s="34"/>
      <c r="EJY141" s="34"/>
      <c r="EJZ141" s="34"/>
      <c r="EKA141" s="34"/>
      <c r="EKB141" s="34"/>
      <c r="EKC141" s="34"/>
      <c r="EKD141" s="34"/>
      <c r="EKE141" s="34"/>
      <c r="EKF141" s="34"/>
      <c r="EKG141" s="34"/>
      <c r="EKH141" s="34"/>
      <c r="EKI141" s="34"/>
      <c r="EKJ141" s="34"/>
      <c r="EKK141" s="34"/>
      <c r="EKL141" s="34"/>
      <c r="EKM141" s="34"/>
      <c r="EKN141" s="34"/>
      <c r="EKO141" s="34"/>
      <c r="EKP141" s="34"/>
      <c r="EKQ141" s="34"/>
      <c r="EKR141" s="34"/>
      <c r="EKS141" s="34"/>
      <c r="EKT141" s="34"/>
      <c r="EKU141" s="34"/>
      <c r="EKV141" s="34"/>
      <c r="EKW141" s="34"/>
      <c r="EKX141" s="34"/>
      <c r="EKY141" s="34"/>
      <c r="EKZ141" s="34"/>
      <c r="ELA141" s="34"/>
      <c r="ELB141" s="34"/>
      <c r="ELC141" s="34"/>
      <c r="ELD141" s="34"/>
      <c r="ELE141" s="34"/>
      <c r="ELF141" s="34"/>
      <c r="ELG141" s="34"/>
      <c r="ELH141" s="34"/>
      <c r="ELI141" s="34"/>
      <c r="ELJ141" s="34"/>
      <c r="ELK141" s="34"/>
      <c r="ELL141" s="34"/>
      <c r="ELM141" s="34"/>
      <c r="ELN141" s="34"/>
      <c r="ELO141" s="34"/>
      <c r="ELP141" s="34"/>
      <c r="ELQ141" s="34"/>
      <c r="ELR141" s="34"/>
      <c r="ELS141" s="34"/>
      <c r="ELT141" s="34"/>
      <c r="ELU141" s="34"/>
      <c r="ELV141" s="34"/>
      <c r="ELW141" s="34"/>
      <c r="ELX141" s="34"/>
      <c r="ELY141" s="34"/>
      <c r="ELZ141" s="34"/>
      <c r="EMA141" s="34"/>
      <c r="EMB141" s="34"/>
      <c r="EMC141" s="34"/>
      <c r="EMD141" s="34"/>
      <c r="EME141" s="34"/>
      <c r="EMF141" s="34"/>
      <c r="EMG141" s="34"/>
      <c r="EMH141" s="34"/>
      <c r="EMI141" s="34"/>
      <c r="EMJ141" s="34"/>
      <c r="EMK141" s="34"/>
      <c r="EML141" s="34"/>
      <c r="EMM141" s="34"/>
      <c r="EMN141" s="34"/>
      <c r="EMO141" s="34"/>
      <c r="EMP141" s="34"/>
      <c r="EMQ141" s="34"/>
      <c r="EMR141" s="34"/>
      <c r="EMS141" s="34"/>
      <c r="EMT141" s="34"/>
      <c r="EMU141" s="34"/>
      <c r="EMV141" s="34"/>
      <c r="EMW141" s="34"/>
      <c r="EMX141" s="34"/>
      <c r="EMY141" s="34"/>
      <c r="EMZ141" s="34"/>
      <c r="ENA141" s="34"/>
      <c r="ENB141" s="34"/>
      <c r="ENC141" s="34"/>
      <c r="END141" s="34"/>
      <c r="ENE141" s="34"/>
      <c r="ENF141" s="34"/>
      <c r="ENG141" s="34"/>
      <c r="ENH141" s="34"/>
      <c r="ENI141" s="34"/>
      <c r="ENJ141" s="34"/>
      <c r="ENK141" s="34"/>
      <c r="ENL141" s="34"/>
      <c r="ENM141" s="34"/>
      <c r="ENN141" s="34"/>
      <c r="ENO141" s="34"/>
      <c r="ENP141" s="34"/>
      <c r="ENQ141" s="34"/>
      <c r="ENR141" s="34"/>
      <c r="ENS141" s="34"/>
      <c r="ENT141" s="34"/>
      <c r="ENU141" s="34"/>
      <c r="ENV141" s="34"/>
      <c r="ENW141" s="34"/>
      <c r="ENX141" s="34"/>
      <c r="ENY141" s="34"/>
      <c r="ENZ141" s="34"/>
      <c r="EOA141" s="34"/>
      <c r="EOB141" s="34"/>
      <c r="EOC141" s="34"/>
      <c r="EOD141" s="34"/>
      <c r="EOE141" s="34"/>
      <c r="EOF141" s="34"/>
      <c r="EOG141" s="34"/>
      <c r="EOH141" s="34"/>
      <c r="EOI141" s="34"/>
      <c r="EOJ141" s="34"/>
      <c r="EOK141" s="34"/>
      <c r="EOL141" s="34"/>
      <c r="EOM141" s="34"/>
      <c r="EON141" s="34"/>
      <c r="EOO141" s="34"/>
      <c r="EOP141" s="34"/>
      <c r="EOQ141" s="34"/>
      <c r="EOR141" s="34"/>
      <c r="EOS141" s="34"/>
      <c r="EOT141" s="34"/>
      <c r="EOU141" s="34"/>
      <c r="EOV141" s="34"/>
      <c r="EOW141" s="34"/>
      <c r="EOX141" s="34"/>
      <c r="EOY141" s="34"/>
      <c r="EOZ141" s="34"/>
      <c r="EPA141" s="34"/>
      <c r="EPB141" s="34"/>
      <c r="EPC141" s="34"/>
      <c r="EPD141" s="34"/>
      <c r="EPE141" s="34"/>
      <c r="EPF141" s="34"/>
      <c r="EPG141" s="34"/>
      <c r="EPH141" s="34"/>
      <c r="EPI141" s="34"/>
      <c r="EPJ141" s="34"/>
      <c r="EPK141" s="34"/>
      <c r="EPL141" s="34"/>
      <c r="EPM141" s="34"/>
      <c r="EPN141" s="34"/>
      <c r="EPO141" s="34"/>
      <c r="EPP141" s="34"/>
      <c r="EPQ141" s="34"/>
      <c r="EPR141" s="34"/>
      <c r="EPS141" s="34"/>
      <c r="EPT141" s="34"/>
      <c r="EPU141" s="34"/>
      <c r="EPV141" s="34"/>
      <c r="EPW141" s="34"/>
      <c r="EPX141" s="34"/>
      <c r="EPY141" s="34"/>
      <c r="EPZ141" s="34"/>
      <c r="EQA141" s="34"/>
      <c r="EQB141" s="34"/>
      <c r="EQC141" s="34"/>
      <c r="EQD141" s="34"/>
      <c r="EQE141" s="34"/>
      <c r="EQF141" s="34"/>
      <c r="EQG141" s="34"/>
      <c r="EQH141" s="34"/>
      <c r="EQI141" s="34"/>
      <c r="EQJ141" s="34"/>
      <c r="EQK141" s="34"/>
      <c r="EQL141" s="34"/>
      <c r="EQM141" s="34"/>
      <c r="EQN141" s="34"/>
      <c r="EQO141" s="34"/>
      <c r="EQP141" s="34"/>
      <c r="EQQ141" s="34"/>
      <c r="EQR141" s="34"/>
      <c r="EQS141" s="34"/>
      <c r="EQT141" s="34"/>
      <c r="EQU141" s="34"/>
      <c r="EQV141" s="34"/>
      <c r="EQW141" s="34"/>
      <c r="EQX141" s="34"/>
      <c r="EQY141" s="34"/>
      <c r="EQZ141" s="34"/>
      <c r="ERA141" s="34"/>
      <c r="ERB141" s="34"/>
      <c r="ERC141" s="34"/>
      <c r="ERD141" s="34"/>
      <c r="ERE141" s="34"/>
      <c r="ERF141" s="34"/>
      <c r="ERG141" s="34"/>
      <c r="ERH141" s="34"/>
      <c r="ERI141" s="34"/>
      <c r="ERJ141" s="34"/>
      <c r="ERK141" s="34"/>
      <c r="ERL141" s="34"/>
      <c r="ERM141" s="34"/>
      <c r="ERN141" s="34"/>
      <c r="ERO141" s="34"/>
      <c r="ERP141" s="34"/>
      <c r="ERQ141" s="34"/>
      <c r="ERR141" s="34"/>
      <c r="ERS141" s="34"/>
      <c r="ERT141" s="34"/>
      <c r="ERU141" s="34"/>
      <c r="ERV141" s="34"/>
      <c r="ERW141" s="34"/>
      <c r="ERX141" s="34"/>
      <c r="ERY141" s="34"/>
      <c r="ERZ141" s="34"/>
      <c r="ESA141" s="34"/>
      <c r="ESB141" s="34"/>
      <c r="ESC141" s="34"/>
      <c r="ESD141" s="34"/>
      <c r="ESE141" s="34"/>
      <c r="ESF141" s="34"/>
      <c r="ESG141" s="34"/>
      <c r="ESH141" s="34"/>
      <c r="ESI141" s="34"/>
      <c r="ESJ141" s="34"/>
      <c r="ESK141" s="34"/>
      <c r="ESL141" s="34"/>
      <c r="ESM141" s="34"/>
      <c r="ESN141" s="34"/>
      <c r="ESO141" s="34"/>
      <c r="ESP141" s="34"/>
      <c r="ESQ141" s="34"/>
      <c r="ESR141" s="34"/>
      <c r="ESS141" s="34"/>
      <c r="EST141" s="34"/>
      <c r="ESU141" s="34"/>
      <c r="ESV141" s="34"/>
      <c r="ESW141" s="34"/>
      <c r="ESX141" s="34"/>
      <c r="ESY141" s="34"/>
      <c r="ESZ141" s="34"/>
      <c r="ETA141" s="34"/>
      <c r="ETB141" s="34"/>
      <c r="ETC141" s="34"/>
      <c r="ETD141" s="34"/>
      <c r="ETE141" s="34"/>
      <c r="ETF141" s="34"/>
      <c r="ETG141" s="34"/>
      <c r="ETH141" s="34"/>
      <c r="ETI141" s="34"/>
      <c r="ETJ141" s="34"/>
      <c r="ETK141" s="34"/>
      <c r="ETL141" s="34"/>
      <c r="ETM141" s="34"/>
      <c r="ETN141" s="34"/>
      <c r="ETO141" s="34"/>
      <c r="ETP141" s="34"/>
      <c r="ETQ141" s="34"/>
      <c r="ETR141" s="34"/>
      <c r="ETS141" s="34"/>
      <c r="ETT141" s="34"/>
      <c r="ETU141" s="34"/>
      <c r="ETV141" s="34"/>
      <c r="ETW141" s="34"/>
      <c r="ETX141" s="34"/>
      <c r="ETY141" s="34"/>
      <c r="ETZ141" s="34"/>
      <c r="EUA141" s="34"/>
      <c r="EUB141" s="34"/>
      <c r="EUC141" s="34"/>
      <c r="EUD141" s="34"/>
      <c r="EUE141" s="34"/>
      <c r="EUF141" s="34"/>
      <c r="EUG141" s="34"/>
      <c r="EUH141" s="34"/>
      <c r="EUI141" s="34"/>
      <c r="EUJ141" s="34"/>
      <c r="EUK141" s="34"/>
      <c r="EUL141" s="34"/>
      <c r="EUM141" s="34"/>
      <c r="EUN141" s="34"/>
      <c r="EUO141" s="34"/>
      <c r="EUP141" s="34"/>
      <c r="EUQ141" s="34"/>
      <c r="EUR141" s="34"/>
      <c r="EUS141" s="34"/>
      <c r="EUT141" s="34"/>
      <c r="EUU141" s="34"/>
      <c r="EUV141" s="34"/>
      <c r="EUW141" s="34"/>
      <c r="EUX141" s="34"/>
      <c r="EUY141" s="34"/>
      <c r="EUZ141" s="34"/>
      <c r="EVA141" s="34"/>
      <c r="EVB141" s="34"/>
      <c r="EVC141" s="34"/>
      <c r="EVD141" s="34"/>
      <c r="EVE141" s="34"/>
      <c r="EVF141" s="34"/>
      <c r="EVG141" s="34"/>
      <c r="EVH141" s="34"/>
      <c r="EVI141" s="34"/>
      <c r="EVJ141" s="34"/>
      <c r="EVK141" s="34"/>
      <c r="EVL141" s="34"/>
      <c r="EVM141" s="34"/>
      <c r="EVN141" s="34"/>
      <c r="EVO141" s="34"/>
      <c r="EVP141" s="34"/>
      <c r="EVQ141" s="34"/>
      <c r="EVR141" s="34"/>
      <c r="EVS141" s="34"/>
      <c r="EVT141" s="34"/>
      <c r="EVU141" s="34"/>
      <c r="EVV141" s="34"/>
      <c r="EVW141" s="34"/>
      <c r="EVX141" s="34"/>
      <c r="EVY141" s="34"/>
      <c r="EVZ141" s="34"/>
      <c r="EWA141" s="34"/>
      <c r="EWB141" s="34"/>
      <c r="EWC141" s="34"/>
      <c r="EWD141" s="34"/>
      <c r="EWE141" s="34"/>
      <c r="EWF141" s="34"/>
      <c r="EWG141" s="34"/>
      <c r="EWH141" s="34"/>
      <c r="EWI141" s="34"/>
      <c r="EWJ141" s="34"/>
      <c r="EWK141" s="34"/>
      <c r="EWL141" s="34"/>
      <c r="EWM141" s="34"/>
      <c r="EWN141" s="34"/>
      <c r="EWO141" s="34"/>
      <c r="EWP141" s="34"/>
      <c r="EWQ141" s="34"/>
      <c r="EWR141" s="34"/>
      <c r="EWS141" s="34"/>
      <c r="EWT141" s="34"/>
      <c r="EWU141" s="34"/>
      <c r="EWV141" s="34"/>
      <c r="EWW141" s="34"/>
      <c r="EWX141" s="34"/>
      <c r="EWY141" s="34"/>
      <c r="EWZ141" s="34"/>
      <c r="EXA141" s="34"/>
      <c r="EXB141" s="34"/>
      <c r="EXC141" s="34"/>
      <c r="EXD141" s="34"/>
      <c r="EXE141" s="34"/>
      <c r="EXF141" s="34"/>
      <c r="EXG141" s="34"/>
      <c r="EXH141" s="34"/>
      <c r="EXI141" s="34"/>
      <c r="EXJ141" s="34"/>
      <c r="EXK141" s="34"/>
      <c r="EXL141" s="34"/>
      <c r="EXM141" s="34"/>
      <c r="EXN141" s="34"/>
      <c r="EXO141" s="34"/>
      <c r="EXP141" s="34"/>
      <c r="EXQ141" s="34"/>
      <c r="EXR141" s="34"/>
      <c r="EXS141" s="34"/>
      <c r="EXT141" s="34"/>
      <c r="EXU141" s="34"/>
      <c r="EXV141" s="34"/>
      <c r="EXW141" s="34"/>
      <c r="EXX141" s="34"/>
      <c r="EXY141" s="34"/>
      <c r="EXZ141" s="34"/>
      <c r="EYA141" s="34"/>
      <c r="EYB141" s="34"/>
      <c r="EYC141" s="34"/>
      <c r="EYD141" s="34"/>
      <c r="EYE141" s="34"/>
      <c r="EYF141" s="34"/>
      <c r="EYG141" s="34"/>
      <c r="EYH141" s="34"/>
      <c r="EYI141" s="34"/>
      <c r="EYJ141" s="34"/>
      <c r="EYK141" s="34"/>
      <c r="EYL141" s="34"/>
      <c r="EYM141" s="34"/>
      <c r="EYN141" s="34"/>
      <c r="EYO141" s="34"/>
      <c r="EYP141" s="34"/>
      <c r="EYQ141" s="34"/>
      <c r="EYR141" s="34"/>
      <c r="EYS141" s="34"/>
      <c r="EYT141" s="34"/>
      <c r="EYU141" s="34"/>
      <c r="EYV141" s="34"/>
      <c r="EYW141" s="34"/>
      <c r="EYX141" s="34"/>
      <c r="EYY141" s="34"/>
      <c r="EYZ141" s="34"/>
      <c r="EZA141" s="34"/>
      <c r="EZB141" s="34"/>
      <c r="EZC141" s="34"/>
      <c r="EZD141" s="34"/>
      <c r="EZE141" s="34"/>
      <c r="EZF141" s="34"/>
      <c r="EZG141" s="34"/>
      <c r="EZH141" s="34"/>
      <c r="EZI141" s="34"/>
      <c r="EZJ141" s="34"/>
      <c r="EZK141" s="34"/>
      <c r="EZL141" s="34"/>
      <c r="EZM141" s="34"/>
      <c r="EZN141" s="34"/>
      <c r="EZO141" s="34"/>
      <c r="EZP141" s="34"/>
      <c r="EZQ141" s="34"/>
      <c r="EZR141" s="34"/>
      <c r="EZS141" s="34"/>
      <c r="EZT141" s="34"/>
      <c r="EZU141" s="34"/>
      <c r="EZV141" s="34"/>
      <c r="EZW141" s="34"/>
      <c r="EZX141" s="34"/>
      <c r="EZY141" s="34"/>
      <c r="EZZ141" s="34"/>
      <c r="FAA141" s="34"/>
      <c r="FAB141" s="34"/>
      <c r="FAC141" s="34"/>
      <c r="FAD141" s="34"/>
      <c r="FAE141" s="34"/>
      <c r="FAF141" s="34"/>
      <c r="FAG141" s="34"/>
      <c r="FAH141" s="34"/>
      <c r="FAI141" s="34"/>
      <c r="FAJ141" s="34"/>
      <c r="FAK141" s="34"/>
      <c r="FAL141" s="34"/>
      <c r="FAM141" s="34"/>
      <c r="FAN141" s="34"/>
      <c r="FAO141" s="34"/>
      <c r="FAP141" s="34"/>
      <c r="FAQ141" s="34"/>
      <c r="FAR141" s="34"/>
      <c r="FAS141" s="34"/>
      <c r="FAT141" s="34"/>
      <c r="FAU141" s="34"/>
      <c r="FAV141" s="34"/>
      <c r="FAW141" s="34"/>
      <c r="FAX141" s="34"/>
      <c r="FAY141" s="34"/>
      <c r="FAZ141" s="34"/>
      <c r="FBA141" s="34"/>
      <c r="FBB141" s="34"/>
      <c r="FBC141" s="34"/>
      <c r="FBD141" s="34"/>
      <c r="FBE141" s="34"/>
      <c r="FBF141" s="34"/>
      <c r="FBG141" s="34"/>
      <c r="FBH141" s="34"/>
      <c r="FBI141" s="34"/>
      <c r="FBJ141" s="34"/>
      <c r="FBK141" s="34"/>
      <c r="FBL141" s="34"/>
      <c r="FBM141" s="34"/>
      <c r="FBN141" s="34"/>
      <c r="FBO141" s="34"/>
      <c r="FBP141" s="34"/>
      <c r="FBQ141" s="34"/>
      <c r="FBR141" s="34"/>
      <c r="FBS141" s="34"/>
      <c r="FBT141" s="34"/>
      <c r="FBU141" s="34"/>
      <c r="FBV141" s="34"/>
      <c r="FBW141" s="34"/>
      <c r="FBX141" s="34"/>
      <c r="FBY141" s="34"/>
      <c r="FBZ141" s="34"/>
      <c r="FCA141" s="34"/>
      <c r="FCB141" s="34"/>
      <c r="FCC141" s="34"/>
      <c r="FCD141" s="34"/>
      <c r="FCE141" s="34"/>
      <c r="FCF141" s="34"/>
      <c r="FCG141" s="34"/>
      <c r="FCH141" s="34"/>
      <c r="FCI141" s="34"/>
      <c r="FCJ141" s="34"/>
      <c r="FCK141" s="34"/>
      <c r="FCL141" s="34"/>
      <c r="FCM141" s="34"/>
      <c r="FCN141" s="34"/>
      <c r="FCO141" s="34"/>
      <c r="FCP141" s="34"/>
      <c r="FCQ141" s="34"/>
      <c r="FCR141" s="34"/>
      <c r="FCS141" s="34"/>
      <c r="FCT141" s="34"/>
      <c r="FCU141" s="34"/>
      <c r="FCV141" s="34"/>
      <c r="FCW141" s="34"/>
      <c r="FCX141" s="34"/>
      <c r="FCY141" s="34"/>
      <c r="FCZ141" s="34"/>
      <c r="FDA141" s="34"/>
      <c r="FDB141" s="34"/>
      <c r="FDC141" s="34"/>
      <c r="FDD141" s="34"/>
      <c r="FDE141" s="34"/>
      <c r="FDF141" s="34"/>
      <c r="FDG141" s="34"/>
      <c r="FDH141" s="34"/>
      <c r="FDI141" s="34"/>
      <c r="FDJ141" s="34"/>
      <c r="FDK141" s="34"/>
      <c r="FDL141" s="34"/>
      <c r="FDM141" s="34"/>
      <c r="FDN141" s="34"/>
      <c r="FDO141" s="34"/>
      <c r="FDP141" s="34"/>
      <c r="FDQ141" s="34"/>
      <c r="FDR141" s="34"/>
      <c r="FDS141" s="34"/>
      <c r="FDT141" s="34"/>
      <c r="FDU141" s="34"/>
      <c r="FDV141" s="34"/>
      <c r="FDW141" s="34"/>
      <c r="FDX141" s="34"/>
      <c r="FDY141" s="34"/>
      <c r="FDZ141" s="34"/>
      <c r="FEA141" s="34"/>
      <c r="FEB141" s="34"/>
      <c r="FEC141" s="34"/>
      <c r="FED141" s="34"/>
      <c r="FEE141" s="34"/>
      <c r="FEF141" s="34"/>
      <c r="FEG141" s="34"/>
      <c r="FEH141" s="34"/>
      <c r="FEI141" s="34"/>
      <c r="FEJ141" s="34"/>
      <c r="FEK141" s="34"/>
      <c r="FEL141" s="34"/>
      <c r="FEM141" s="34"/>
      <c r="FEN141" s="34"/>
      <c r="FEO141" s="34"/>
      <c r="FEP141" s="34"/>
      <c r="FEQ141" s="34"/>
      <c r="FER141" s="34"/>
      <c r="FES141" s="34"/>
      <c r="FET141" s="34"/>
      <c r="FEU141" s="34"/>
      <c r="FEV141" s="34"/>
      <c r="FEW141" s="34"/>
      <c r="FEX141" s="34"/>
      <c r="FEY141" s="34"/>
      <c r="FEZ141" s="34"/>
      <c r="FFA141" s="34"/>
      <c r="FFB141" s="34"/>
      <c r="FFC141" s="34"/>
      <c r="FFD141" s="34"/>
      <c r="FFE141" s="34"/>
      <c r="FFF141" s="34"/>
      <c r="FFG141" s="34"/>
      <c r="FFH141" s="34"/>
      <c r="FFI141" s="34"/>
      <c r="FFJ141" s="34"/>
      <c r="FFK141" s="34"/>
      <c r="FFL141" s="34"/>
      <c r="FFM141" s="34"/>
      <c r="FFN141" s="34"/>
      <c r="FFO141" s="34"/>
      <c r="FFP141" s="34"/>
      <c r="FFQ141" s="34"/>
      <c r="FFR141" s="34"/>
      <c r="FFS141" s="34"/>
      <c r="FFT141" s="34"/>
      <c r="FFU141" s="34"/>
      <c r="FFV141" s="34"/>
      <c r="FFW141" s="34"/>
      <c r="FFX141" s="34"/>
      <c r="FFY141" s="34"/>
      <c r="FFZ141" s="34"/>
      <c r="FGA141" s="34"/>
      <c r="FGB141" s="34"/>
      <c r="FGC141" s="34"/>
      <c r="FGD141" s="34"/>
      <c r="FGE141" s="34"/>
      <c r="FGF141" s="34"/>
      <c r="FGG141" s="34"/>
      <c r="FGH141" s="34"/>
      <c r="FGI141" s="34"/>
      <c r="FGJ141" s="34"/>
      <c r="FGK141" s="34"/>
      <c r="FGL141" s="34"/>
      <c r="FGM141" s="34"/>
      <c r="FGN141" s="34"/>
      <c r="FGO141" s="34"/>
      <c r="FGP141" s="34"/>
      <c r="FGQ141" s="34"/>
      <c r="FGR141" s="34"/>
      <c r="FGS141" s="34"/>
      <c r="FGT141" s="34"/>
      <c r="FGU141" s="34"/>
      <c r="FGV141" s="34"/>
      <c r="FGW141" s="34"/>
      <c r="FGX141" s="34"/>
      <c r="FGY141" s="34"/>
      <c r="FGZ141" s="34"/>
      <c r="FHA141" s="34"/>
      <c r="FHB141" s="34"/>
      <c r="FHC141" s="34"/>
      <c r="FHD141" s="34"/>
      <c r="FHE141" s="34"/>
      <c r="FHF141" s="34"/>
      <c r="FHG141" s="34"/>
      <c r="FHH141" s="34"/>
      <c r="FHI141" s="34"/>
      <c r="FHJ141" s="34"/>
      <c r="FHK141" s="34"/>
      <c r="FHL141" s="34"/>
      <c r="FHM141" s="34"/>
      <c r="FHN141" s="34"/>
      <c r="FHO141" s="34"/>
      <c r="FHP141" s="34"/>
      <c r="FHQ141" s="34"/>
      <c r="FHR141" s="34"/>
      <c r="FHS141" s="34"/>
      <c r="FHT141" s="34"/>
      <c r="FHU141" s="34"/>
      <c r="FHV141" s="34"/>
      <c r="FHW141" s="34"/>
      <c r="FHX141" s="34"/>
      <c r="FHY141" s="34"/>
      <c r="FHZ141" s="34"/>
      <c r="FIA141" s="34"/>
      <c r="FIB141" s="34"/>
      <c r="FIC141" s="34"/>
      <c r="FID141" s="34"/>
      <c r="FIE141" s="34"/>
      <c r="FIF141" s="34"/>
      <c r="FIG141" s="34"/>
      <c r="FIH141" s="34"/>
      <c r="FII141" s="34"/>
      <c r="FIJ141" s="34"/>
      <c r="FIK141" s="34"/>
      <c r="FIL141" s="34"/>
      <c r="FIM141" s="34"/>
      <c r="FIN141" s="34"/>
      <c r="FIO141" s="34"/>
      <c r="FIP141" s="34"/>
      <c r="FIQ141" s="34"/>
      <c r="FIR141" s="34"/>
      <c r="FIS141" s="34"/>
      <c r="FIT141" s="34"/>
      <c r="FIU141" s="34"/>
      <c r="FIV141" s="34"/>
      <c r="FIW141" s="34"/>
      <c r="FIX141" s="34"/>
      <c r="FIY141" s="34"/>
      <c r="FIZ141" s="34"/>
      <c r="FJA141" s="34"/>
      <c r="FJB141" s="34"/>
      <c r="FJC141" s="34"/>
      <c r="FJD141" s="34"/>
      <c r="FJE141" s="34"/>
      <c r="FJF141" s="34"/>
      <c r="FJG141" s="34"/>
      <c r="FJH141" s="34"/>
      <c r="FJI141" s="34"/>
      <c r="FJJ141" s="34"/>
      <c r="FJK141" s="34"/>
      <c r="FJL141" s="34"/>
      <c r="FJM141" s="34"/>
      <c r="FJN141" s="34"/>
      <c r="FJO141" s="34"/>
      <c r="FJP141" s="34"/>
      <c r="FJQ141" s="34"/>
      <c r="FJR141" s="34"/>
      <c r="FJS141" s="34"/>
      <c r="FJT141" s="34"/>
      <c r="FJU141" s="34"/>
      <c r="FJV141" s="34"/>
      <c r="FJW141" s="34"/>
      <c r="FJX141" s="34"/>
      <c r="FJY141" s="34"/>
      <c r="FJZ141" s="34"/>
      <c r="FKA141" s="34"/>
      <c r="FKB141" s="34"/>
      <c r="FKC141" s="34"/>
      <c r="FKD141" s="34"/>
      <c r="FKE141" s="34"/>
      <c r="FKF141" s="34"/>
      <c r="FKG141" s="34"/>
      <c r="FKH141" s="34"/>
      <c r="FKI141" s="34"/>
      <c r="FKJ141" s="34"/>
      <c r="FKK141" s="34"/>
      <c r="FKL141" s="34"/>
      <c r="FKM141" s="34"/>
      <c r="FKN141" s="34"/>
      <c r="FKO141" s="34"/>
      <c r="FKP141" s="34"/>
      <c r="FKQ141" s="34"/>
      <c r="FKR141" s="34"/>
      <c r="FKS141" s="34"/>
      <c r="FKT141" s="34"/>
      <c r="FKU141" s="34"/>
      <c r="FKV141" s="34"/>
      <c r="FKW141" s="34"/>
      <c r="FKX141" s="34"/>
      <c r="FKY141" s="34"/>
      <c r="FKZ141" s="34"/>
      <c r="FLA141" s="34"/>
      <c r="FLB141" s="34"/>
      <c r="FLC141" s="34"/>
      <c r="FLD141" s="34"/>
      <c r="FLE141" s="34"/>
      <c r="FLF141" s="34"/>
      <c r="FLG141" s="34"/>
      <c r="FLH141" s="34"/>
      <c r="FLI141" s="34"/>
      <c r="FLJ141" s="34"/>
      <c r="FLK141" s="34"/>
      <c r="FLL141" s="34"/>
      <c r="FLM141" s="34"/>
      <c r="FLN141" s="34"/>
      <c r="FLO141" s="34"/>
      <c r="FLP141" s="34"/>
      <c r="FLQ141" s="34"/>
      <c r="FLR141" s="34"/>
      <c r="FLS141" s="34"/>
      <c r="FLT141" s="34"/>
      <c r="FLU141" s="34"/>
      <c r="FLV141" s="34"/>
      <c r="FLW141" s="34"/>
      <c r="FLX141" s="34"/>
      <c r="FLY141" s="34"/>
      <c r="FLZ141" s="34"/>
      <c r="FMA141" s="34"/>
      <c r="FMB141" s="34"/>
      <c r="FMC141" s="34"/>
      <c r="FMD141" s="34"/>
      <c r="FME141" s="34"/>
      <c r="FMF141" s="34"/>
      <c r="FMG141" s="34"/>
      <c r="FMH141" s="34"/>
      <c r="FMI141" s="34"/>
      <c r="FMJ141" s="34"/>
      <c r="FMK141" s="34"/>
      <c r="FML141" s="34"/>
      <c r="FMM141" s="34"/>
      <c r="FMN141" s="34"/>
      <c r="FMO141" s="34"/>
      <c r="FMP141" s="34"/>
      <c r="FMQ141" s="34"/>
      <c r="FMR141" s="34"/>
      <c r="FMS141" s="34"/>
      <c r="FMT141" s="34"/>
      <c r="FMU141" s="34"/>
      <c r="FMV141" s="34"/>
      <c r="FMW141" s="34"/>
      <c r="FMX141" s="34"/>
      <c r="FMY141" s="34"/>
      <c r="FMZ141" s="34"/>
      <c r="FNA141" s="34"/>
      <c r="FNB141" s="34"/>
      <c r="FNC141" s="34"/>
      <c r="FND141" s="34"/>
      <c r="FNE141" s="34"/>
      <c r="FNF141" s="34"/>
      <c r="FNG141" s="34"/>
      <c r="FNH141" s="34"/>
      <c r="FNI141" s="34"/>
      <c r="FNJ141" s="34"/>
      <c r="FNK141" s="34"/>
      <c r="FNL141" s="34"/>
      <c r="FNM141" s="34"/>
      <c r="FNN141" s="34"/>
      <c r="FNO141" s="34"/>
      <c r="FNP141" s="34"/>
      <c r="FNQ141" s="34"/>
      <c r="FNR141" s="34"/>
      <c r="FNS141" s="34"/>
      <c r="FNT141" s="34"/>
      <c r="FNU141" s="34"/>
      <c r="FNV141" s="34"/>
      <c r="FNW141" s="34"/>
      <c r="FNX141" s="34"/>
      <c r="FNY141" s="34"/>
      <c r="FNZ141" s="34"/>
      <c r="FOA141" s="34"/>
      <c r="FOB141" s="34"/>
      <c r="FOC141" s="34"/>
      <c r="FOD141" s="34"/>
      <c r="FOE141" s="34"/>
      <c r="FOF141" s="34"/>
      <c r="FOG141" s="34"/>
      <c r="FOH141" s="34"/>
      <c r="FOI141" s="34"/>
      <c r="FOJ141" s="34"/>
      <c r="FOK141" s="34"/>
      <c r="FOL141" s="34"/>
      <c r="FOM141" s="34"/>
      <c r="FON141" s="34"/>
      <c r="FOO141" s="34"/>
      <c r="FOP141" s="34"/>
      <c r="FOQ141" s="34"/>
      <c r="FOR141" s="34"/>
      <c r="FOS141" s="34"/>
      <c r="FOT141" s="34"/>
      <c r="FOU141" s="34"/>
      <c r="FOV141" s="34"/>
      <c r="FOW141" s="34"/>
      <c r="FOX141" s="34"/>
      <c r="FOY141" s="34"/>
      <c r="FOZ141" s="34"/>
      <c r="FPA141" s="34"/>
      <c r="FPB141" s="34"/>
      <c r="FPC141" s="34"/>
      <c r="FPD141" s="34"/>
      <c r="FPE141" s="34"/>
      <c r="FPF141" s="34"/>
      <c r="FPG141" s="34"/>
      <c r="FPH141" s="34"/>
      <c r="FPI141" s="34"/>
      <c r="FPJ141" s="34"/>
      <c r="FPK141" s="34"/>
      <c r="FPL141" s="34"/>
      <c r="FPM141" s="34"/>
      <c r="FPN141" s="34"/>
      <c r="FPO141" s="34"/>
      <c r="FPP141" s="34"/>
      <c r="FPQ141" s="34"/>
      <c r="FPR141" s="34"/>
      <c r="FPS141" s="34"/>
      <c r="FPT141" s="34"/>
      <c r="FPU141" s="34"/>
      <c r="FPV141" s="34"/>
      <c r="FPW141" s="34"/>
      <c r="FPX141" s="34"/>
      <c r="FPY141" s="34"/>
      <c r="FPZ141" s="34"/>
      <c r="FQA141" s="34"/>
      <c r="FQB141" s="34"/>
      <c r="FQC141" s="34"/>
      <c r="FQD141" s="34"/>
      <c r="FQE141" s="34"/>
      <c r="FQF141" s="34"/>
      <c r="FQG141" s="34"/>
      <c r="FQH141" s="34"/>
      <c r="FQI141" s="34"/>
      <c r="FQJ141" s="34"/>
      <c r="FQK141" s="34"/>
      <c r="FQL141" s="34"/>
      <c r="FQM141" s="34"/>
      <c r="FQN141" s="34"/>
      <c r="FQO141" s="34"/>
      <c r="FQP141" s="34"/>
      <c r="FQQ141" s="34"/>
      <c r="FQR141" s="34"/>
      <c r="FQS141" s="34"/>
      <c r="FQT141" s="34"/>
      <c r="FQU141" s="34"/>
      <c r="FQV141" s="34"/>
      <c r="FQW141" s="34"/>
      <c r="FQX141" s="34"/>
      <c r="FQY141" s="34"/>
      <c r="FQZ141" s="34"/>
      <c r="FRA141" s="34"/>
      <c r="FRB141" s="34"/>
      <c r="FRC141" s="34"/>
      <c r="FRD141" s="34"/>
      <c r="FRE141" s="34"/>
      <c r="FRF141" s="34"/>
      <c r="FRG141" s="34"/>
      <c r="FRH141" s="34"/>
      <c r="FRI141" s="34"/>
      <c r="FRJ141" s="34"/>
      <c r="FRK141" s="34"/>
      <c r="FRL141" s="34"/>
      <c r="FRM141" s="34"/>
      <c r="FRN141" s="34"/>
      <c r="FRO141" s="34"/>
      <c r="FRP141" s="34"/>
      <c r="FRQ141" s="34"/>
      <c r="FRR141" s="34"/>
      <c r="FRS141" s="34"/>
      <c r="FRT141" s="34"/>
      <c r="FRU141" s="34"/>
      <c r="FRV141" s="34"/>
      <c r="FRW141" s="34"/>
      <c r="FRX141" s="34"/>
      <c r="FRY141" s="34"/>
      <c r="FRZ141" s="34"/>
      <c r="FSA141" s="34"/>
      <c r="FSB141" s="34"/>
      <c r="FSC141" s="34"/>
      <c r="FSD141" s="34"/>
      <c r="FSE141" s="34"/>
      <c r="FSF141" s="34"/>
      <c r="FSG141" s="34"/>
      <c r="FSH141" s="34"/>
      <c r="FSI141" s="34"/>
      <c r="FSJ141" s="34"/>
      <c r="FSK141" s="34"/>
      <c r="FSL141" s="34"/>
      <c r="FSM141" s="34"/>
      <c r="FSN141" s="34"/>
      <c r="FSO141" s="34"/>
      <c r="FSP141" s="34"/>
      <c r="FSQ141" s="34"/>
      <c r="FSR141" s="34"/>
      <c r="FSS141" s="34"/>
      <c r="FST141" s="34"/>
      <c r="FSU141" s="34"/>
      <c r="FSV141" s="34"/>
      <c r="FSW141" s="34"/>
      <c r="FSX141" s="34"/>
      <c r="FSY141" s="34"/>
      <c r="FSZ141" s="34"/>
      <c r="FTA141" s="34"/>
      <c r="FTB141" s="34"/>
      <c r="FTC141" s="34"/>
      <c r="FTD141" s="34"/>
      <c r="FTE141" s="34"/>
      <c r="FTF141" s="34"/>
      <c r="FTG141" s="34"/>
      <c r="FTH141" s="34"/>
      <c r="FTI141" s="34"/>
      <c r="FTJ141" s="34"/>
      <c r="FTK141" s="34"/>
      <c r="FTL141" s="34"/>
      <c r="FTM141" s="34"/>
      <c r="FTN141" s="34"/>
      <c r="FTO141" s="34"/>
      <c r="FTP141" s="34"/>
      <c r="FTQ141" s="34"/>
      <c r="FTR141" s="34"/>
      <c r="FTS141" s="34"/>
      <c r="FTT141" s="34"/>
      <c r="FTU141" s="34"/>
      <c r="FTV141" s="34"/>
      <c r="FTW141" s="34"/>
      <c r="FTX141" s="34"/>
      <c r="FTY141" s="34"/>
      <c r="FTZ141" s="34"/>
      <c r="FUA141" s="34"/>
      <c r="FUB141" s="34"/>
      <c r="FUC141" s="34"/>
      <c r="FUD141" s="34"/>
      <c r="FUE141" s="34"/>
      <c r="FUF141" s="34"/>
      <c r="FUG141" s="34"/>
      <c r="FUH141" s="34"/>
      <c r="FUI141" s="34"/>
      <c r="FUJ141" s="34"/>
      <c r="FUK141" s="34"/>
      <c r="FUL141" s="34"/>
      <c r="FUM141" s="34"/>
      <c r="FUN141" s="34"/>
      <c r="FUO141" s="34"/>
      <c r="FUP141" s="34"/>
      <c r="FUQ141" s="34"/>
      <c r="FUR141" s="34"/>
      <c r="FUS141" s="34"/>
      <c r="FUT141" s="34"/>
      <c r="FUU141" s="34"/>
      <c r="FUV141" s="34"/>
      <c r="FUW141" s="34"/>
      <c r="FUX141" s="34"/>
      <c r="FUY141" s="34"/>
      <c r="FUZ141" s="34"/>
      <c r="FVA141" s="34"/>
      <c r="FVB141" s="34"/>
      <c r="FVC141" s="34"/>
      <c r="FVD141" s="34"/>
      <c r="FVE141" s="34"/>
      <c r="FVF141" s="34"/>
      <c r="FVG141" s="34"/>
      <c r="FVH141" s="34"/>
      <c r="FVI141" s="34"/>
      <c r="FVJ141" s="34"/>
      <c r="FVK141" s="34"/>
      <c r="FVL141" s="34"/>
      <c r="FVM141" s="34"/>
      <c r="FVN141" s="34"/>
      <c r="FVO141" s="34"/>
      <c r="FVP141" s="34"/>
      <c r="FVQ141" s="34"/>
      <c r="FVR141" s="34"/>
      <c r="FVS141" s="34"/>
      <c r="FVT141" s="34"/>
      <c r="FVU141" s="34"/>
      <c r="FVV141" s="34"/>
      <c r="FVW141" s="34"/>
      <c r="FVX141" s="34"/>
      <c r="FVY141" s="34"/>
      <c r="FVZ141" s="34"/>
      <c r="FWA141" s="34"/>
      <c r="FWB141" s="34"/>
      <c r="FWC141" s="34"/>
      <c r="FWD141" s="34"/>
      <c r="FWE141" s="34"/>
      <c r="FWF141" s="34"/>
      <c r="FWG141" s="34"/>
      <c r="FWH141" s="34"/>
      <c r="FWI141" s="34"/>
      <c r="FWJ141" s="34"/>
      <c r="FWK141" s="34"/>
      <c r="FWL141" s="34"/>
      <c r="FWM141" s="34"/>
      <c r="FWN141" s="34"/>
      <c r="FWO141" s="34"/>
      <c r="FWP141" s="34"/>
      <c r="FWQ141" s="34"/>
      <c r="FWR141" s="34"/>
      <c r="FWS141" s="34"/>
      <c r="FWT141" s="34"/>
      <c r="FWU141" s="34"/>
      <c r="FWV141" s="34"/>
      <c r="FWW141" s="34"/>
      <c r="FWX141" s="34"/>
      <c r="FWY141" s="34"/>
      <c r="FWZ141" s="34"/>
      <c r="FXA141" s="34"/>
      <c r="FXB141" s="34"/>
      <c r="FXC141" s="34"/>
      <c r="FXD141" s="34"/>
      <c r="FXE141" s="34"/>
      <c r="FXF141" s="34"/>
      <c r="FXG141" s="34"/>
      <c r="FXH141" s="34"/>
      <c r="FXI141" s="34"/>
      <c r="FXJ141" s="34"/>
      <c r="FXK141" s="34"/>
      <c r="FXL141" s="34"/>
      <c r="FXM141" s="34"/>
      <c r="FXN141" s="34"/>
      <c r="FXO141" s="34"/>
      <c r="FXP141" s="34"/>
      <c r="FXQ141" s="34"/>
      <c r="FXR141" s="34"/>
      <c r="FXS141" s="34"/>
      <c r="FXT141" s="34"/>
      <c r="FXU141" s="34"/>
      <c r="FXV141" s="34"/>
      <c r="FXW141" s="34"/>
      <c r="FXX141" s="34"/>
      <c r="FXY141" s="34"/>
      <c r="FXZ141" s="34"/>
      <c r="FYA141" s="34"/>
      <c r="FYB141" s="34"/>
      <c r="FYC141" s="34"/>
      <c r="FYD141" s="34"/>
      <c r="FYE141" s="34"/>
      <c r="FYF141" s="34"/>
      <c r="FYG141" s="34"/>
      <c r="FYH141" s="34"/>
      <c r="FYI141" s="34"/>
      <c r="FYJ141" s="34"/>
      <c r="FYK141" s="34"/>
      <c r="FYL141" s="34"/>
      <c r="FYM141" s="34"/>
      <c r="FYN141" s="34"/>
      <c r="FYO141" s="34"/>
      <c r="FYP141" s="34"/>
      <c r="FYQ141" s="34"/>
      <c r="FYR141" s="34"/>
      <c r="FYS141" s="34"/>
      <c r="FYT141" s="34"/>
      <c r="FYU141" s="34"/>
      <c r="FYV141" s="34"/>
      <c r="FYW141" s="34"/>
      <c r="FYX141" s="34"/>
      <c r="FYY141" s="34"/>
      <c r="FYZ141" s="34"/>
      <c r="FZA141" s="34"/>
      <c r="FZB141" s="34"/>
      <c r="FZC141" s="34"/>
      <c r="FZD141" s="34"/>
      <c r="FZE141" s="34"/>
      <c r="FZF141" s="34"/>
      <c r="FZG141" s="34"/>
      <c r="FZH141" s="34"/>
      <c r="FZI141" s="34"/>
      <c r="FZJ141" s="34"/>
      <c r="FZK141" s="34"/>
      <c r="FZL141" s="34"/>
      <c r="FZM141" s="34"/>
      <c r="FZN141" s="34"/>
      <c r="FZO141" s="34"/>
      <c r="FZP141" s="34"/>
      <c r="FZQ141" s="34"/>
      <c r="FZR141" s="34"/>
      <c r="FZS141" s="34"/>
      <c r="FZT141" s="34"/>
      <c r="FZU141" s="34"/>
      <c r="FZV141" s="34"/>
      <c r="FZW141" s="34"/>
      <c r="FZX141" s="34"/>
      <c r="FZY141" s="34"/>
      <c r="FZZ141" s="34"/>
      <c r="GAA141" s="34"/>
      <c r="GAB141" s="34"/>
      <c r="GAC141" s="34"/>
      <c r="GAD141" s="34"/>
      <c r="GAE141" s="34"/>
      <c r="GAF141" s="34"/>
      <c r="GAG141" s="34"/>
      <c r="GAH141" s="34"/>
      <c r="GAI141" s="34"/>
      <c r="GAJ141" s="34"/>
      <c r="GAK141" s="34"/>
      <c r="GAL141" s="34"/>
      <c r="GAM141" s="34"/>
      <c r="GAN141" s="34"/>
      <c r="GAO141" s="34"/>
      <c r="GAP141" s="34"/>
      <c r="GAQ141" s="34"/>
      <c r="GAR141" s="34"/>
      <c r="GAS141" s="34"/>
      <c r="GAT141" s="34"/>
      <c r="GAU141" s="34"/>
      <c r="GAV141" s="34"/>
      <c r="GAW141" s="34"/>
      <c r="GAX141" s="34"/>
      <c r="GAY141" s="34"/>
      <c r="GAZ141" s="34"/>
      <c r="GBA141" s="34"/>
      <c r="GBB141" s="34"/>
      <c r="GBC141" s="34"/>
      <c r="GBD141" s="34"/>
      <c r="GBE141" s="34"/>
      <c r="GBF141" s="34"/>
      <c r="GBG141" s="34"/>
      <c r="GBH141" s="34"/>
      <c r="GBI141" s="34"/>
      <c r="GBJ141" s="34"/>
      <c r="GBK141" s="34"/>
      <c r="GBL141" s="34"/>
      <c r="GBM141" s="34"/>
      <c r="GBN141" s="34"/>
      <c r="GBO141" s="34"/>
      <c r="GBP141" s="34"/>
      <c r="GBQ141" s="34"/>
      <c r="GBR141" s="34"/>
      <c r="GBS141" s="34"/>
      <c r="GBT141" s="34"/>
      <c r="GBU141" s="34"/>
      <c r="GBV141" s="34"/>
      <c r="GBW141" s="34"/>
      <c r="GBX141" s="34"/>
      <c r="GBY141" s="34"/>
      <c r="GBZ141" s="34"/>
      <c r="GCA141" s="34"/>
      <c r="GCB141" s="34"/>
      <c r="GCC141" s="34"/>
      <c r="GCD141" s="34"/>
      <c r="GCE141" s="34"/>
      <c r="GCF141" s="34"/>
      <c r="GCG141" s="34"/>
      <c r="GCH141" s="34"/>
      <c r="GCI141" s="34"/>
      <c r="GCJ141" s="34"/>
      <c r="GCK141" s="34"/>
      <c r="GCL141" s="34"/>
      <c r="GCM141" s="34"/>
      <c r="GCN141" s="34"/>
      <c r="GCO141" s="34"/>
      <c r="GCP141" s="34"/>
      <c r="GCQ141" s="34"/>
      <c r="GCR141" s="34"/>
      <c r="GCS141" s="34"/>
      <c r="GCT141" s="34"/>
      <c r="GCU141" s="34"/>
      <c r="GCV141" s="34"/>
      <c r="GCW141" s="34"/>
      <c r="GCX141" s="34"/>
      <c r="GCY141" s="34"/>
      <c r="GCZ141" s="34"/>
      <c r="GDA141" s="34"/>
      <c r="GDB141" s="34"/>
      <c r="GDC141" s="34"/>
      <c r="GDD141" s="34"/>
      <c r="GDE141" s="34"/>
      <c r="GDF141" s="34"/>
      <c r="GDG141" s="34"/>
      <c r="GDH141" s="34"/>
      <c r="GDI141" s="34"/>
      <c r="GDJ141" s="34"/>
      <c r="GDK141" s="34"/>
      <c r="GDL141" s="34"/>
      <c r="GDM141" s="34"/>
      <c r="GDN141" s="34"/>
      <c r="GDO141" s="34"/>
      <c r="GDP141" s="34"/>
      <c r="GDQ141" s="34"/>
      <c r="GDR141" s="34"/>
      <c r="GDS141" s="34"/>
      <c r="GDT141" s="34"/>
      <c r="GDU141" s="34"/>
      <c r="GDV141" s="34"/>
      <c r="GDW141" s="34"/>
      <c r="GDX141" s="34"/>
      <c r="GDY141" s="34"/>
      <c r="GDZ141" s="34"/>
      <c r="GEA141" s="34"/>
      <c r="GEB141" s="34"/>
      <c r="GEC141" s="34"/>
      <c r="GED141" s="34"/>
      <c r="GEE141" s="34"/>
      <c r="GEF141" s="34"/>
      <c r="GEG141" s="34"/>
      <c r="GEH141" s="34"/>
      <c r="GEI141" s="34"/>
      <c r="GEJ141" s="34"/>
      <c r="GEK141" s="34"/>
      <c r="GEL141" s="34"/>
      <c r="GEM141" s="34"/>
      <c r="GEN141" s="34"/>
      <c r="GEO141" s="34"/>
      <c r="GEP141" s="34"/>
      <c r="GEQ141" s="34"/>
      <c r="GER141" s="34"/>
      <c r="GES141" s="34"/>
      <c r="GET141" s="34"/>
      <c r="GEU141" s="34"/>
      <c r="GEV141" s="34"/>
      <c r="GEW141" s="34"/>
      <c r="GEX141" s="34"/>
      <c r="GEY141" s="34"/>
      <c r="GEZ141" s="34"/>
      <c r="GFA141" s="34"/>
      <c r="GFB141" s="34"/>
      <c r="GFC141" s="34"/>
      <c r="GFD141" s="34"/>
      <c r="GFE141" s="34"/>
      <c r="GFF141" s="34"/>
      <c r="GFG141" s="34"/>
      <c r="GFH141" s="34"/>
      <c r="GFI141" s="34"/>
      <c r="GFJ141" s="34"/>
      <c r="GFK141" s="34"/>
      <c r="GFL141" s="34"/>
      <c r="GFM141" s="34"/>
      <c r="GFN141" s="34"/>
      <c r="GFO141" s="34"/>
      <c r="GFP141" s="34"/>
      <c r="GFQ141" s="34"/>
      <c r="GFR141" s="34"/>
      <c r="GFS141" s="34"/>
      <c r="GFT141" s="34"/>
      <c r="GFU141" s="34"/>
      <c r="GFV141" s="34"/>
      <c r="GFW141" s="34"/>
      <c r="GFX141" s="34"/>
      <c r="GFY141" s="34"/>
      <c r="GFZ141" s="34"/>
      <c r="GGA141" s="34"/>
      <c r="GGB141" s="34"/>
      <c r="GGC141" s="34"/>
      <c r="GGD141" s="34"/>
      <c r="GGE141" s="34"/>
      <c r="GGF141" s="34"/>
      <c r="GGG141" s="34"/>
      <c r="GGH141" s="34"/>
      <c r="GGI141" s="34"/>
      <c r="GGJ141" s="34"/>
      <c r="GGK141" s="34"/>
      <c r="GGL141" s="34"/>
      <c r="GGM141" s="34"/>
      <c r="GGN141" s="34"/>
      <c r="GGO141" s="34"/>
      <c r="GGP141" s="34"/>
      <c r="GGQ141" s="34"/>
      <c r="GGR141" s="34"/>
      <c r="GGS141" s="34"/>
      <c r="GGT141" s="34"/>
      <c r="GGU141" s="34"/>
      <c r="GGV141" s="34"/>
      <c r="GGW141" s="34"/>
      <c r="GGX141" s="34"/>
      <c r="GGY141" s="34"/>
      <c r="GGZ141" s="34"/>
      <c r="GHA141" s="34"/>
      <c r="GHB141" s="34"/>
      <c r="GHC141" s="34"/>
      <c r="GHD141" s="34"/>
      <c r="GHE141" s="34"/>
      <c r="GHF141" s="34"/>
      <c r="GHG141" s="34"/>
      <c r="GHH141" s="34"/>
      <c r="GHI141" s="34"/>
      <c r="GHJ141" s="34"/>
      <c r="GHK141" s="34"/>
      <c r="GHL141" s="34"/>
      <c r="GHM141" s="34"/>
      <c r="GHN141" s="34"/>
      <c r="GHO141" s="34"/>
      <c r="GHP141" s="34"/>
      <c r="GHQ141" s="34"/>
      <c r="GHR141" s="34"/>
      <c r="GHS141" s="34"/>
      <c r="GHT141" s="34"/>
      <c r="GHU141" s="34"/>
      <c r="GHV141" s="34"/>
      <c r="GHW141" s="34"/>
      <c r="GHX141" s="34"/>
      <c r="GHY141" s="34"/>
      <c r="GHZ141" s="34"/>
      <c r="GIA141" s="34"/>
      <c r="GIB141" s="34"/>
      <c r="GIC141" s="34"/>
      <c r="GID141" s="34"/>
      <c r="GIE141" s="34"/>
      <c r="GIF141" s="34"/>
      <c r="GIG141" s="34"/>
      <c r="GIH141" s="34"/>
      <c r="GII141" s="34"/>
      <c r="GIJ141" s="34"/>
      <c r="GIK141" s="34"/>
      <c r="GIL141" s="34"/>
      <c r="GIM141" s="34"/>
      <c r="GIN141" s="34"/>
      <c r="GIO141" s="34"/>
      <c r="GIP141" s="34"/>
      <c r="GIQ141" s="34"/>
      <c r="GIR141" s="34"/>
      <c r="GIS141" s="34"/>
      <c r="GIT141" s="34"/>
      <c r="GIU141" s="34"/>
      <c r="GIV141" s="34"/>
      <c r="GIW141" s="34"/>
      <c r="GIX141" s="34"/>
      <c r="GIY141" s="34"/>
      <c r="GIZ141" s="34"/>
      <c r="GJA141" s="34"/>
      <c r="GJB141" s="34"/>
      <c r="GJC141" s="34"/>
      <c r="GJD141" s="34"/>
      <c r="GJE141" s="34"/>
      <c r="GJF141" s="34"/>
      <c r="GJG141" s="34"/>
      <c r="GJH141" s="34"/>
      <c r="GJI141" s="34"/>
      <c r="GJJ141" s="34"/>
      <c r="GJK141" s="34"/>
      <c r="GJL141" s="34"/>
      <c r="GJM141" s="34"/>
      <c r="GJN141" s="34"/>
      <c r="GJO141" s="34"/>
      <c r="GJP141" s="34"/>
      <c r="GJQ141" s="34"/>
      <c r="GJR141" s="34"/>
      <c r="GJS141" s="34"/>
      <c r="GJT141" s="34"/>
      <c r="GJU141" s="34"/>
      <c r="GJV141" s="34"/>
      <c r="GJW141" s="34"/>
      <c r="GJX141" s="34"/>
      <c r="GJY141" s="34"/>
      <c r="GJZ141" s="34"/>
      <c r="GKA141" s="34"/>
      <c r="GKB141" s="34"/>
      <c r="GKC141" s="34"/>
      <c r="GKD141" s="34"/>
      <c r="GKE141" s="34"/>
      <c r="GKF141" s="34"/>
      <c r="GKG141" s="34"/>
      <c r="GKH141" s="34"/>
      <c r="GKI141" s="34"/>
      <c r="GKJ141" s="34"/>
      <c r="GKK141" s="34"/>
      <c r="GKL141" s="34"/>
      <c r="GKM141" s="34"/>
      <c r="GKN141" s="34"/>
      <c r="GKO141" s="34"/>
      <c r="GKP141" s="34"/>
      <c r="GKQ141" s="34"/>
      <c r="GKR141" s="34"/>
      <c r="GKS141" s="34"/>
      <c r="GKT141" s="34"/>
      <c r="GKU141" s="34"/>
      <c r="GKV141" s="34"/>
      <c r="GKW141" s="34"/>
      <c r="GKX141" s="34"/>
      <c r="GKY141" s="34"/>
      <c r="GKZ141" s="34"/>
      <c r="GLA141" s="34"/>
      <c r="GLB141" s="34"/>
      <c r="GLC141" s="34"/>
      <c r="GLD141" s="34"/>
      <c r="GLE141" s="34"/>
      <c r="GLF141" s="34"/>
      <c r="GLG141" s="34"/>
      <c r="GLH141" s="34"/>
      <c r="GLI141" s="34"/>
      <c r="GLJ141" s="34"/>
      <c r="GLK141" s="34"/>
      <c r="GLL141" s="34"/>
      <c r="GLM141" s="34"/>
      <c r="GLN141" s="34"/>
      <c r="GLO141" s="34"/>
      <c r="GLP141" s="34"/>
      <c r="GLQ141" s="34"/>
      <c r="GLR141" s="34"/>
      <c r="GLS141" s="34"/>
      <c r="GLT141" s="34"/>
      <c r="GLU141" s="34"/>
      <c r="GLV141" s="34"/>
      <c r="GLW141" s="34"/>
      <c r="GLX141" s="34"/>
      <c r="GLY141" s="34"/>
      <c r="GLZ141" s="34"/>
      <c r="GMA141" s="34"/>
      <c r="GMB141" s="34"/>
      <c r="GMC141" s="34"/>
      <c r="GMD141" s="34"/>
      <c r="GME141" s="34"/>
      <c r="GMF141" s="34"/>
      <c r="GMG141" s="34"/>
      <c r="GMH141" s="34"/>
      <c r="GMI141" s="34"/>
      <c r="GMJ141" s="34"/>
      <c r="GMK141" s="34"/>
      <c r="GML141" s="34"/>
      <c r="GMM141" s="34"/>
      <c r="GMN141" s="34"/>
      <c r="GMO141" s="34"/>
      <c r="GMP141" s="34"/>
      <c r="GMQ141" s="34"/>
      <c r="GMR141" s="34"/>
      <c r="GMS141" s="34"/>
      <c r="GMT141" s="34"/>
      <c r="GMU141" s="34"/>
      <c r="GMV141" s="34"/>
      <c r="GMW141" s="34"/>
      <c r="GMX141" s="34"/>
      <c r="GMY141" s="34"/>
      <c r="GMZ141" s="34"/>
      <c r="GNA141" s="34"/>
      <c r="GNB141" s="34"/>
      <c r="GNC141" s="34"/>
      <c r="GND141" s="34"/>
      <c r="GNE141" s="34"/>
      <c r="GNF141" s="34"/>
      <c r="GNG141" s="34"/>
      <c r="GNH141" s="34"/>
      <c r="GNI141" s="34"/>
      <c r="GNJ141" s="34"/>
      <c r="GNK141" s="34"/>
      <c r="GNL141" s="34"/>
      <c r="GNM141" s="34"/>
      <c r="GNN141" s="34"/>
      <c r="GNO141" s="34"/>
      <c r="GNP141" s="34"/>
      <c r="GNQ141" s="34"/>
      <c r="GNR141" s="34"/>
      <c r="GNS141" s="34"/>
      <c r="GNT141" s="34"/>
      <c r="GNU141" s="34"/>
      <c r="GNV141" s="34"/>
      <c r="GNW141" s="34"/>
      <c r="GNX141" s="34"/>
      <c r="GNY141" s="34"/>
      <c r="GNZ141" s="34"/>
      <c r="GOA141" s="34"/>
      <c r="GOB141" s="34"/>
      <c r="GOC141" s="34"/>
      <c r="GOD141" s="34"/>
      <c r="GOE141" s="34"/>
      <c r="GOF141" s="34"/>
      <c r="GOG141" s="34"/>
      <c r="GOH141" s="34"/>
      <c r="GOI141" s="34"/>
      <c r="GOJ141" s="34"/>
      <c r="GOK141" s="34"/>
      <c r="GOL141" s="34"/>
      <c r="GOM141" s="34"/>
      <c r="GON141" s="34"/>
      <c r="GOO141" s="34"/>
      <c r="GOP141" s="34"/>
      <c r="GOQ141" s="34"/>
      <c r="GOR141" s="34"/>
      <c r="GOS141" s="34"/>
      <c r="GOT141" s="34"/>
      <c r="GOU141" s="34"/>
      <c r="GOV141" s="34"/>
      <c r="GOW141" s="34"/>
      <c r="GOX141" s="34"/>
      <c r="GOY141" s="34"/>
      <c r="GOZ141" s="34"/>
      <c r="GPA141" s="34"/>
      <c r="GPB141" s="34"/>
      <c r="GPC141" s="34"/>
      <c r="GPD141" s="34"/>
      <c r="GPE141" s="34"/>
      <c r="GPF141" s="34"/>
      <c r="GPG141" s="34"/>
      <c r="GPH141" s="34"/>
      <c r="GPI141" s="34"/>
      <c r="GPJ141" s="34"/>
      <c r="GPK141" s="34"/>
      <c r="GPL141" s="34"/>
      <c r="GPM141" s="34"/>
      <c r="GPN141" s="34"/>
      <c r="GPO141" s="34"/>
      <c r="GPP141" s="34"/>
      <c r="GPQ141" s="34"/>
      <c r="GPR141" s="34"/>
      <c r="GPS141" s="34"/>
      <c r="GPT141" s="34"/>
      <c r="GPU141" s="34"/>
      <c r="GPV141" s="34"/>
      <c r="GPW141" s="34"/>
      <c r="GPX141" s="34"/>
      <c r="GPY141" s="34"/>
      <c r="GPZ141" s="34"/>
      <c r="GQA141" s="34"/>
      <c r="GQB141" s="34"/>
      <c r="GQC141" s="34"/>
      <c r="GQD141" s="34"/>
      <c r="GQE141" s="34"/>
      <c r="GQF141" s="34"/>
      <c r="GQG141" s="34"/>
      <c r="GQH141" s="34"/>
      <c r="GQI141" s="34"/>
      <c r="GQJ141" s="34"/>
      <c r="GQK141" s="34"/>
      <c r="GQL141" s="34"/>
      <c r="GQM141" s="34"/>
      <c r="GQN141" s="34"/>
      <c r="GQO141" s="34"/>
      <c r="GQP141" s="34"/>
      <c r="GQQ141" s="34"/>
      <c r="GQR141" s="34"/>
      <c r="GQS141" s="34"/>
      <c r="GQT141" s="34"/>
      <c r="GQU141" s="34"/>
      <c r="GQV141" s="34"/>
      <c r="GQW141" s="34"/>
      <c r="GQX141" s="34"/>
      <c r="GQY141" s="34"/>
      <c r="GQZ141" s="34"/>
      <c r="GRA141" s="34"/>
      <c r="GRB141" s="34"/>
      <c r="GRC141" s="34"/>
      <c r="GRD141" s="34"/>
      <c r="GRE141" s="34"/>
      <c r="GRF141" s="34"/>
      <c r="GRG141" s="34"/>
      <c r="GRH141" s="34"/>
      <c r="GRI141" s="34"/>
      <c r="GRJ141" s="34"/>
      <c r="GRK141" s="34"/>
      <c r="GRL141" s="34"/>
      <c r="GRM141" s="34"/>
      <c r="GRN141" s="34"/>
      <c r="GRO141" s="34"/>
      <c r="GRP141" s="34"/>
      <c r="GRQ141" s="34"/>
      <c r="GRR141" s="34"/>
      <c r="GRS141" s="34"/>
      <c r="GRT141" s="34"/>
      <c r="GRU141" s="34"/>
      <c r="GRV141" s="34"/>
      <c r="GRW141" s="34"/>
      <c r="GRX141" s="34"/>
      <c r="GRY141" s="34"/>
      <c r="GRZ141" s="34"/>
      <c r="GSA141" s="34"/>
      <c r="GSB141" s="34"/>
      <c r="GSC141" s="34"/>
      <c r="GSD141" s="34"/>
      <c r="GSE141" s="34"/>
      <c r="GSF141" s="34"/>
      <c r="GSG141" s="34"/>
      <c r="GSH141" s="34"/>
      <c r="GSI141" s="34"/>
      <c r="GSJ141" s="34"/>
      <c r="GSK141" s="34"/>
      <c r="GSL141" s="34"/>
      <c r="GSM141" s="34"/>
      <c r="GSN141" s="34"/>
      <c r="GSO141" s="34"/>
      <c r="GSP141" s="34"/>
      <c r="GSQ141" s="34"/>
      <c r="GSR141" s="34"/>
      <c r="GSS141" s="34"/>
      <c r="GST141" s="34"/>
      <c r="GSU141" s="34"/>
      <c r="GSV141" s="34"/>
      <c r="GSW141" s="34"/>
      <c r="GSX141" s="34"/>
      <c r="GSY141" s="34"/>
      <c r="GSZ141" s="34"/>
      <c r="GTA141" s="34"/>
      <c r="GTB141" s="34"/>
      <c r="GTC141" s="34"/>
      <c r="GTD141" s="34"/>
      <c r="GTE141" s="34"/>
      <c r="GTF141" s="34"/>
      <c r="GTG141" s="34"/>
      <c r="GTH141" s="34"/>
      <c r="GTI141" s="34"/>
      <c r="GTJ141" s="34"/>
      <c r="GTK141" s="34"/>
      <c r="GTL141" s="34"/>
      <c r="GTM141" s="34"/>
      <c r="GTN141" s="34"/>
      <c r="GTO141" s="34"/>
      <c r="GTP141" s="34"/>
      <c r="GTQ141" s="34"/>
      <c r="GTR141" s="34"/>
      <c r="GTS141" s="34"/>
      <c r="GTT141" s="34"/>
      <c r="GTU141" s="34"/>
      <c r="GTV141" s="34"/>
      <c r="GTW141" s="34"/>
      <c r="GTX141" s="34"/>
      <c r="GTY141" s="34"/>
      <c r="GTZ141" s="34"/>
      <c r="GUA141" s="34"/>
      <c r="GUB141" s="34"/>
      <c r="GUC141" s="34"/>
      <c r="GUD141" s="34"/>
      <c r="GUE141" s="34"/>
      <c r="GUF141" s="34"/>
      <c r="GUG141" s="34"/>
      <c r="GUH141" s="34"/>
      <c r="GUI141" s="34"/>
      <c r="GUJ141" s="34"/>
      <c r="GUK141" s="34"/>
      <c r="GUL141" s="34"/>
      <c r="GUM141" s="34"/>
      <c r="GUN141" s="34"/>
      <c r="GUO141" s="34"/>
      <c r="GUP141" s="34"/>
      <c r="GUQ141" s="34"/>
      <c r="GUR141" s="34"/>
      <c r="GUS141" s="34"/>
      <c r="GUT141" s="34"/>
      <c r="GUU141" s="34"/>
      <c r="GUV141" s="34"/>
      <c r="GUW141" s="34"/>
      <c r="GUX141" s="34"/>
      <c r="GUY141" s="34"/>
      <c r="GUZ141" s="34"/>
      <c r="GVA141" s="34"/>
      <c r="GVB141" s="34"/>
      <c r="GVC141" s="34"/>
      <c r="GVD141" s="34"/>
      <c r="GVE141" s="34"/>
      <c r="GVF141" s="34"/>
      <c r="GVG141" s="34"/>
      <c r="GVH141" s="34"/>
      <c r="GVI141" s="34"/>
      <c r="GVJ141" s="34"/>
      <c r="GVK141" s="34"/>
      <c r="GVL141" s="34"/>
      <c r="GVM141" s="34"/>
      <c r="GVN141" s="34"/>
      <c r="GVO141" s="34"/>
      <c r="GVP141" s="34"/>
      <c r="GVQ141" s="34"/>
      <c r="GVR141" s="34"/>
      <c r="GVS141" s="34"/>
      <c r="GVT141" s="34"/>
      <c r="GVU141" s="34"/>
      <c r="GVV141" s="34"/>
      <c r="GVW141" s="34"/>
      <c r="GVX141" s="34"/>
      <c r="GVY141" s="34"/>
      <c r="GVZ141" s="34"/>
      <c r="GWA141" s="34"/>
      <c r="GWB141" s="34"/>
      <c r="GWC141" s="34"/>
      <c r="GWD141" s="34"/>
      <c r="GWE141" s="34"/>
      <c r="GWF141" s="34"/>
      <c r="GWG141" s="34"/>
      <c r="GWH141" s="34"/>
      <c r="GWI141" s="34"/>
      <c r="GWJ141" s="34"/>
      <c r="GWK141" s="34"/>
      <c r="GWL141" s="34"/>
      <c r="GWM141" s="34"/>
      <c r="GWN141" s="34"/>
      <c r="GWO141" s="34"/>
      <c r="GWP141" s="34"/>
      <c r="GWQ141" s="34"/>
      <c r="GWR141" s="34"/>
      <c r="GWS141" s="34"/>
      <c r="GWT141" s="34"/>
      <c r="GWU141" s="34"/>
      <c r="GWV141" s="34"/>
      <c r="GWW141" s="34"/>
      <c r="GWX141" s="34"/>
      <c r="GWY141" s="34"/>
      <c r="GWZ141" s="34"/>
      <c r="GXA141" s="34"/>
      <c r="GXB141" s="34"/>
      <c r="GXC141" s="34"/>
      <c r="GXD141" s="34"/>
      <c r="GXE141" s="34"/>
      <c r="GXF141" s="34"/>
      <c r="GXG141" s="34"/>
      <c r="GXH141" s="34"/>
      <c r="GXI141" s="34"/>
      <c r="GXJ141" s="34"/>
      <c r="GXK141" s="34"/>
      <c r="GXL141" s="34"/>
      <c r="GXM141" s="34"/>
      <c r="GXN141" s="34"/>
      <c r="GXO141" s="34"/>
      <c r="GXP141" s="34"/>
      <c r="GXQ141" s="34"/>
      <c r="GXR141" s="34"/>
      <c r="GXS141" s="34"/>
      <c r="GXT141" s="34"/>
      <c r="GXU141" s="34"/>
      <c r="GXV141" s="34"/>
      <c r="GXW141" s="34"/>
      <c r="GXX141" s="34"/>
      <c r="GXY141" s="34"/>
      <c r="GXZ141" s="34"/>
      <c r="GYA141" s="34"/>
      <c r="GYB141" s="34"/>
      <c r="GYC141" s="34"/>
      <c r="GYD141" s="34"/>
      <c r="GYE141" s="34"/>
      <c r="GYF141" s="34"/>
      <c r="GYG141" s="34"/>
      <c r="GYH141" s="34"/>
      <c r="GYI141" s="34"/>
      <c r="GYJ141" s="34"/>
      <c r="GYK141" s="34"/>
      <c r="GYL141" s="34"/>
      <c r="GYM141" s="34"/>
      <c r="GYN141" s="34"/>
      <c r="GYO141" s="34"/>
      <c r="GYP141" s="34"/>
      <c r="GYQ141" s="34"/>
      <c r="GYR141" s="34"/>
      <c r="GYS141" s="34"/>
      <c r="GYT141" s="34"/>
      <c r="GYU141" s="34"/>
      <c r="GYV141" s="34"/>
      <c r="GYW141" s="34"/>
      <c r="GYX141" s="34"/>
      <c r="GYY141" s="34"/>
      <c r="GYZ141" s="34"/>
      <c r="GZA141" s="34"/>
      <c r="GZB141" s="34"/>
      <c r="GZC141" s="34"/>
      <c r="GZD141" s="34"/>
      <c r="GZE141" s="34"/>
      <c r="GZF141" s="34"/>
      <c r="GZG141" s="34"/>
      <c r="GZH141" s="34"/>
      <c r="GZI141" s="34"/>
      <c r="GZJ141" s="34"/>
      <c r="GZK141" s="34"/>
      <c r="GZL141" s="34"/>
      <c r="GZM141" s="34"/>
      <c r="GZN141" s="34"/>
      <c r="GZO141" s="34"/>
      <c r="GZP141" s="34"/>
      <c r="GZQ141" s="34"/>
      <c r="GZR141" s="34"/>
      <c r="GZS141" s="34"/>
      <c r="GZT141" s="34"/>
      <c r="GZU141" s="34"/>
      <c r="GZV141" s="34"/>
      <c r="GZW141" s="34"/>
      <c r="GZX141" s="34"/>
      <c r="GZY141" s="34"/>
      <c r="GZZ141" s="34"/>
      <c r="HAA141" s="34"/>
      <c r="HAB141" s="34"/>
      <c r="HAC141" s="34"/>
      <c r="HAD141" s="34"/>
      <c r="HAE141" s="34"/>
      <c r="HAF141" s="34"/>
      <c r="HAG141" s="34"/>
      <c r="HAH141" s="34"/>
      <c r="HAI141" s="34"/>
      <c r="HAJ141" s="34"/>
      <c r="HAK141" s="34"/>
      <c r="HAL141" s="34"/>
      <c r="HAM141" s="34"/>
      <c r="HAN141" s="34"/>
      <c r="HAO141" s="34"/>
      <c r="HAP141" s="34"/>
      <c r="HAQ141" s="34"/>
      <c r="HAR141" s="34"/>
      <c r="HAS141" s="34"/>
      <c r="HAT141" s="34"/>
      <c r="HAU141" s="34"/>
      <c r="HAV141" s="34"/>
      <c r="HAW141" s="34"/>
      <c r="HAX141" s="34"/>
      <c r="HAY141" s="34"/>
      <c r="HAZ141" s="34"/>
      <c r="HBA141" s="34"/>
      <c r="HBB141" s="34"/>
      <c r="HBC141" s="34"/>
      <c r="HBD141" s="34"/>
      <c r="HBE141" s="34"/>
      <c r="HBF141" s="34"/>
      <c r="HBG141" s="34"/>
      <c r="HBH141" s="34"/>
      <c r="HBI141" s="34"/>
      <c r="HBJ141" s="34"/>
      <c r="HBK141" s="34"/>
      <c r="HBL141" s="34"/>
      <c r="HBM141" s="34"/>
      <c r="HBN141" s="34"/>
      <c r="HBO141" s="34"/>
      <c r="HBP141" s="34"/>
      <c r="HBQ141" s="34"/>
      <c r="HBR141" s="34"/>
      <c r="HBS141" s="34"/>
      <c r="HBT141" s="34"/>
      <c r="HBU141" s="34"/>
      <c r="HBV141" s="34"/>
      <c r="HBW141" s="34"/>
      <c r="HBX141" s="34"/>
      <c r="HBY141" s="34"/>
      <c r="HBZ141" s="34"/>
      <c r="HCA141" s="34"/>
      <c r="HCB141" s="34"/>
      <c r="HCC141" s="34"/>
      <c r="HCD141" s="34"/>
      <c r="HCE141" s="34"/>
      <c r="HCF141" s="34"/>
      <c r="HCG141" s="34"/>
      <c r="HCH141" s="34"/>
      <c r="HCI141" s="34"/>
      <c r="HCJ141" s="34"/>
      <c r="HCK141" s="34"/>
      <c r="HCL141" s="34"/>
      <c r="HCM141" s="34"/>
      <c r="HCN141" s="34"/>
      <c r="HCO141" s="34"/>
      <c r="HCP141" s="34"/>
      <c r="HCQ141" s="34"/>
      <c r="HCR141" s="34"/>
      <c r="HCS141" s="34"/>
      <c r="HCT141" s="34"/>
      <c r="HCU141" s="34"/>
      <c r="HCV141" s="34"/>
      <c r="HCW141" s="34"/>
      <c r="HCX141" s="34"/>
      <c r="HCY141" s="34"/>
      <c r="HCZ141" s="34"/>
      <c r="HDA141" s="34"/>
      <c r="HDB141" s="34"/>
      <c r="HDC141" s="34"/>
      <c r="HDD141" s="34"/>
      <c r="HDE141" s="34"/>
      <c r="HDF141" s="34"/>
      <c r="HDG141" s="34"/>
      <c r="HDH141" s="34"/>
      <c r="HDI141" s="34"/>
      <c r="HDJ141" s="34"/>
      <c r="HDK141" s="34"/>
      <c r="HDL141" s="34"/>
      <c r="HDM141" s="34"/>
      <c r="HDN141" s="34"/>
      <c r="HDO141" s="34"/>
      <c r="HDP141" s="34"/>
      <c r="HDQ141" s="34"/>
      <c r="HDR141" s="34"/>
      <c r="HDS141" s="34"/>
      <c r="HDT141" s="34"/>
      <c r="HDU141" s="34"/>
      <c r="HDV141" s="34"/>
      <c r="HDW141" s="34"/>
      <c r="HDX141" s="34"/>
      <c r="HDY141" s="34"/>
      <c r="HDZ141" s="34"/>
      <c r="HEA141" s="34"/>
      <c r="HEB141" s="34"/>
      <c r="HEC141" s="34"/>
      <c r="HED141" s="34"/>
      <c r="HEE141" s="34"/>
      <c r="HEF141" s="34"/>
      <c r="HEG141" s="34"/>
      <c r="HEH141" s="34"/>
      <c r="HEI141" s="34"/>
      <c r="HEJ141" s="34"/>
      <c r="HEK141" s="34"/>
      <c r="HEL141" s="34"/>
      <c r="HEM141" s="34"/>
      <c r="HEN141" s="34"/>
      <c r="HEO141" s="34"/>
      <c r="HEP141" s="34"/>
      <c r="HEQ141" s="34"/>
      <c r="HER141" s="34"/>
      <c r="HES141" s="34"/>
      <c r="HET141" s="34"/>
      <c r="HEU141" s="34"/>
      <c r="HEV141" s="34"/>
      <c r="HEW141" s="34"/>
      <c r="HEX141" s="34"/>
      <c r="HEY141" s="34"/>
      <c r="HEZ141" s="34"/>
      <c r="HFA141" s="34"/>
      <c r="HFB141" s="34"/>
      <c r="HFC141" s="34"/>
      <c r="HFD141" s="34"/>
      <c r="HFE141" s="34"/>
      <c r="HFF141" s="34"/>
      <c r="HFG141" s="34"/>
      <c r="HFH141" s="34"/>
      <c r="HFI141" s="34"/>
      <c r="HFJ141" s="34"/>
      <c r="HFK141" s="34"/>
      <c r="HFL141" s="34"/>
      <c r="HFM141" s="34"/>
      <c r="HFN141" s="34"/>
      <c r="HFO141" s="34"/>
      <c r="HFP141" s="34"/>
      <c r="HFQ141" s="34"/>
      <c r="HFR141" s="34"/>
      <c r="HFS141" s="34"/>
      <c r="HFT141" s="34"/>
      <c r="HFU141" s="34"/>
      <c r="HFV141" s="34"/>
      <c r="HFW141" s="34"/>
      <c r="HFX141" s="34"/>
      <c r="HFY141" s="34"/>
      <c r="HFZ141" s="34"/>
      <c r="HGA141" s="34"/>
      <c r="HGB141" s="34"/>
      <c r="HGC141" s="34"/>
      <c r="HGD141" s="34"/>
      <c r="HGE141" s="34"/>
      <c r="HGF141" s="34"/>
      <c r="HGG141" s="34"/>
      <c r="HGH141" s="34"/>
      <c r="HGI141" s="34"/>
      <c r="HGJ141" s="34"/>
      <c r="HGK141" s="34"/>
      <c r="HGL141" s="34"/>
      <c r="HGM141" s="34"/>
      <c r="HGN141" s="34"/>
      <c r="HGO141" s="34"/>
      <c r="HGP141" s="34"/>
      <c r="HGQ141" s="34"/>
      <c r="HGR141" s="34"/>
      <c r="HGS141" s="34"/>
      <c r="HGT141" s="34"/>
      <c r="HGU141" s="34"/>
      <c r="HGV141" s="34"/>
      <c r="HGW141" s="34"/>
      <c r="HGX141" s="34"/>
      <c r="HGY141" s="34"/>
      <c r="HGZ141" s="34"/>
      <c r="HHA141" s="34"/>
      <c r="HHB141" s="34"/>
      <c r="HHC141" s="34"/>
      <c r="HHD141" s="34"/>
      <c r="HHE141" s="34"/>
      <c r="HHF141" s="34"/>
      <c r="HHG141" s="34"/>
      <c r="HHH141" s="34"/>
      <c r="HHI141" s="34"/>
      <c r="HHJ141" s="34"/>
      <c r="HHK141" s="34"/>
      <c r="HHL141" s="34"/>
      <c r="HHM141" s="34"/>
      <c r="HHN141" s="34"/>
      <c r="HHO141" s="34"/>
      <c r="HHP141" s="34"/>
      <c r="HHQ141" s="34"/>
      <c r="HHR141" s="34"/>
      <c r="HHS141" s="34"/>
      <c r="HHT141" s="34"/>
      <c r="HHU141" s="34"/>
      <c r="HHV141" s="34"/>
      <c r="HHW141" s="34"/>
      <c r="HHX141" s="34"/>
      <c r="HHY141" s="34"/>
      <c r="HHZ141" s="34"/>
      <c r="HIA141" s="34"/>
      <c r="HIB141" s="34"/>
      <c r="HIC141" s="34"/>
      <c r="HID141" s="34"/>
      <c r="HIE141" s="34"/>
      <c r="HIF141" s="34"/>
      <c r="HIG141" s="34"/>
      <c r="HIH141" s="34"/>
      <c r="HII141" s="34"/>
      <c r="HIJ141" s="34"/>
      <c r="HIK141" s="34"/>
      <c r="HIL141" s="34"/>
      <c r="HIM141" s="34"/>
      <c r="HIN141" s="34"/>
      <c r="HIO141" s="34"/>
      <c r="HIP141" s="34"/>
      <c r="HIQ141" s="34"/>
      <c r="HIR141" s="34"/>
      <c r="HIS141" s="34"/>
      <c r="HIT141" s="34"/>
      <c r="HIU141" s="34"/>
      <c r="HIV141" s="34"/>
      <c r="HIW141" s="34"/>
      <c r="HIX141" s="34"/>
      <c r="HIY141" s="34"/>
      <c r="HIZ141" s="34"/>
      <c r="HJA141" s="34"/>
      <c r="HJB141" s="34"/>
      <c r="HJC141" s="34"/>
      <c r="HJD141" s="34"/>
      <c r="HJE141" s="34"/>
      <c r="HJF141" s="34"/>
      <c r="HJG141" s="34"/>
      <c r="HJH141" s="34"/>
      <c r="HJI141" s="34"/>
      <c r="HJJ141" s="34"/>
      <c r="HJK141" s="34"/>
      <c r="HJL141" s="34"/>
      <c r="HJM141" s="34"/>
      <c r="HJN141" s="34"/>
      <c r="HJO141" s="34"/>
      <c r="HJP141" s="34"/>
      <c r="HJQ141" s="34"/>
      <c r="HJR141" s="34"/>
      <c r="HJS141" s="34"/>
      <c r="HJT141" s="34"/>
      <c r="HJU141" s="34"/>
      <c r="HJV141" s="34"/>
      <c r="HJW141" s="34"/>
      <c r="HJX141" s="34"/>
      <c r="HJY141" s="34"/>
      <c r="HJZ141" s="34"/>
      <c r="HKA141" s="34"/>
      <c r="HKB141" s="34"/>
      <c r="HKC141" s="34"/>
      <c r="HKD141" s="34"/>
      <c r="HKE141" s="34"/>
      <c r="HKF141" s="34"/>
      <c r="HKG141" s="34"/>
      <c r="HKH141" s="34"/>
      <c r="HKI141" s="34"/>
      <c r="HKJ141" s="34"/>
      <c r="HKK141" s="34"/>
      <c r="HKL141" s="34"/>
      <c r="HKM141" s="34"/>
      <c r="HKN141" s="34"/>
      <c r="HKO141" s="34"/>
      <c r="HKP141" s="34"/>
      <c r="HKQ141" s="34"/>
      <c r="HKR141" s="34"/>
      <c r="HKS141" s="34"/>
      <c r="HKT141" s="34"/>
      <c r="HKU141" s="34"/>
      <c r="HKV141" s="34"/>
      <c r="HKW141" s="34"/>
      <c r="HKX141" s="34"/>
      <c r="HKY141" s="34"/>
      <c r="HKZ141" s="34"/>
      <c r="HLA141" s="34"/>
      <c r="HLB141" s="34"/>
      <c r="HLC141" s="34"/>
      <c r="HLD141" s="34"/>
      <c r="HLE141" s="34"/>
      <c r="HLF141" s="34"/>
      <c r="HLG141" s="34"/>
      <c r="HLH141" s="34"/>
      <c r="HLI141" s="34"/>
      <c r="HLJ141" s="34"/>
      <c r="HLK141" s="34"/>
      <c r="HLL141" s="34"/>
      <c r="HLM141" s="34"/>
      <c r="HLN141" s="34"/>
      <c r="HLO141" s="34"/>
      <c r="HLP141" s="34"/>
      <c r="HLQ141" s="34"/>
      <c r="HLR141" s="34"/>
      <c r="HLS141" s="34"/>
      <c r="HLT141" s="34"/>
      <c r="HLU141" s="34"/>
      <c r="HLV141" s="34"/>
      <c r="HLW141" s="34"/>
      <c r="HLX141" s="34"/>
      <c r="HLY141" s="34"/>
      <c r="HLZ141" s="34"/>
      <c r="HMA141" s="34"/>
      <c r="HMB141" s="34"/>
      <c r="HMC141" s="34"/>
      <c r="HMD141" s="34"/>
      <c r="HME141" s="34"/>
      <c r="HMF141" s="34"/>
      <c r="HMG141" s="34"/>
      <c r="HMH141" s="34"/>
      <c r="HMI141" s="34"/>
      <c r="HMJ141" s="34"/>
      <c r="HMK141" s="34"/>
      <c r="HML141" s="34"/>
      <c r="HMM141" s="34"/>
      <c r="HMN141" s="34"/>
      <c r="HMO141" s="34"/>
      <c r="HMP141" s="34"/>
      <c r="HMQ141" s="34"/>
      <c r="HMR141" s="34"/>
      <c r="HMS141" s="34"/>
      <c r="HMT141" s="34"/>
      <c r="HMU141" s="34"/>
      <c r="HMV141" s="34"/>
      <c r="HMW141" s="34"/>
      <c r="HMX141" s="34"/>
      <c r="HMY141" s="34"/>
      <c r="HMZ141" s="34"/>
      <c r="HNA141" s="34"/>
      <c r="HNB141" s="34"/>
      <c r="HNC141" s="34"/>
      <c r="HND141" s="34"/>
      <c r="HNE141" s="34"/>
      <c r="HNF141" s="34"/>
      <c r="HNG141" s="34"/>
      <c r="HNH141" s="34"/>
      <c r="HNI141" s="34"/>
      <c r="HNJ141" s="34"/>
      <c r="HNK141" s="34"/>
      <c r="HNL141" s="34"/>
      <c r="HNM141" s="34"/>
      <c r="HNN141" s="34"/>
      <c r="HNO141" s="34"/>
      <c r="HNP141" s="34"/>
      <c r="HNQ141" s="34"/>
      <c r="HNR141" s="34"/>
      <c r="HNS141" s="34"/>
      <c r="HNT141" s="34"/>
      <c r="HNU141" s="34"/>
      <c r="HNV141" s="34"/>
      <c r="HNW141" s="34"/>
      <c r="HNX141" s="34"/>
      <c r="HNY141" s="34"/>
      <c r="HNZ141" s="34"/>
      <c r="HOA141" s="34"/>
      <c r="HOB141" s="34"/>
      <c r="HOC141" s="34"/>
      <c r="HOD141" s="34"/>
      <c r="HOE141" s="34"/>
      <c r="HOF141" s="34"/>
      <c r="HOG141" s="34"/>
      <c r="HOH141" s="34"/>
      <c r="HOI141" s="34"/>
      <c r="HOJ141" s="34"/>
      <c r="HOK141" s="34"/>
      <c r="HOL141" s="34"/>
      <c r="HOM141" s="34"/>
      <c r="HON141" s="34"/>
      <c r="HOO141" s="34"/>
      <c r="HOP141" s="34"/>
      <c r="HOQ141" s="34"/>
      <c r="HOR141" s="34"/>
      <c r="HOS141" s="34"/>
      <c r="HOT141" s="34"/>
      <c r="HOU141" s="34"/>
      <c r="HOV141" s="34"/>
      <c r="HOW141" s="34"/>
      <c r="HOX141" s="34"/>
      <c r="HOY141" s="34"/>
      <c r="HOZ141" s="34"/>
      <c r="HPA141" s="34"/>
      <c r="HPB141" s="34"/>
      <c r="HPC141" s="34"/>
      <c r="HPD141" s="34"/>
      <c r="HPE141" s="34"/>
      <c r="HPF141" s="34"/>
      <c r="HPG141" s="34"/>
      <c r="HPH141" s="34"/>
      <c r="HPI141" s="34"/>
      <c r="HPJ141" s="34"/>
      <c r="HPK141" s="34"/>
      <c r="HPL141" s="34"/>
      <c r="HPM141" s="34"/>
      <c r="HPN141" s="34"/>
      <c r="HPO141" s="34"/>
      <c r="HPP141" s="34"/>
      <c r="HPQ141" s="34"/>
      <c r="HPR141" s="34"/>
      <c r="HPS141" s="34"/>
      <c r="HPT141" s="34"/>
      <c r="HPU141" s="34"/>
      <c r="HPV141" s="34"/>
      <c r="HPW141" s="34"/>
      <c r="HPX141" s="34"/>
      <c r="HPY141" s="34"/>
      <c r="HPZ141" s="34"/>
      <c r="HQA141" s="34"/>
      <c r="HQB141" s="34"/>
      <c r="HQC141" s="34"/>
      <c r="HQD141" s="34"/>
      <c r="HQE141" s="34"/>
      <c r="HQF141" s="34"/>
      <c r="HQG141" s="34"/>
      <c r="HQH141" s="34"/>
      <c r="HQI141" s="34"/>
      <c r="HQJ141" s="34"/>
      <c r="HQK141" s="34"/>
      <c r="HQL141" s="34"/>
      <c r="HQM141" s="34"/>
      <c r="HQN141" s="34"/>
      <c r="HQO141" s="34"/>
      <c r="HQP141" s="34"/>
      <c r="HQQ141" s="34"/>
      <c r="HQR141" s="34"/>
      <c r="HQS141" s="34"/>
      <c r="HQT141" s="34"/>
      <c r="HQU141" s="34"/>
      <c r="HQV141" s="34"/>
      <c r="HQW141" s="34"/>
      <c r="HQX141" s="34"/>
      <c r="HQY141" s="34"/>
      <c r="HQZ141" s="34"/>
      <c r="HRA141" s="34"/>
      <c r="HRB141" s="34"/>
      <c r="HRC141" s="34"/>
      <c r="HRD141" s="34"/>
      <c r="HRE141" s="34"/>
      <c r="HRF141" s="34"/>
      <c r="HRG141" s="34"/>
      <c r="HRH141" s="34"/>
      <c r="HRI141" s="34"/>
      <c r="HRJ141" s="34"/>
      <c r="HRK141" s="34"/>
      <c r="HRL141" s="34"/>
      <c r="HRM141" s="34"/>
      <c r="HRN141" s="34"/>
      <c r="HRO141" s="34"/>
      <c r="HRP141" s="34"/>
      <c r="HRQ141" s="34"/>
      <c r="HRR141" s="34"/>
      <c r="HRS141" s="34"/>
      <c r="HRT141" s="34"/>
      <c r="HRU141" s="34"/>
      <c r="HRV141" s="34"/>
      <c r="HRW141" s="34"/>
      <c r="HRX141" s="34"/>
      <c r="HRY141" s="34"/>
      <c r="HRZ141" s="34"/>
      <c r="HSA141" s="34"/>
      <c r="HSB141" s="34"/>
      <c r="HSC141" s="34"/>
      <c r="HSD141" s="34"/>
      <c r="HSE141" s="34"/>
      <c r="HSF141" s="34"/>
      <c r="HSG141" s="34"/>
      <c r="HSH141" s="34"/>
      <c r="HSI141" s="34"/>
      <c r="HSJ141" s="34"/>
      <c r="HSK141" s="34"/>
      <c r="HSL141" s="34"/>
      <c r="HSM141" s="34"/>
      <c r="HSN141" s="34"/>
      <c r="HSO141" s="34"/>
      <c r="HSP141" s="34"/>
      <c r="HSQ141" s="34"/>
      <c r="HSR141" s="34"/>
      <c r="HSS141" s="34"/>
      <c r="HST141" s="34"/>
      <c r="HSU141" s="34"/>
      <c r="HSV141" s="34"/>
      <c r="HSW141" s="34"/>
      <c r="HSX141" s="34"/>
      <c r="HSY141" s="34"/>
      <c r="HSZ141" s="34"/>
      <c r="HTA141" s="34"/>
      <c r="HTB141" s="34"/>
      <c r="HTC141" s="34"/>
      <c r="HTD141" s="34"/>
      <c r="HTE141" s="34"/>
      <c r="HTF141" s="34"/>
      <c r="HTG141" s="34"/>
      <c r="HTH141" s="34"/>
      <c r="HTI141" s="34"/>
      <c r="HTJ141" s="34"/>
      <c r="HTK141" s="34"/>
      <c r="HTL141" s="34"/>
      <c r="HTM141" s="34"/>
      <c r="HTN141" s="34"/>
      <c r="HTO141" s="34"/>
      <c r="HTP141" s="34"/>
      <c r="HTQ141" s="34"/>
      <c r="HTR141" s="34"/>
      <c r="HTS141" s="34"/>
      <c r="HTT141" s="34"/>
      <c r="HTU141" s="34"/>
      <c r="HTV141" s="34"/>
      <c r="HTW141" s="34"/>
      <c r="HTX141" s="34"/>
      <c r="HTY141" s="34"/>
      <c r="HTZ141" s="34"/>
      <c r="HUA141" s="34"/>
      <c r="HUB141" s="34"/>
      <c r="HUC141" s="34"/>
      <c r="HUD141" s="34"/>
      <c r="HUE141" s="34"/>
      <c r="HUF141" s="34"/>
      <c r="HUG141" s="34"/>
      <c r="HUH141" s="34"/>
      <c r="HUI141" s="34"/>
      <c r="HUJ141" s="34"/>
      <c r="HUK141" s="34"/>
      <c r="HUL141" s="34"/>
      <c r="HUM141" s="34"/>
      <c r="HUN141" s="34"/>
      <c r="HUO141" s="34"/>
      <c r="HUP141" s="34"/>
      <c r="HUQ141" s="34"/>
      <c r="HUR141" s="34"/>
      <c r="HUS141" s="34"/>
      <c r="HUT141" s="34"/>
      <c r="HUU141" s="34"/>
      <c r="HUV141" s="34"/>
      <c r="HUW141" s="34"/>
      <c r="HUX141" s="34"/>
      <c r="HUY141" s="34"/>
      <c r="HUZ141" s="34"/>
      <c r="HVA141" s="34"/>
      <c r="HVB141" s="34"/>
      <c r="HVC141" s="34"/>
      <c r="HVD141" s="34"/>
      <c r="HVE141" s="34"/>
      <c r="HVF141" s="34"/>
      <c r="HVG141" s="34"/>
      <c r="HVH141" s="34"/>
      <c r="HVI141" s="34"/>
      <c r="HVJ141" s="34"/>
      <c r="HVK141" s="34"/>
      <c r="HVL141" s="34"/>
      <c r="HVM141" s="34"/>
      <c r="HVN141" s="34"/>
      <c r="HVO141" s="34"/>
      <c r="HVP141" s="34"/>
      <c r="HVQ141" s="34"/>
      <c r="HVR141" s="34"/>
      <c r="HVS141" s="34"/>
      <c r="HVT141" s="34"/>
      <c r="HVU141" s="34"/>
      <c r="HVV141" s="34"/>
      <c r="HVW141" s="34"/>
      <c r="HVX141" s="34"/>
      <c r="HVY141" s="34"/>
      <c r="HVZ141" s="34"/>
      <c r="HWA141" s="34"/>
      <c r="HWB141" s="34"/>
      <c r="HWC141" s="34"/>
      <c r="HWD141" s="34"/>
      <c r="HWE141" s="34"/>
      <c r="HWF141" s="34"/>
      <c r="HWG141" s="34"/>
      <c r="HWH141" s="34"/>
      <c r="HWI141" s="34"/>
      <c r="HWJ141" s="34"/>
      <c r="HWK141" s="34"/>
      <c r="HWL141" s="34"/>
      <c r="HWM141" s="34"/>
      <c r="HWN141" s="34"/>
      <c r="HWO141" s="34"/>
      <c r="HWP141" s="34"/>
      <c r="HWQ141" s="34"/>
      <c r="HWR141" s="34"/>
      <c r="HWS141" s="34"/>
      <c r="HWT141" s="34"/>
      <c r="HWU141" s="34"/>
      <c r="HWV141" s="34"/>
      <c r="HWW141" s="34"/>
      <c r="HWX141" s="34"/>
      <c r="HWY141" s="34"/>
      <c r="HWZ141" s="34"/>
      <c r="HXA141" s="34"/>
      <c r="HXB141" s="34"/>
      <c r="HXC141" s="34"/>
      <c r="HXD141" s="34"/>
      <c r="HXE141" s="34"/>
      <c r="HXF141" s="34"/>
      <c r="HXG141" s="34"/>
      <c r="HXH141" s="34"/>
      <c r="HXI141" s="34"/>
      <c r="HXJ141" s="34"/>
      <c r="HXK141" s="34"/>
      <c r="HXL141" s="34"/>
      <c r="HXM141" s="34"/>
      <c r="HXN141" s="34"/>
      <c r="HXO141" s="34"/>
      <c r="HXP141" s="34"/>
      <c r="HXQ141" s="34"/>
      <c r="HXR141" s="34"/>
      <c r="HXS141" s="34"/>
      <c r="HXT141" s="34"/>
      <c r="HXU141" s="34"/>
      <c r="HXV141" s="34"/>
      <c r="HXW141" s="34"/>
      <c r="HXX141" s="34"/>
      <c r="HXY141" s="34"/>
      <c r="HXZ141" s="34"/>
      <c r="HYA141" s="34"/>
      <c r="HYB141" s="34"/>
      <c r="HYC141" s="34"/>
      <c r="HYD141" s="34"/>
      <c r="HYE141" s="34"/>
      <c r="HYF141" s="34"/>
      <c r="HYG141" s="34"/>
      <c r="HYH141" s="34"/>
      <c r="HYI141" s="34"/>
      <c r="HYJ141" s="34"/>
      <c r="HYK141" s="34"/>
      <c r="HYL141" s="34"/>
      <c r="HYM141" s="34"/>
      <c r="HYN141" s="34"/>
      <c r="HYO141" s="34"/>
      <c r="HYP141" s="34"/>
      <c r="HYQ141" s="34"/>
      <c r="HYR141" s="34"/>
      <c r="HYS141" s="34"/>
      <c r="HYT141" s="34"/>
      <c r="HYU141" s="34"/>
      <c r="HYV141" s="34"/>
      <c r="HYW141" s="34"/>
      <c r="HYX141" s="34"/>
      <c r="HYY141" s="34"/>
      <c r="HYZ141" s="34"/>
      <c r="HZA141" s="34"/>
      <c r="HZB141" s="34"/>
      <c r="HZC141" s="34"/>
      <c r="HZD141" s="34"/>
      <c r="HZE141" s="34"/>
      <c r="HZF141" s="34"/>
      <c r="HZG141" s="34"/>
      <c r="HZH141" s="34"/>
      <c r="HZI141" s="34"/>
      <c r="HZJ141" s="34"/>
      <c r="HZK141" s="34"/>
      <c r="HZL141" s="34"/>
      <c r="HZM141" s="34"/>
      <c r="HZN141" s="34"/>
      <c r="HZO141" s="34"/>
      <c r="HZP141" s="34"/>
      <c r="HZQ141" s="34"/>
      <c r="HZR141" s="34"/>
      <c r="HZS141" s="34"/>
      <c r="HZT141" s="34"/>
      <c r="HZU141" s="34"/>
      <c r="HZV141" s="34"/>
      <c r="HZW141" s="34"/>
      <c r="HZX141" s="34"/>
      <c r="HZY141" s="34"/>
      <c r="HZZ141" s="34"/>
      <c r="IAA141" s="34"/>
      <c r="IAB141" s="34"/>
      <c r="IAC141" s="34"/>
      <c r="IAD141" s="34"/>
      <c r="IAE141" s="34"/>
      <c r="IAF141" s="34"/>
      <c r="IAG141" s="34"/>
      <c r="IAH141" s="34"/>
      <c r="IAI141" s="34"/>
      <c r="IAJ141" s="34"/>
      <c r="IAK141" s="34"/>
      <c r="IAL141" s="34"/>
      <c r="IAM141" s="34"/>
      <c r="IAN141" s="34"/>
      <c r="IAO141" s="34"/>
      <c r="IAP141" s="34"/>
      <c r="IAQ141" s="34"/>
      <c r="IAR141" s="34"/>
      <c r="IAS141" s="34"/>
      <c r="IAT141" s="34"/>
      <c r="IAU141" s="34"/>
      <c r="IAV141" s="34"/>
      <c r="IAW141" s="34"/>
      <c r="IAX141" s="34"/>
      <c r="IAY141" s="34"/>
      <c r="IAZ141" s="34"/>
      <c r="IBA141" s="34"/>
      <c r="IBB141" s="34"/>
      <c r="IBC141" s="34"/>
      <c r="IBD141" s="34"/>
      <c r="IBE141" s="34"/>
      <c r="IBF141" s="34"/>
      <c r="IBG141" s="34"/>
      <c r="IBH141" s="34"/>
      <c r="IBI141" s="34"/>
      <c r="IBJ141" s="34"/>
      <c r="IBK141" s="34"/>
      <c r="IBL141" s="34"/>
      <c r="IBM141" s="34"/>
      <c r="IBN141" s="34"/>
      <c r="IBO141" s="34"/>
      <c r="IBP141" s="34"/>
      <c r="IBQ141" s="34"/>
      <c r="IBR141" s="34"/>
      <c r="IBS141" s="34"/>
      <c r="IBT141" s="34"/>
      <c r="IBU141" s="34"/>
      <c r="IBV141" s="34"/>
      <c r="IBW141" s="34"/>
      <c r="IBX141" s="34"/>
      <c r="IBY141" s="34"/>
      <c r="IBZ141" s="34"/>
      <c r="ICA141" s="34"/>
      <c r="ICB141" s="34"/>
      <c r="ICC141" s="34"/>
      <c r="ICD141" s="34"/>
      <c r="ICE141" s="34"/>
      <c r="ICF141" s="34"/>
      <c r="ICG141" s="34"/>
      <c r="ICH141" s="34"/>
      <c r="ICI141" s="34"/>
      <c r="ICJ141" s="34"/>
      <c r="ICK141" s="34"/>
      <c r="ICL141" s="34"/>
      <c r="ICM141" s="34"/>
      <c r="ICN141" s="34"/>
      <c r="ICO141" s="34"/>
      <c r="ICP141" s="34"/>
      <c r="ICQ141" s="34"/>
      <c r="ICR141" s="34"/>
      <c r="ICS141" s="34"/>
      <c r="ICT141" s="34"/>
      <c r="ICU141" s="34"/>
      <c r="ICV141" s="34"/>
      <c r="ICW141" s="34"/>
      <c r="ICX141" s="34"/>
      <c r="ICY141" s="34"/>
      <c r="ICZ141" s="34"/>
      <c r="IDA141" s="34"/>
      <c r="IDB141" s="34"/>
      <c r="IDC141" s="34"/>
      <c r="IDD141" s="34"/>
      <c r="IDE141" s="34"/>
      <c r="IDF141" s="34"/>
      <c r="IDG141" s="34"/>
      <c r="IDH141" s="34"/>
      <c r="IDI141" s="34"/>
      <c r="IDJ141" s="34"/>
      <c r="IDK141" s="34"/>
      <c r="IDL141" s="34"/>
      <c r="IDM141" s="34"/>
      <c r="IDN141" s="34"/>
      <c r="IDO141" s="34"/>
      <c r="IDP141" s="34"/>
      <c r="IDQ141" s="34"/>
      <c r="IDR141" s="34"/>
      <c r="IDS141" s="34"/>
      <c r="IDT141" s="34"/>
      <c r="IDU141" s="34"/>
      <c r="IDV141" s="34"/>
      <c r="IDW141" s="34"/>
      <c r="IDX141" s="34"/>
      <c r="IDY141" s="34"/>
      <c r="IDZ141" s="34"/>
      <c r="IEA141" s="34"/>
      <c r="IEB141" s="34"/>
      <c r="IEC141" s="34"/>
      <c r="IED141" s="34"/>
      <c r="IEE141" s="34"/>
      <c r="IEF141" s="34"/>
      <c r="IEG141" s="34"/>
      <c r="IEH141" s="34"/>
      <c r="IEI141" s="34"/>
      <c r="IEJ141" s="34"/>
      <c r="IEK141" s="34"/>
      <c r="IEL141" s="34"/>
      <c r="IEM141" s="34"/>
      <c r="IEN141" s="34"/>
      <c r="IEO141" s="34"/>
      <c r="IEP141" s="34"/>
      <c r="IEQ141" s="34"/>
      <c r="IER141" s="34"/>
      <c r="IES141" s="34"/>
      <c r="IET141" s="34"/>
      <c r="IEU141" s="34"/>
      <c r="IEV141" s="34"/>
      <c r="IEW141" s="34"/>
      <c r="IEX141" s="34"/>
      <c r="IEY141" s="34"/>
      <c r="IEZ141" s="34"/>
      <c r="IFA141" s="34"/>
      <c r="IFB141" s="34"/>
      <c r="IFC141" s="34"/>
      <c r="IFD141" s="34"/>
      <c r="IFE141" s="34"/>
      <c r="IFF141" s="34"/>
      <c r="IFG141" s="34"/>
      <c r="IFH141" s="34"/>
      <c r="IFI141" s="34"/>
      <c r="IFJ141" s="34"/>
      <c r="IFK141" s="34"/>
      <c r="IFL141" s="34"/>
      <c r="IFM141" s="34"/>
      <c r="IFN141" s="34"/>
      <c r="IFO141" s="34"/>
      <c r="IFP141" s="34"/>
      <c r="IFQ141" s="34"/>
      <c r="IFR141" s="34"/>
      <c r="IFS141" s="34"/>
      <c r="IFT141" s="34"/>
      <c r="IFU141" s="34"/>
      <c r="IFV141" s="34"/>
      <c r="IFW141" s="34"/>
      <c r="IFX141" s="34"/>
      <c r="IFY141" s="34"/>
      <c r="IFZ141" s="34"/>
      <c r="IGA141" s="34"/>
      <c r="IGB141" s="34"/>
      <c r="IGC141" s="34"/>
      <c r="IGD141" s="34"/>
      <c r="IGE141" s="34"/>
      <c r="IGF141" s="34"/>
      <c r="IGG141" s="34"/>
      <c r="IGH141" s="34"/>
      <c r="IGI141" s="34"/>
      <c r="IGJ141" s="34"/>
      <c r="IGK141" s="34"/>
      <c r="IGL141" s="34"/>
      <c r="IGM141" s="34"/>
      <c r="IGN141" s="34"/>
      <c r="IGO141" s="34"/>
      <c r="IGP141" s="34"/>
      <c r="IGQ141" s="34"/>
      <c r="IGR141" s="34"/>
      <c r="IGS141" s="34"/>
      <c r="IGT141" s="34"/>
      <c r="IGU141" s="34"/>
      <c r="IGV141" s="34"/>
      <c r="IGW141" s="34"/>
      <c r="IGX141" s="34"/>
      <c r="IGY141" s="34"/>
      <c r="IGZ141" s="34"/>
      <c r="IHA141" s="34"/>
      <c r="IHB141" s="34"/>
      <c r="IHC141" s="34"/>
      <c r="IHD141" s="34"/>
      <c r="IHE141" s="34"/>
      <c r="IHF141" s="34"/>
      <c r="IHG141" s="34"/>
      <c r="IHH141" s="34"/>
      <c r="IHI141" s="34"/>
      <c r="IHJ141" s="34"/>
      <c r="IHK141" s="34"/>
      <c r="IHL141" s="34"/>
      <c r="IHM141" s="34"/>
      <c r="IHN141" s="34"/>
      <c r="IHO141" s="34"/>
      <c r="IHP141" s="34"/>
      <c r="IHQ141" s="34"/>
      <c r="IHR141" s="34"/>
      <c r="IHS141" s="34"/>
      <c r="IHT141" s="34"/>
      <c r="IHU141" s="34"/>
      <c r="IHV141" s="34"/>
      <c r="IHW141" s="34"/>
      <c r="IHX141" s="34"/>
      <c r="IHY141" s="34"/>
      <c r="IHZ141" s="34"/>
      <c r="IIA141" s="34"/>
      <c r="IIB141" s="34"/>
      <c r="IIC141" s="34"/>
      <c r="IID141" s="34"/>
      <c r="IIE141" s="34"/>
      <c r="IIF141" s="34"/>
      <c r="IIG141" s="34"/>
      <c r="IIH141" s="34"/>
      <c r="III141" s="34"/>
      <c r="IIJ141" s="34"/>
      <c r="IIK141" s="34"/>
      <c r="IIL141" s="34"/>
      <c r="IIM141" s="34"/>
      <c r="IIN141" s="34"/>
      <c r="IIO141" s="34"/>
      <c r="IIP141" s="34"/>
      <c r="IIQ141" s="34"/>
      <c r="IIR141" s="34"/>
      <c r="IIS141" s="34"/>
      <c r="IIT141" s="34"/>
      <c r="IIU141" s="34"/>
      <c r="IIV141" s="34"/>
      <c r="IIW141" s="34"/>
      <c r="IIX141" s="34"/>
      <c r="IIY141" s="34"/>
      <c r="IIZ141" s="34"/>
      <c r="IJA141" s="34"/>
      <c r="IJB141" s="34"/>
      <c r="IJC141" s="34"/>
      <c r="IJD141" s="34"/>
      <c r="IJE141" s="34"/>
      <c r="IJF141" s="34"/>
      <c r="IJG141" s="34"/>
      <c r="IJH141" s="34"/>
      <c r="IJI141" s="34"/>
      <c r="IJJ141" s="34"/>
      <c r="IJK141" s="34"/>
      <c r="IJL141" s="34"/>
      <c r="IJM141" s="34"/>
      <c r="IJN141" s="34"/>
      <c r="IJO141" s="34"/>
      <c r="IJP141" s="34"/>
      <c r="IJQ141" s="34"/>
      <c r="IJR141" s="34"/>
      <c r="IJS141" s="34"/>
      <c r="IJT141" s="34"/>
      <c r="IJU141" s="34"/>
      <c r="IJV141" s="34"/>
      <c r="IJW141" s="34"/>
      <c r="IJX141" s="34"/>
      <c r="IJY141" s="34"/>
      <c r="IJZ141" s="34"/>
      <c r="IKA141" s="34"/>
      <c r="IKB141" s="34"/>
      <c r="IKC141" s="34"/>
      <c r="IKD141" s="34"/>
      <c r="IKE141" s="34"/>
      <c r="IKF141" s="34"/>
      <c r="IKG141" s="34"/>
      <c r="IKH141" s="34"/>
      <c r="IKI141" s="34"/>
      <c r="IKJ141" s="34"/>
      <c r="IKK141" s="34"/>
      <c r="IKL141" s="34"/>
      <c r="IKM141" s="34"/>
      <c r="IKN141" s="34"/>
      <c r="IKO141" s="34"/>
      <c r="IKP141" s="34"/>
      <c r="IKQ141" s="34"/>
      <c r="IKR141" s="34"/>
      <c r="IKS141" s="34"/>
      <c r="IKT141" s="34"/>
      <c r="IKU141" s="34"/>
      <c r="IKV141" s="34"/>
      <c r="IKW141" s="34"/>
      <c r="IKX141" s="34"/>
      <c r="IKY141" s="34"/>
      <c r="IKZ141" s="34"/>
      <c r="ILA141" s="34"/>
      <c r="ILB141" s="34"/>
      <c r="ILC141" s="34"/>
      <c r="ILD141" s="34"/>
      <c r="ILE141" s="34"/>
      <c r="ILF141" s="34"/>
      <c r="ILG141" s="34"/>
      <c r="ILH141" s="34"/>
      <c r="ILI141" s="34"/>
      <c r="ILJ141" s="34"/>
      <c r="ILK141" s="34"/>
      <c r="ILL141" s="34"/>
      <c r="ILM141" s="34"/>
      <c r="ILN141" s="34"/>
      <c r="ILO141" s="34"/>
      <c r="ILP141" s="34"/>
      <c r="ILQ141" s="34"/>
      <c r="ILR141" s="34"/>
      <c r="ILS141" s="34"/>
      <c r="ILT141" s="34"/>
      <c r="ILU141" s="34"/>
      <c r="ILV141" s="34"/>
      <c r="ILW141" s="34"/>
      <c r="ILX141" s="34"/>
      <c r="ILY141" s="34"/>
      <c r="ILZ141" s="34"/>
      <c r="IMA141" s="34"/>
      <c r="IMB141" s="34"/>
      <c r="IMC141" s="34"/>
      <c r="IMD141" s="34"/>
      <c r="IME141" s="34"/>
      <c r="IMF141" s="34"/>
      <c r="IMG141" s="34"/>
      <c r="IMH141" s="34"/>
      <c r="IMI141" s="34"/>
      <c r="IMJ141" s="34"/>
      <c r="IMK141" s="34"/>
      <c r="IML141" s="34"/>
      <c r="IMM141" s="34"/>
      <c r="IMN141" s="34"/>
      <c r="IMO141" s="34"/>
      <c r="IMP141" s="34"/>
      <c r="IMQ141" s="34"/>
      <c r="IMR141" s="34"/>
      <c r="IMS141" s="34"/>
      <c r="IMT141" s="34"/>
      <c r="IMU141" s="34"/>
      <c r="IMV141" s="34"/>
      <c r="IMW141" s="34"/>
      <c r="IMX141" s="34"/>
      <c r="IMY141" s="34"/>
      <c r="IMZ141" s="34"/>
      <c r="INA141" s="34"/>
      <c r="INB141" s="34"/>
      <c r="INC141" s="34"/>
      <c r="IND141" s="34"/>
      <c r="INE141" s="34"/>
      <c r="INF141" s="34"/>
      <c r="ING141" s="34"/>
      <c r="INH141" s="34"/>
      <c r="INI141" s="34"/>
      <c r="INJ141" s="34"/>
      <c r="INK141" s="34"/>
      <c r="INL141" s="34"/>
      <c r="INM141" s="34"/>
      <c r="INN141" s="34"/>
      <c r="INO141" s="34"/>
      <c r="INP141" s="34"/>
      <c r="INQ141" s="34"/>
      <c r="INR141" s="34"/>
      <c r="INS141" s="34"/>
      <c r="INT141" s="34"/>
      <c r="INU141" s="34"/>
      <c r="INV141" s="34"/>
      <c r="INW141" s="34"/>
      <c r="INX141" s="34"/>
      <c r="INY141" s="34"/>
      <c r="INZ141" s="34"/>
      <c r="IOA141" s="34"/>
      <c r="IOB141" s="34"/>
      <c r="IOC141" s="34"/>
      <c r="IOD141" s="34"/>
      <c r="IOE141" s="34"/>
      <c r="IOF141" s="34"/>
      <c r="IOG141" s="34"/>
      <c r="IOH141" s="34"/>
      <c r="IOI141" s="34"/>
      <c r="IOJ141" s="34"/>
      <c r="IOK141" s="34"/>
      <c r="IOL141" s="34"/>
      <c r="IOM141" s="34"/>
      <c r="ION141" s="34"/>
      <c r="IOO141" s="34"/>
      <c r="IOP141" s="34"/>
      <c r="IOQ141" s="34"/>
      <c r="IOR141" s="34"/>
      <c r="IOS141" s="34"/>
      <c r="IOT141" s="34"/>
      <c r="IOU141" s="34"/>
      <c r="IOV141" s="34"/>
      <c r="IOW141" s="34"/>
      <c r="IOX141" s="34"/>
      <c r="IOY141" s="34"/>
      <c r="IOZ141" s="34"/>
      <c r="IPA141" s="34"/>
      <c r="IPB141" s="34"/>
      <c r="IPC141" s="34"/>
      <c r="IPD141" s="34"/>
      <c r="IPE141" s="34"/>
      <c r="IPF141" s="34"/>
      <c r="IPG141" s="34"/>
      <c r="IPH141" s="34"/>
      <c r="IPI141" s="34"/>
      <c r="IPJ141" s="34"/>
      <c r="IPK141" s="34"/>
      <c r="IPL141" s="34"/>
      <c r="IPM141" s="34"/>
      <c r="IPN141" s="34"/>
      <c r="IPO141" s="34"/>
      <c r="IPP141" s="34"/>
      <c r="IPQ141" s="34"/>
      <c r="IPR141" s="34"/>
      <c r="IPS141" s="34"/>
      <c r="IPT141" s="34"/>
      <c r="IPU141" s="34"/>
      <c r="IPV141" s="34"/>
      <c r="IPW141" s="34"/>
      <c r="IPX141" s="34"/>
      <c r="IPY141" s="34"/>
      <c r="IPZ141" s="34"/>
      <c r="IQA141" s="34"/>
      <c r="IQB141" s="34"/>
      <c r="IQC141" s="34"/>
      <c r="IQD141" s="34"/>
      <c r="IQE141" s="34"/>
      <c r="IQF141" s="34"/>
      <c r="IQG141" s="34"/>
      <c r="IQH141" s="34"/>
      <c r="IQI141" s="34"/>
      <c r="IQJ141" s="34"/>
      <c r="IQK141" s="34"/>
      <c r="IQL141" s="34"/>
      <c r="IQM141" s="34"/>
      <c r="IQN141" s="34"/>
      <c r="IQO141" s="34"/>
      <c r="IQP141" s="34"/>
      <c r="IQQ141" s="34"/>
      <c r="IQR141" s="34"/>
      <c r="IQS141" s="34"/>
      <c r="IQT141" s="34"/>
      <c r="IQU141" s="34"/>
      <c r="IQV141" s="34"/>
      <c r="IQW141" s="34"/>
      <c r="IQX141" s="34"/>
      <c r="IQY141" s="34"/>
      <c r="IQZ141" s="34"/>
      <c r="IRA141" s="34"/>
      <c r="IRB141" s="34"/>
      <c r="IRC141" s="34"/>
      <c r="IRD141" s="34"/>
      <c r="IRE141" s="34"/>
      <c r="IRF141" s="34"/>
      <c r="IRG141" s="34"/>
      <c r="IRH141" s="34"/>
      <c r="IRI141" s="34"/>
      <c r="IRJ141" s="34"/>
      <c r="IRK141" s="34"/>
      <c r="IRL141" s="34"/>
      <c r="IRM141" s="34"/>
      <c r="IRN141" s="34"/>
      <c r="IRO141" s="34"/>
      <c r="IRP141" s="34"/>
      <c r="IRQ141" s="34"/>
      <c r="IRR141" s="34"/>
      <c r="IRS141" s="34"/>
      <c r="IRT141" s="34"/>
      <c r="IRU141" s="34"/>
      <c r="IRV141" s="34"/>
      <c r="IRW141" s="34"/>
      <c r="IRX141" s="34"/>
      <c r="IRY141" s="34"/>
      <c r="IRZ141" s="34"/>
      <c r="ISA141" s="34"/>
      <c r="ISB141" s="34"/>
      <c r="ISC141" s="34"/>
      <c r="ISD141" s="34"/>
      <c r="ISE141" s="34"/>
      <c r="ISF141" s="34"/>
      <c r="ISG141" s="34"/>
      <c r="ISH141" s="34"/>
      <c r="ISI141" s="34"/>
      <c r="ISJ141" s="34"/>
      <c r="ISK141" s="34"/>
      <c r="ISL141" s="34"/>
      <c r="ISM141" s="34"/>
      <c r="ISN141" s="34"/>
      <c r="ISO141" s="34"/>
      <c r="ISP141" s="34"/>
      <c r="ISQ141" s="34"/>
      <c r="ISR141" s="34"/>
      <c r="ISS141" s="34"/>
      <c r="IST141" s="34"/>
      <c r="ISU141" s="34"/>
      <c r="ISV141" s="34"/>
      <c r="ISW141" s="34"/>
      <c r="ISX141" s="34"/>
      <c r="ISY141" s="34"/>
      <c r="ISZ141" s="34"/>
      <c r="ITA141" s="34"/>
      <c r="ITB141" s="34"/>
      <c r="ITC141" s="34"/>
      <c r="ITD141" s="34"/>
      <c r="ITE141" s="34"/>
      <c r="ITF141" s="34"/>
      <c r="ITG141" s="34"/>
      <c r="ITH141" s="34"/>
      <c r="ITI141" s="34"/>
      <c r="ITJ141" s="34"/>
      <c r="ITK141" s="34"/>
      <c r="ITL141" s="34"/>
      <c r="ITM141" s="34"/>
      <c r="ITN141" s="34"/>
      <c r="ITO141" s="34"/>
      <c r="ITP141" s="34"/>
      <c r="ITQ141" s="34"/>
      <c r="ITR141" s="34"/>
      <c r="ITS141" s="34"/>
      <c r="ITT141" s="34"/>
      <c r="ITU141" s="34"/>
      <c r="ITV141" s="34"/>
      <c r="ITW141" s="34"/>
      <c r="ITX141" s="34"/>
      <c r="ITY141" s="34"/>
      <c r="ITZ141" s="34"/>
      <c r="IUA141" s="34"/>
      <c r="IUB141" s="34"/>
      <c r="IUC141" s="34"/>
      <c r="IUD141" s="34"/>
      <c r="IUE141" s="34"/>
      <c r="IUF141" s="34"/>
      <c r="IUG141" s="34"/>
      <c r="IUH141" s="34"/>
      <c r="IUI141" s="34"/>
      <c r="IUJ141" s="34"/>
      <c r="IUK141" s="34"/>
      <c r="IUL141" s="34"/>
      <c r="IUM141" s="34"/>
      <c r="IUN141" s="34"/>
      <c r="IUO141" s="34"/>
      <c r="IUP141" s="34"/>
      <c r="IUQ141" s="34"/>
      <c r="IUR141" s="34"/>
      <c r="IUS141" s="34"/>
      <c r="IUT141" s="34"/>
      <c r="IUU141" s="34"/>
      <c r="IUV141" s="34"/>
      <c r="IUW141" s="34"/>
      <c r="IUX141" s="34"/>
      <c r="IUY141" s="34"/>
      <c r="IUZ141" s="34"/>
      <c r="IVA141" s="34"/>
      <c r="IVB141" s="34"/>
      <c r="IVC141" s="34"/>
      <c r="IVD141" s="34"/>
      <c r="IVE141" s="34"/>
      <c r="IVF141" s="34"/>
      <c r="IVG141" s="34"/>
      <c r="IVH141" s="34"/>
      <c r="IVI141" s="34"/>
      <c r="IVJ141" s="34"/>
      <c r="IVK141" s="34"/>
      <c r="IVL141" s="34"/>
      <c r="IVM141" s="34"/>
      <c r="IVN141" s="34"/>
      <c r="IVO141" s="34"/>
      <c r="IVP141" s="34"/>
      <c r="IVQ141" s="34"/>
      <c r="IVR141" s="34"/>
      <c r="IVS141" s="34"/>
      <c r="IVT141" s="34"/>
      <c r="IVU141" s="34"/>
      <c r="IVV141" s="34"/>
      <c r="IVW141" s="34"/>
      <c r="IVX141" s="34"/>
      <c r="IVY141" s="34"/>
      <c r="IVZ141" s="34"/>
      <c r="IWA141" s="34"/>
      <c r="IWB141" s="34"/>
      <c r="IWC141" s="34"/>
      <c r="IWD141" s="34"/>
      <c r="IWE141" s="34"/>
      <c r="IWF141" s="34"/>
      <c r="IWG141" s="34"/>
      <c r="IWH141" s="34"/>
      <c r="IWI141" s="34"/>
      <c r="IWJ141" s="34"/>
      <c r="IWK141" s="34"/>
      <c r="IWL141" s="34"/>
      <c r="IWM141" s="34"/>
      <c r="IWN141" s="34"/>
      <c r="IWO141" s="34"/>
      <c r="IWP141" s="34"/>
      <c r="IWQ141" s="34"/>
      <c r="IWR141" s="34"/>
      <c r="IWS141" s="34"/>
      <c r="IWT141" s="34"/>
      <c r="IWU141" s="34"/>
      <c r="IWV141" s="34"/>
      <c r="IWW141" s="34"/>
      <c r="IWX141" s="34"/>
      <c r="IWY141" s="34"/>
      <c r="IWZ141" s="34"/>
      <c r="IXA141" s="34"/>
      <c r="IXB141" s="34"/>
      <c r="IXC141" s="34"/>
      <c r="IXD141" s="34"/>
      <c r="IXE141" s="34"/>
      <c r="IXF141" s="34"/>
      <c r="IXG141" s="34"/>
      <c r="IXH141" s="34"/>
      <c r="IXI141" s="34"/>
      <c r="IXJ141" s="34"/>
      <c r="IXK141" s="34"/>
      <c r="IXL141" s="34"/>
      <c r="IXM141" s="34"/>
      <c r="IXN141" s="34"/>
      <c r="IXO141" s="34"/>
      <c r="IXP141" s="34"/>
      <c r="IXQ141" s="34"/>
      <c r="IXR141" s="34"/>
      <c r="IXS141" s="34"/>
      <c r="IXT141" s="34"/>
      <c r="IXU141" s="34"/>
      <c r="IXV141" s="34"/>
      <c r="IXW141" s="34"/>
      <c r="IXX141" s="34"/>
      <c r="IXY141" s="34"/>
      <c r="IXZ141" s="34"/>
      <c r="IYA141" s="34"/>
      <c r="IYB141" s="34"/>
      <c r="IYC141" s="34"/>
      <c r="IYD141" s="34"/>
      <c r="IYE141" s="34"/>
      <c r="IYF141" s="34"/>
      <c r="IYG141" s="34"/>
      <c r="IYH141" s="34"/>
      <c r="IYI141" s="34"/>
      <c r="IYJ141" s="34"/>
      <c r="IYK141" s="34"/>
      <c r="IYL141" s="34"/>
      <c r="IYM141" s="34"/>
      <c r="IYN141" s="34"/>
      <c r="IYO141" s="34"/>
      <c r="IYP141" s="34"/>
      <c r="IYQ141" s="34"/>
      <c r="IYR141" s="34"/>
      <c r="IYS141" s="34"/>
      <c r="IYT141" s="34"/>
      <c r="IYU141" s="34"/>
      <c r="IYV141" s="34"/>
      <c r="IYW141" s="34"/>
      <c r="IYX141" s="34"/>
      <c r="IYY141" s="34"/>
      <c r="IYZ141" s="34"/>
      <c r="IZA141" s="34"/>
      <c r="IZB141" s="34"/>
      <c r="IZC141" s="34"/>
      <c r="IZD141" s="34"/>
      <c r="IZE141" s="34"/>
      <c r="IZF141" s="34"/>
      <c r="IZG141" s="34"/>
      <c r="IZH141" s="34"/>
      <c r="IZI141" s="34"/>
      <c r="IZJ141" s="34"/>
      <c r="IZK141" s="34"/>
      <c r="IZL141" s="34"/>
      <c r="IZM141" s="34"/>
      <c r="IZN141" s="34"/>
      <c r="IZO141" s="34"/>
      <c r="IZP141" s="34"/>
      <c r="IZQ141" s="34"/>
      <c r="IZR141" s="34"/>
      <c r="IZS141" s="34"/>
      <c r="IZT141" s="34"/>
      <c r="IZU141" s="34"/>
      <c r="IZV141" s="34"/>
      <c r="IZW141" s="34"/>
      <c r="IZX141" s="34"/>
      <c r="IZY141" s="34"/>
      <c r="IZZ141" s="34"/>
      <c r="JAA141" s="34"/>
      <c r="JAB141" s="34"/>
      <c r="JAC141" s="34"/>
      <c r="JAD141" s="34"/>
      <c r="JAE141" s="34"/>
      <c r="JAF141" s="34"/>
      <c r="JAG141" s="34"/>
      <c r="JAH141" s="34"/>
      <c r="JAI141" s="34"/>
      <c r="JAJ141" s="34"/>
      <c r="JAK141" s="34"/>
      <c r="JAL141" s="34"/>
      <c r="JAM141" s="34"/>
      <c r="JAN141" s="34"/>
      <c r="JAO141" s="34"/>
      <c r="JAP141" s="34"/>
      <c r="JAQ141" s="34"/>
      <c r="JAR141" s="34"/>
      <c r="JAS141" s="34"/>
      <c r="JAT141" s="34"/>
      <c r="JAU141" s="34"/>
      <c r="JAV141" s="34"/>
      <c r="JAW141" s="34"/>
      <c r="JAX141" s="34"/>
      <c r="JAY141" s="34"/>
      <c r="JAZ141" s="34"/>
      <c r="JBA141" s="34"/>
      <c r="JBB141" s="34"/>
      <c r="JBC141" s="34"/>
      <c r="JBD141" s="34"/>
      <c r="JBE141" s="34"/>
      <c r="JBF141" s="34"/>
      <c r="JBG141" s="34"/>
      <c r="JBH141" s="34"/>
      <c r="JBI141" s="34"/>
      <c r="JBJ141" s="34"/>
      <c r="JBK141" s="34"/>
      <c r="JBL141" s="34"/>
      <c r="JBM141" s="34"/>
      <c r="JBN141" s="34"/>
      <c r="JBO141" s="34"/>
      <c r="JBP141" s="34"/>
      <c r="JBQ141" s="34"/>
      <c r="JBR141" s="34"/>
      <c r="JBS141" s="34"/>
      <c r="JBT141" s="34"/>
      <c r="JBU141" s="34"/>
      <c r="JBV141" s="34"/>
      <c r="JBW141" s="34"/>
      <c r="JBX141" s="34"/>
      <c r="JBY141" s="34"/>
      <c r="JBZ141" s="34"/>
      <c r="JCA141" s="34"/>
      <c r="JCB141" s="34"/>
      <c r="JCC141" s="34"/>
      <c r="JCD141" s="34"/>
      <c r="JCE141" s="34"/>
      <c r="JCF141" s="34"/>
      <c r="JCG141" s="34"/>
      <c r="JCH141" s="34"/>
      <c r="JCI141" s="34"/>
      <c r="JCJ141" s="34"/>
      <c r="JCK141" s="34"/>
      <c r="JCL141" s="34"/>
      <c r="JCM141" s="34"/>
      <c r="JCN141" s="34"/>
      <c r="JCO141" s="34"/>
      <c r="JCP141" s="34"/>
      <c r="JCQ141" s="34"/>
      <c r="JCR141" s="34"/>
      <c r="JCS141" s="34"/>
      <c r="JCT141" s="34"/>
      <c r="JCU141" s="34"/>
      <c r="JCV141" s="34"/>
      <c r="JCW141" s="34"/>
      <c r="JCX141" s="34"/>
      <c r="JCY141" s="34"/>
      <c r="JCZ141" s="34"/>
      <c r="JDA141" s="34"/>
      <c r="JDB141" s="34"/>
      <c r="JDC141" s="34"/>
      <c r="JDD141" s="34"/>
      <c r="JDE141" s="34"/>
      <c r="JDF141" s="34"/>
      <c r="JDG141" s="34"/>
      <c r="JDH141" s="34"/>
      <c r="JDI141" s="34"/>
      <c r="JDJ141" s="34"/>
      <c r="JDK141" s="34"/>
      <c r="JDL141" s="34"/>
      <c r="JDM141" s="34"/>
      <c r="JDN141" s="34"/>
      <c r="JDO141" s="34"/>
      <c r="JDP141" s="34"/>
      <c r="JDQ141" s="34"/>
      <c r="JDR141" s="34"/>
      <c r="JDS141" s="34"/>
      <c r="JDT141" s="34"/>
      <c r="JDU141" s="34"/>
      <c r="JDV141" s="34"/>
      <c r="JDW141" s="34"/>
      <c r="JDX141" s="34"/>
      <c r="JDY141" s="34"/>
      <c r="JDZ141" s="34"/>
      <c r="JEA141" s="34"/>
      <c r="JEB141" s="34"/>
      <c r="JEC141" s="34"/>
      <c r="JED141" s="34"/>
      <c r="JEE141" s="34"/>
      <c r="JEF141" s="34"/>
      <c r="JEG141" s="34"/>
      <c r="JEH141" s="34"/>
      <c r="JEI141" s="34"/>
      <c r="JEJ141" s="34"/>
      <c r="JEK141" s="34"/>
      <c r="JEL141" s="34"/>
      <c r="JEM141" s="34"/>
      <c r="JEN141" s="34"/>
      <c r="JEO141" s="34"/>
      <c r="JEP141" s="34"/>
      <c r="JEQ141" s="34"/>
      <c r="JER141" s="34"/>
      <c r="JES141" s="34"/>
      <c r="JET141" s="34"/>
      <c r="JEU141" s="34"/>
      <c r="JEV141" s="34"/>
      <c r="JEW141" s="34"/>
      <c r="JEX141" s="34"/>
      <c r="JEY141" s="34"/>
      <c r="JEZ141" s="34"/>
      <c r="JFA141" s="34"/>
      <c r="JFB141" s="34"/>
      <c r="JFC141" s="34"/>
      <c r="JFD141" s="34"/>
      <c r="JFE141" s="34"/>
      <c r="JFF141" s="34"/>
      <c r="JFG141" s="34"/>
      <c r="JFH141" s="34"/>
      <c r="JFI141" s="34"/>
      <c r="JFJ141" s="34"/>
      <c r="JFK141" s="34"/>
      <c r="JFL141" s="34"/>
      <c r="JFM141" s="34"/>
      <c r="JFN141" s="34"/>
      <c r="JFO141" s="34"/>
      <c r="JFP141" s="34"/>
      <c r="JFQ141" s="34"/>
      <c r="JFR141" s="34"/>
      <c r="JFS141" s="34"/>
      <c r="JFT141" s="34"/>
      <c r="JFU141" s="34"/>
      <c r="JFV141" s="34"/>
      <c r="JFW141" s="34"/>
      <c r="JFX141" s="34"/>
      <c r="JFY141" s="34"/>
      <c r="JFZ141" s="34"/>
      <c r="JGA141" s="34"/>
      <c r="JGB141" s="34"/>
      <c r="JGC141" s="34"/>
      <c r="JGD141" s="34"/>
      <c r="JGE141" s="34"/>
      <c r="JGF141" s="34"/>
      <c r="JGG141" s="34"/>
      <c r="JGH141" s="34"/>
      <c r="JGI141" s="34"/>
      <c r="JGJ141" s="34"/>
      <c r="JGK141" s="34"/>
      <c r="JGL141" s="34"/>
      <c r="JGM141" s="34"/>
      <c r="JGN141" s="34"/>
      <c r="JGO141" s="34"/>
      <c r="JGP141" s="34"/>
      <c r="JGQ141" s="34"/>
      <c r="JGR141" s="34"/>
      <c r="JGS141" s="34"/>
      <c r="JGT141" s="34"/>
      <c r="JGU141" s="34"/>
      <c r="JGV141" s="34"/>
      <c r="JGW141" s="34"/>
      <c r="JGX141" s="34"/>
      <c r="JGY141" s="34"/>
      <c r="JGZ141" s="34"/>
      <c r="JHA141" s="34"/>
      <c r="JHB141" s="34"/>
      <c r="JHC141" s="34"/>
      <c r="JHD141" s="34"/>
      <c r="JHE141" s="34"/>
      <c r="JHF141" s="34"/>
      <c r="JHG141" s="34"/>
      <c r="JHH141" s="34"/>
      <c r="JHI141" s="34"/>
      <c r="JHJ141" s="34"/>
      <c r="JHK141" s="34"/>
      <c r="JHL141" s="34"/>
      <c r="JHM141" s="34"/>
      <c r="JHN141" s="34"/>
      <c r="JHO141" s="34"/>
      <c r="JHP141" s="34"/>
      <c r="JHQ141" s="34"/>
      <c r="JHR141" s="34"/>
      <c r="JHS141" s="34"/>
      <c r="JHT141" s="34"/>
      <c r="JHU141" s="34"/>
      <c r="JHV141" s="34"/>
      <c r="JHW141" s="34"/>
      <c r="JHX141" s="34"/>
      <c r="JHY141" s="34"/>
      <c r="JHZ141" s="34"/>
      <c r="JIA141" s="34"/>
      <c r="JIB141" s="34"/>
      <c r="JIC141" s="34"/>
      <c r="JID141" s="34"/>
      <c r="JIE141" s="34"/>
      <c r="JIF141" s="34"/>
      <c r="JIG141" s="34"/>
      <c r="JIH141" s="34"/>
      <c r="JII141" s="34"/>
      <c r="JIJ141" s="34"/>
      <c r="JIK141" s="34"/>
      <c r="JIL141" s="34"/>
      <c r="JIM141" s="34"/>
      <c r="JIN141" s="34"/>
      <c r="JIO141" s="34"/>
      <c r="JIP141" s="34"/>
      <c r="JIQ141" s="34"/>
      <c r="JIR141" s="34"/>
      <c r="JIS141" s="34"/>
      <c r="JIT141" s="34"/>
      <c r="JIU141" s="34"/>
      <c r="JIV141" s="34"/>
      <c r="JIW141" s="34"/>
      <c r="JIX141" s="34"/>
      <c r="JIY141" s="34"/>
      <c r="JIZ141" s="34"/>
      <c r="JJA141" s="34"/>
      <c r="JJB141" s="34"/>
      <c r="JJC141" s="34"/>
      <c r="JJD141" s="34"/>
      <c r="JJE141" s="34"/>
      <c r="JJF141" s="34"/>
      <c r="JJG141" s="34"/>
      <c r="JJH141" s="34"/>
      <c r="JJI141" s="34"/>
      <c r="JJJ141" s="34"/>
      <c r="JJK141" s="34"/>
      <c r="JJL141" s="34"/>
      <c r="JJM141" s="34"/>
      <c r="JJN141" s="34"/>
      <c r="JJO141" s="34"/>
      <c r="JJP141" s="34"/>
      <c r="JJQ141" s="34"/>
      <c r="JJR141" s="34"/>
      <c r="JJS141" s="34"/>
      <c r="JJT141" s="34"/>
      <c r="JJU141" s="34"/>
      <c r="JJV141" s="34"/>
      <c r="JJW141" s="34"/>
      <c r="JJX141" s="34"/>
      <c r="JJY141" s="34"/>
      <c r="JJZ141" s="34"/>
      <c r="JKA141" s="34"/>
      <c r="JKB141" s="34"/>
      <c r="JKC141" s="34"/>
      <c r="JKD141" s="34"/>
      <c r="JKE141" s="34"/>
      <c r="JKF141" s="34"/>
      <c r="JKG141" s="34"/>
      <c r="JKH141" s="34"/>
      <c r="JKI141" s="34"/>
      <c r="JKJ141" s="34"/>
      <c r="JKK141" s="34"/>
      <c r="JKL141" s="34"/>
      <c r="JKM141" s="34"/>
      <c r="JKN141" s="34"/>
      <c r="JKO141" s="34"/>
      <c r="JKP141" s="34"/>
      <c r="JKQ141" s="34"/>
      <c r="JKR141" s="34"/>
      <c r="JKS141" s="34"/>
      <c r="JKT141" s="34"/>
      <c r="JKU141" s="34"/>
      <c r="JKV141" s="34"/>
      <c r="JKW141" s="34"/>
      <c r="JKX141" s="34"/>
      <c r="JKY141" s="34"/>
      <c r="JKZ141" s="34"/>
      <c r="JLA141" s="34"/>
      <c r="JLB141" s="34"/>
      <c r="JLC141" s="34"/>
      <c r="JLD141" s="34"/>
      <c r="JLE141" s="34"/>
      <c r="JLF141" s="34"/>
      <c r="JLG141" s="34"/>
      <c r="JLH141" s="34"/>
      <c r="JLI141" s="34"/>
      <c r="JLJ141" s="34"/>
      <c r="JLK141" s="34"/>
      <c r="JLL141" s="34"/>
      <c r="JLM141" s="34"/>
      <c r="JLN141" s="34"/>
      <c r="JLO141" s="34"/>
      <c r="JLP141" s="34"/>
      <c r="JLQ141" s="34"/>
      <c r="JLR141" s="34"/>
      <c r="JLS141" s="34"/>
      <c r="JLT141" s="34"/>
      <c r="JLU141" s="34"/>
      <c r="JLV141" s="34"/>
      <c r="JLW141" s="34"/>
      <c r="JLX141" s="34"/>
      <c r="JLY141" s="34"/>
      <c r="JLZ141" s="34"/>
      <c r="JMA141" s="34"/>
      <c r="JMB141" s="34"/>
      <c r="JMC141" s="34"/>
      <c r="JMD141" s="34"/>
      <c r="JME141" s="34"/>
      <c r="JMF141" s="34"/>
      <c r="JMG141" s="34"/>
      <c r="JMH141" s="34"/>
      <c r="JMI141" s="34"/>
      <c r="JMJ141" s="34"/>
      <c r="JMK141" s="34"/>
      <c r="JML141" s="34"/>
      <c r="JMM141" s="34"/>
      <c r="JMN141" s="34"/>
      <c r="JMO141" s="34"/>
      <c r="JMP141" s="34"/>
      <c r="JMQ141" s="34"/>
      <c r="JMR141" s="34"/>
      <c r="JMS141" s="34"/>
      <c r="JMT141" s="34"/>
      <c r="JMU141" s="34"/>
      <c r="JMV141" s="34"/>
      <c r="JMW141" s="34"/>
      <c r="JMX141" s="34"/>
      <c r="JMY141" s="34"/>
      <c r="JMZ141" s="34"/>
      <c r="JNA141" s="34"/>
      <c r="JNB141" s="34"/>
      <c r="JNC141" s="34"/>
      <c r="JND141" s="34"/>
      <c r="JNE141" s="34"/>
      <c r="JNF141" s="34"/>
      <c r="JNG141" s="34"/>
      <c r="JNH141" s="34"/>
      <c r="JNI141" s="34"/>
      <c r="JNJ141" s="34"/>
      <c r="JNK141" s="34"/>
      <c r="JNL141" s="34"/>
      <c r="JNM141" s="34"/>
      <c r="JNN141" s="34"/>
      <c r="JNO141" s="34"/>
      <c r="JNP141" s="34"/>
      <c r="JNQ141" s="34"/>
      <c r="JNR141" s="34"/>
      <c r="JNS141" s="34"/>
      <c r="JNT141" s="34"/>
      <c r="JNU141" s="34"/>
      <c r="JNV141" s="34"/>
      <c r="JNW141" s="34"/>
      <c r="JNX141" s="34"/>
      <c r="JNY141" s="34"/>
      <c r="JNZ141" s="34"/>
      <c r="JOA141" s="34"/>
      <c r="JOB141" s="34"/>
      <c r="JOC141" s="34"/>
      <c r="JOD141" s="34"/>
      <c r="JOE141" s="34"/>
      <c r="JOF141" s="34"/>
      <c r="JOG141" s="34"/>
      <c r="JOH141" s="34"/>
      <c r="JOI141" s="34"/>
      <c r="JOJ141" s="34"/>
      <c r="JOK141" s="34"/>
      <c r="JOL141" s="34"/>
      <c r="JOM141" s="34"/>
      <c r="JON141" s="34"/>
      <c r="JOO141" s="34"/>
      <c r="JOP141" s="34"/>
      <c r="JOQ141" s="34"/>
      <c r="JOR141" s="34"/>
      <c r="JOS141" s="34"/>
      <c r="JOT141" s="34"/>
      <c r="JOU141" s="34"/>
      <c r="JOV141" s="34"/>
      <c r="JOW141" s="34"/>
      <c r="JOX141" s="34"/>
      <c r="JOY141" s="34"/>
      <c r="JOZ141" s="34"/>
      <c r="JPA141" s="34"/>
      <c r="JPB141" s="34"/>
      <c r="JPC141" s="34"/>
      <c r="JPD141" s="34"/>
      <c r="JPE141" s="34"/>
      <c r="JPF141" s="34"/>
      <c r="JPG141" s="34"/>
      <c r="JPH141" s="34"/>
      <c r="JPI141" s="34"/>
      <c r="JPJ141" s="34"/>
      <c r="JPK141" s="34"/>
      <c r="JPL141" s="34"/>
      <c r="JPM141" s="34"/>
      <c r="JPN141" s="34"/>
      <c r="JPO141" s="34"/>
      <c r="JPP141" s="34"/>
      <c r="JPQ141" s="34"/>
      <c r="JPR141" s="34"/>
      <c r="JPS141" s="34"/>
      <c r="JPT141" s="34"/>
      <c r="JPU141" s="34"/>
      <c r="JPV141" s="34"/>
      <c r="JPW141" s="34"/>
      <c r="JPX141" s="34"/>
      <c r="JPY141" s="34"/>
      <c r="JPZ141" s="34"/>
      <c r="JQA141" s="34"/>
      <c r="JQB141" s="34"/>
      <c r="JQC141" s="34"/>
      <c r="JQD141" s="34"/>
      <c r="JQE141" s="34"/>
      <c r="JQF141" s="34"/>
      <c r="JQG141" s="34"/>
      <c r="JQH141" s="34"/>
      <c r="JQI141" s="34"/>
      <c r="JQJ141" s="34"/>
      <c r="JQK141" s="34"/>
      <c r="JQL141" s="34"/>
      <c r="JQM141" s="34"/>
      <c r="JQN141" s="34"/>
      <c r="JQO141" s="34"/>
      <c r="JQP141" s="34"/>
      <c r="JQQ141" s="34"/>
      <c r="JQR141" s="34"/>
      <c r="JQS141" s="34"/>
      <c r="JQT141" s="34"/>
      <c r="JQU141" s="34"/>
      <c r="JQV141" s="34"/>
      <c r="JQW141" s="34"/>
      <c r="JQX141" s="34"/>
      <c r="JQY141" s="34"/>
      <c r="JQZ141" s="34"/>
      <c r="JRA141" s="34"/>
      <c r="JRB141" s="34"/>
      <c r="JRC141" s="34"/>
      <c r="JRD141" s="34"/>
      <c r="JRE141" s="34"/>
      <c r="JRF141" s="34"/>
      <c r="JRG141" s="34"/>
      <c r="JRH141" s="34"/>
      <c r="JRI141" s="34"/>
      <c r="JRJ141" s="34"/>
      <c r="JRK141" s="34"/>
      <c r="JRL141" s="34"/>
      <c r="JRM141" s="34"/>
      <c r="JRN141" s="34"/>
      <c r="JRO141" s="34"/>
      <c r="JRP141" s="34"/>
      <c r="JRQ141" s="34"/>
      <c r="JRR141" s="34"/>
      <c r="JRS141" s="34"/>
      <c r="JRT141" s="34"/>
      <c r="JRU141" s="34"/>
      <c r="JRV141" s="34"/>
      <c r="JRW141" s="34"/>
      <c r="JRX141" s="34"/>
      <c r="JRY141" s="34"/>
      <c r="JRZ141" s="34"/>
      <c r="JSA141" s="34"/>
      <c r="JSB141" s="34"/>
      <c r="JSC141" s="34"/>
      <c r="JSD141" s="34"/>
      <c r="JSE141" s="34"/>
      <c r="JSF141" s="34"/>
      <c r="JSG141" s="34"/>
      <c r="JSH141" s="34"/>
      <c r="JSI141" s="34"/>
      <c r="JSJ141" s="34"/>
      <c r="JSK141" s="34"/>
      <c r="JSL141" s="34"/>
      <c r="JSM141" s="34"/>
      <c r="JSN141" s="34"/>
      <c r="JSO141" s="34"/>
      <c r="JSP141" s="34"/>
      <c r="JSQ141" s="34"/>
      <c r="JSR141" s="34"/>
      <c r="JSS141" s="34"/>
      <c r="JST141" s="34"/>
      <c r="JSU141" s="34"/>
      <c r="JSV141" s="34"/>
      <c r="JSW141" s="34"/>
      <c r="JSX141" s="34"/>
      <c r="JSY141" s="34"/>
      <c r="JSZ141" s="34"/>
      <c r="JTA141" s="34"/>
      <c r="JTB141" s="34"/>
      <c r="JTC141" s="34"/>
      <c r="JTD141" s="34"/>
      <c r="JTE141" s="34"/>
      <c r="JTF141" s="34"/>
      <c r="JTG141" s="34"/>
      <c r="JTH141" s="34"/>
      <c r="JTI141" s="34"/>
      <c r="JTJ141" s="34"/>
      <c r="JTK141" s="34"/>
      <c r="JTL141" s="34"/>
      <c r="JTM141" s="34"/>
      <c r="JTN141" s="34"/>
      <c r="JTO141" s="34"/>
      <c r="JTP141" s="34"/>
      <c r="JTQ141" s="34"/>
      <c r="JTR141" s="34"/>
      <c r="JTS141" s="34"/>
      <c r="JTT141" s="34"/>
      <c r="JTU141" s="34"/>
      <c r="JTV141" s="34"/>
      <c r="JTW141" s="34"/>
      <c r="JTX141" s="34"/>
      <c r="JTY141" s="34"/>
      <c r="JTZ141" s="34"/>
      <c r="JUA141" s="34"/>
      <c r="JUB141" s="34"/>
      <c r="JUC141" s="34"/>
      <c r="JUD141" s="34"/>
      <c r="JUE141" s="34"/>
      <c r="JUF141" s="34"/>
      <c r="JUG141" s="34"/>
      <c r="JUH141" s="34"/>
      <c r="JUI141" s="34"/>
      <c r="JUJ141" s="34"/>
      <c r="JUK141" s="34"/>
      <c r="JUL141" s="34"/>
      <c r="JUM141" s="34"/>
      <c r="JUN141" s="34"/>
      <c r="JUO141" s="34"/>
      <c r="JUP141" s="34"/>
      <c r="JUQ141" s="34"/>
      <c r="JUR141" s="34"/>
      <c r="JUS141" s="34"/>
      <c r="JUT141" s="34"/>
      <c r="JUU141" s="34"/>
      <c r="JUV141" s="34"/>
      <c r="JUW141" s="34"/>
      <c r="JUX141" s="34"/>
      <c r="JUY141" s="34"/>
      <c r="JUZ141" s="34"/>
      <c r="JVA141" s="34"/>
      <c r="JVB141" s="34"/>
      <c r="JVC141" s="34"/>
      <c r="JVD141" s="34"/>
      <c r="JVE141" s="34"/>
      <c r="JVF141" s="34"/>
      <c r="JVG141" s="34"/>
      <c r="JVH141" s="34"/>
      <c r="JVI141" s="34"/>
      <c r="JVJ141" s="34"/>
      <c r="JVK141" s="34"/>
      <c r="JVL141" s="34"/>
      <c r="JVM141" s="34"/>
      <c r="JVN141" s="34"/>
      <c r="JVO141" s="34"/>
      <c r="JVP141" s="34"/>
      <c r="JVQ141" s="34"/>
      <c r="JVR141" s="34"/>
      <c r="JVS141" s="34"/>
      <c r="JVT141" s="34"/>
      <c r="JVU141" s="34"/>
      <c r="JVV141" s="34"/>
      <c r="JVW141" s="34"/>
      <c r="JVX141" s="34"/>
      <c r="JVY141" s="34"/>
      <c r="JVZ141" s="34"/>
      <c r="JWA141" s="34"/>
      <c r="JWB141" s="34"/>
      <c r="JWC141" s="34"/>
      <c r="JWD141" s="34"/>
      <c r="JWE141" s="34"/>
      <c r="JWF141" s="34"/>
      <c r="JWG141" s="34"/>
      <c r="JWH141" s="34"/>
      <c r="JWI141" s="34"/>
      <c r="JWJ141" s="34"/>
      <c r="JWK141" s="34"/>
      <c r="JWL141" s="34"/>
      <c r="JWM141" s="34"/>
      <c r="JWN141" s="34"/>
      <c r="JWO141" s="34"/>
      <c r="JWP141" s="34"/>
      <c r="JWQ141" s="34"/>
      <c r="JWR141" s="34"/>
      <c r="JWS141" s="34"/>
      <c r="JWT141" s="34"/>
      <c r="JWU141" s="34"/>
      <c r="JWV141" s="34"/>
      <c r="JWW141" s="34"/>
      <c r="JWX141" s="34"/>
      <c r="JWY141" s="34"/>
      <c r="JWZ141" s="34"/>
      <c r="JXA141" s="34"/>
      <c r="JXB141" s="34"/>
      <c r="JXC141" s="34"/>
      <c r="JXD141" s="34"/>
      <c r="JXE141" s="34"/>
      <c r="JXF141" s="34"/>
      <c r="JXG141" s="34"/>
      <c r="JXH141" s="34"/>
      <c r="JXI141" s="34"/>
      <c r="JXJ141" s="34"/>
      <c r="JXK141" s="34"/>
      <c r="JXL141" s="34"/>
      <c r="JXM141" s="34"/>
      <c r="JXN141" s="34"/>
      <c r="JXO141" s="34"/>
      <c r="JXP141" s="34"/>
      <c r="JXQ141" s="34"/>
      <c r="JXR141" s="34"/>
      <c r="JXS141" s="34"/>
      <c r="JXT141" s="34"/>
      <c r="JXU141" s="34"/>
      <c r="JXV141" s="34"/>
      <c r="JXW141" s="34"/>
      <c r="JXX141" s="34"/>
      <c r="JXY141" s="34"/>
      <c r="JXZ141" s="34"/>
      <c r="JYA141" s="34"/>
      <c r="JYB141" s="34"/>
      <c r="JYC141" s="34"/>
      <c r="JYD141" s="34"/>
      <c r="JYE141" s="34"/>
      <c r="JYF141" s="34"/>
      <c r="JYG141" s="34"/>
      <c r="JYH141" s="34"/>
      <c r="JYI141" s="34"/>
      <c r="JYJ141" s="34"/>
      <c r="JYK141" s="34"/>
      <c r="JYL141" s="34"/>
      <c r="JYM141" s="34"/>
      <c r="JYN141" s="34"/>
      <c r="JYO141" s="34"/>
      <c r="JYP141" s="34"/>
      <c r="JYQ141" s="34"/>
      <c r="JYR141" s="34"/>
      <c r="JYS141" s="34"/>
      <c r="JYT141" s="34"/>
      <c r="JYU141" s="34"/>
      <c r="JYV141" s="34"/>
      <c r="JYW141" s="34"/>
      <c r="JYX141" s="34"/>
      <c r="JYY141" s="34"/>
      <c r="JYZ141" s="34"/>
      <c r="JZA141" s="34"/>
      <c r="JZB141" s="34"/>
      <c r="JZC141" s="34"/>
      <c r="JZD141" s="34"/>
      <c r="JZE141" s="34"/>
      <c r="JZF141" s="34"/>
      <c r="JZG141" s="34"/>
      <c r="JZH141" s="34"/>
      <c r="JZI141" s="34"/>
      <c r="JZJ141" s="34"/>
      <c r="JZK141" s="34"/>
      <c r="JZL141" s="34"/>
      <c r="JZM141" s="34"/>
      <c r="JZN141" s="34"/>
      <c r="JZO141" s="34"/>
      <c r="JZP141" s="34"/>
      <c r="JZQ141" s="34"/>
      <c r="JZR141" s="34"/>
      <c r="JZS141" s="34"/>
      <c r="JZT141" s="34"/>
      <c r="JZU141" s="34"/>
      <c r="JZV141" s="34"/>
      <c r="JZW141" s="34"/>
      <c r="JZX141" s="34"/>
      <c r="JZY141" s="34"/>
      <c r="JZZ141" s="34"/>
      <c r="KAA141" s="34"/>
      <c r="KAB141" s="34"/>
      <c r="KAC141" s="34"/>
      <c r="KAD141" s="34"/>
      <c r="KAE141" s="34"/>
      <c r="KAF141" s="34"/>
      <c r="KAG141" s="34"/>
      <c r="KAH141" s="34"/>
      <c r="KAI141" s="34"/>
      <c r="KAJ141" s="34"/>
      <c r="KAK141" s="34"/>
      <c r="KAL141" s="34"/>
      <c r="KAM141" s="34"/>
      <c r="KAN141" s="34"/>
      <c r="KAO141" s="34"/>
      <c r="KAP141" s="34"/>
      <c r="KAQ141" s="34"/>
      <c r="KAR141" s="34"/>
      <c r="KAS141" s="34"/>
      <c r="KAT141" s="34"/>
      <c r="KAU141" s="34"/>
      <c r="KAV141" s="34"/>
      <c r="KAW141" s="34"/>
      <c r="KAX141" s="34"/>
      <c r="KAY141" s="34"/>
      <c r="KAZ141" s="34"/>
      <c r="KBA141" s="34"/>
      <c r="KBB141" s="34"/>
      <c r="KBC141" s="34"/>
      <c r="KBD141" s="34"/>
      <c r="KBE141" s="34"/>
      <c r="KBF141" s="34"/>
      <c r="KBG141" s="34"/>
      <c r="KBH141" s="34"/>
      <c r="KBI141" s="34"/>
      <c r="KBJ141" s="34"/>
      <c r="KBK141" s="34"/>
      <c r="KBL141" s="34"/>
      <c r="KBM141" s="34"/>
      <c r="KBN141" s="34"/>
      <c r="KBO141" s="34"/>
      <c r="KBP141" s="34"/>
      <c r="KBQ141" s="34"/>
      <c r="KBR141" s="34"/>
      <c r="KBS141" s="34"/>
      <c r="KBT141" s="34"/>
      <c r="KBU141" s="34"/>
      <c r="KBV141" s="34"/>
      <c r="KBW141" s="34"/>
      <c r="KBX141" s="34"/>
      <c r="KBY141" s="34"/>
      <c r="KBZ141" s="34"/>
      <c r="KCA141" s="34"/>
      <c r="KCB141" s="34"/>
      <c r="KCC141" s="34"/>
      <c r="KCD141" s="34"/>
      <c r="KCE141" s="34"/>
      <c r="KCF141" s="34"/>
      <c r="KCG141" s="34"/>
      <c r="KCH141" s="34"/>
      <c r="KCI141" s="34"/>
      <c r="KCJ141" s="34"/>
      <c r="KCK141" s="34"/>
      <c r="KCL141" s="34"/>
      <c r="KCM141" s="34"/>
      <c r="KCN141" s="34"/>
      <c r="KCO141" s="34"/>
      <c r="KCP141" s="34"/>
      <c r="KCQ141" s="34"/>
      <c r="KCR141" s="34"/>
      <c r="KCS141" s="34"/>
      <c r="KCT141" s="34"/>
      <c r="KCU141" s="34"/>
      <c r="KCV141" s="34"/>
      <c r="KCW141" s="34"/>
      <c r="KCX141" s="34"/>
      <c r="KCY141" s="34"/>
      <c r="KCZ141" s="34"/>
      <c r="KDA141" s="34"/>
      <c r="KDB141" s="34"/>
      <c r="KDC141" s="34"/>
      <c r="KDD141" s="34"/>
      <c r="KDE141" s="34"/>
      <c r="KDF141" s="34"/>
      <c r="KDG141" s="34"/>
      <c r="KDH141" s="34"/>
      <c r="KDI141" s="34"/>
      <c r="KDJ141" s="34"/>
      <c r="KDK141" s="34"/>
      <c r="KDL141" s="34"/>
      <c r="KDM141" s="34"/>
      <c r="KDN141" s="34"/>
      <c r="KDO141" s="34"/>
      <c r="KDP141" s="34"/>
      <c r="KDQ141" s="34"/>
      <c r="KDR141" s="34"/>
      <c r="KDS141" s="34"/>
      <c r="KDT141" s="34"/>
      <c r="KDU141" s="34"/>
      <c r="KDV141" s="34"/>
      <c r="KDW141" s="34"/>
      <c r="KDX141" s="34"/>
      <c r="KDY141" s="34"/>
      <c r="KDZ141" s="34"/>
      <c r="KEA141" s="34"/>
      <c r="KEB141" s="34"/>
      <c r="KEC141" s="34"/>
      <c r="KED141" s="34"/>
      <c r="KEE141" s="34"/>
      <c r="KEF141" s="34"/>
      <c r="KEG141" s="34"/>
      <c r="KEH141" s="34"/>
      <c r="KEI141" s="34"/>
      <c r="KEJ141" s="34"/>
      <c r="KEK141" s="34"/>
      <c r="KEL141" s="34"/>
      <c r="KEM141" s="34"/>
      <c r="KEN141" s="34"/>
      <c r="KEO141" s="34"/>
      <c r="KEP141" s="34"/>
      <c r="KEQ141" s="34"/>
      <c r="KER141" s="34"/>
      <c r="KES141" s="34"/>
      <c r="KET141" s="34"/>
      <c r="KEU141" s="34"/>
      <c r="KEV141" s="34"/>
      <c r="KEW141" s="34"/>
      <c r="KEX141" s="34"/>
      <c r="KEY141" s="34"/>
      <c r="KEZ141" s="34"/>
      <c r="KFA141" s="34"/>
      <c r="KFB141" s="34"/>
      <c r="KFC141" s="34"/>
      <c r="KFD141" s="34"/>
      <c r="KFE141" s="34"/>
      <c r="KFF141" s="34"/>
      <c r="KFG141" s="34"/>
      <c r="KFH141" s="34"/>
      <c r="KFI141" s="34"/>
      <c r="KFJ141" s="34"/>
      <c r="KFK141" s="34"/>
      <c r="KFL141" s="34"/>
      <c r="KFM141" s="34"/>
      <c r="KFN141" s="34"/>
      <c r="KFO141" s="34"/>
      <c r="KFP141" s="34"/>
      <c r="KFQ141" s="34"/>
      <c r="KFR141" s="34"/>
      <c r="KFS141" s="34"/>
      <c r="KFT141" s="34"/>
      <c r="KFU141" s="34"/>
      <c r="KFV141" s="34"/>
      <c r="KFW141" s="34"/>
      <c r="KFX141" s="34"/>
      <c r="KFY141" s="34"/>
      <c r="KFZ141" s="34"/>
      <c r="KGA141" s="34"/>
      <c r="KGB141" s="34"/>
      <c r="KGC141" s="34"/>
      <c r="KGD141" s="34"/>
      <c r="KGE141" s="34"/>
      <c r="KGF141" s="34"/>
      <c r="KGG141" s="34"/>
      <c r="KGH141" s="34"/>
      <c r="KGI141" s="34"/>
      <c r="KGJ141" s="34"/>
      <c r="KGK141" s="34"/>
      <c r="KGL141" s="34"/>
      <c r="KGM141" s="34"/>
      <c r="KGN141" s="34"/>
      <c r="KGO141" s="34"/>
      <c r="KGP141" s="34"/>
      <c r="KGQ141" s="34"/>
      <c r="KGR141" s="34"/>
      <c r="KGS141" s="34"/>
      <c r="KGT141" s="34"/>
      <c r="KGU141" s="34"/>
      <c r="KGV141" s="34"/>
      <c r="KGW141" s="34"/>
      <c r="KGX141" s="34"/>
      <c r="KGY141" s="34"/>
      <c r="KGZ141" s="34"/>
      <c r="KHA141" s="34"/>
      <c r="KHB141" s="34"/>
      <c r="KHC141" s="34"/>
      <c r="KHD141" s="34"/>
      <c r="KHE141" s="34"/>
      <c r="KHF141" s="34"/>
      <c r="KHG141" s="34"/>
      <c r="KHH141" s="34"/>
      <c r="KHI141" s="34"/>
      <c r="KHJ141" s="34"/>
      <c r="KHK141" s="34"/>
      <c r="KHL141" s="34"/>
      <c r="KHM141" s="34"/>
      <c r="KHN141" s="34"/>
      <c r="KHO141" s="34"/>
      <c r="KHP141" s="34"/>
      <c r="KHQ141" s="34"/>
      <c r="KHR141" s="34"/>
      <c r="KHS141" s="34"/>
      <c r="KHT141" s="34"/>
      <c r="KHU141" s="34"/>
      <c r="KHV141" s="34"/>
      <c r="KHW141" s="34"/>
      <c r="KHX141" s="34"/>
      <c r="KHY141" s="34"/>
      <c r="KHZ141" s="34"/>
      <c r="KIA141" s="34"/>
      <c r="KIB141" s="34"/>
      <c r="KIC141" s="34"/>
      <c r="KID141" s="34"/>
      <c r="KIE141" s="34"/>
      <c r="KIF141" s="34"/>
      <c r="KIG141" s="34"/>
      <c r="KIH141" s="34"/>
      <c r="KII141" s="34"/>
      <c r="KIJ141" s="34"/>
      <c r="KIK141" s="34"/>
      <c r="KIL141" s="34"/>
      <c r="KIM141" s="34"/>
      <c r="KIN141" s="34"/>
      <c r="KIO141" s="34"/>
      <c r="KIP141" s="34"/>
      <c r="KIQ141" s="34"/>
      <c r="KIR141" s="34"/>
      <c r="KIS141" s="34"/>
      <c r="KIT141" s="34"/>
      <c r="KIU141" s="34"/>
      <c r="KIV141" s="34"/>
      <c r="KIW141" s="34"/>
      <c r="KIX141" s="34"/>
      <c r="KIY141" s="34"/>
      <c r="KIZ141" s="34"/>
      <c r="KJA141" s="34"/>
      <c r="KJB141" s="34"/>
      <c r="KJC141" s="34"/>
      <c r="KJD141" s="34"/>
      <c r="KJE141" s="34"/>
      <c r="KJF141" s="34"/>
      <c r="KJG141" s="34"/>
      <c r="KJH141" s="34"/>
      <c r="KJI141" s="34"/>
      <c r="KJJ141" s="34"/>
      <c r="KJK141" s="34"/>
      <c r="KJL141" s="34"/>
      <c r="KJM141" s="34"/>
      <c r="KJN141" s="34"/>
      <c r="KJO141" s="34"/>
      <c r="KJP141" s="34"/>
      <c r="KJQ141" s="34"/>
      <c r="KJR141" s="34"/>
      <c r="KJS141" s="34"/>
      <c r="KJT141" s="34"/>
      <c r="KJU141" s="34"/>
      <c r="KJV141" s="34"/>
      <c r="KJW141" s="34"/>
      <c r="KJX141" s="34"/>
      <c r="KJY141" s="34"/>
      <c r="KJZ141" s="34"/>
      <c r="KKA141" s="34"/>
      <c r="KKB141" s="34"/>
      <c r="KKC141" s="34"/>
      <c r="KKD141" s="34"/>
      <c r="KKE141" s="34"/>
      <c r="KKF141" s="34"/>
      <c r="KKG141" s="34"/>
      <c r="KKH141" s="34"/>
      <c r="KKI141" s="34"/>
      <c r="KKJ141" s="34"/>
      <c r="KKK141" s="34"/>
      <c r="KKL141" s="34"/>
      <c r="KKM141" s="34"/>
      <c r="KKN141" s="34"/>
      <c r="KKO141" s="34"/>
      <c r="KKP141" s="34"/>
      <c r="KKQ141" s="34"/>
      <c r="KKR141" s="34"/>
      <c r="KKS141" s="34"/>
      <c r="KKT141" s="34"/>
      <c r="KKU141" s="34"/>
      <c r="KKV141" s="34"/>
      <c r="KKW141" s="34"/>
      <c r="KKX141" s="34"/>
      <c r="KKY141" s="34"/>
      <c r="KKZ141" s="34"/>
      <c r="KLA141" s="34"/>
      <c r="KLB141" s="34"/>
      <c r="KLC141" s="34"/>
      <c r="KLD141" s="34"/>
      <c r="KLE141" s="34"/>
      <c r="KLF141" s="34"/>
      <c r="KLG141" s="34"/>
      <c r="KLH141" s="34"/>
      <c r="KLI141" s="34"/>
      <c r="KLJ141" s="34"/>
      <c r="KLK141" s="34"/>
      <c r="KLL141" s="34"/>
      <c r="KLM141" s="34"/>
      <c r="KLN141" s="34"/>
      <c r="KLO141" s="34"/>
      <c r="KLP141" s="34"/>
      <c r="KLQ141" s="34"/>
      <c r="KLR141" s="34"/>
      <c r="KLS141" s="34"/>
      <c r="KLT141" s="34"/>
      <c r="KLU141" s="34"/>
      <c r="KLV141" s="34"/>
      <c r="KLW141" s="34"/>
      <c r="KLX141" s="34"/>
      <c r="KLY141" s="34"/>
      <c r="KLZ141" s="34"/>
      <c r="KMA141" s="34"/>
      <c r="KMB141" s="34"/>
      <c r="KMC141" s="34"/>
      <c r="KMD141" s="34"/>
      <c r="KME141" s="34"/>
      <c r="KMF141" s="34"/>
      <c r="KMG141" s="34"/>
      <c r="KMH141" s="34"/>
      <c r="KMI141" s="34"/>
      <c r="KMJ141" s="34"/>
      <c r="KMK141" s="34"/>
      <c r="KML141" s="34"/>
      <c r="KMM141" s="34"/>
      <c r="KMN141" s="34"/>
      <c r="KMO141" s="34"/>
      <c r="KMP141" s="34"/>
      <c r="KMQ141" s="34"/>
      <c r="KMR141" s="34"/>
      <c r="KMS141" s="34"/>
      <c r="KMT141" s="34"/>
      <c r="KMU141" s="34"/>
      <c r="KMV141" s="34"/>
      <c r="KMW141" s="34"/>
      <c r="KMX141" s="34"/>
      <c r="KMY141" s="34"/>
      <c r="KMZ141" s="34"/>
      <c r="KNA141" s="34"/>
      <c r="KNB141" s="34"/>
      <c r="KNC141" s="34"/>
      <c r="KND141" s="34"/>
      <c r="KNE141" s="34"/>
      <c r="KNF141" s="34"/>
      <c r="KNG141" s="34"/>
      <c r="KNH141" s="34"/>
      <c r="KNI141" s="34"/>
      <c r="KNJ141" s="34"/>
      <c r="KNK141" s="34"/>
      <c r="KNL141" s="34"/>
      <c r="KNM141" s="34"/>
      <c r="KNN141" s="34"/>
      <c r="KNO141" s="34"/>
      <c r="KNP141" s="34"/>
      <c r="KNQ141" s="34"/>
      <c r="KNR141" s="34"/>
      <c r="KNS141" s="34"/>
      <c r="KNT141" s="34"/>
      <c r="KNU141" s="34"/>
      <c r="KNV141" s="34"/>
      <c r="KNW141" s="34"/>
      <c r="KNX141" s="34"/>
      <c r="KNY141" s="34"/>
      <c r="KNZ141" s="34"/>
      <c r="KOA141" s="34"/>
      <c r="KOB141" s="34"/>
      <c r="KOC141" s="34"/>
      <c r="KOD141" s="34"/>
      <c r="KOE141" s="34"/>
      <c r="KOF141" s="34"/>
      <c r="KOG141" s="34"/>
      <c r="KOH141" s="34"/>
      <c r="KOI141" s="34"/>
      <c r="KOJ141" s="34"/>
      <c r="KOK141" s="34"/>
      <c r="KOL141" s="34"/>
      <c r="KOM141" s="34"/>
      <c r="KON141" s="34"/>
      <c r="KOO141" s="34"/>
      <c r="KOP141" s="34"/>
      <c r="KOQ141" s="34"/>
      <c r="KOR141" s="34"/>
      <c r="KOS141" s="34"/>
      <c r="KOT141" s="34"/>
      <c r="KOU141" s="34"/>
      <c r="KOV141" s="34"/>
      <c r="KOW141" s="34"/>
      <c r="KOX141" s="34"/>
      <c r="KOY141" s="34"/>
      <c r="KOZ141" s="34"/>
      <c r="KPA141" s="34"/>
      <c r="KPB141" s="34"/>
      <c r="KPC141" s="34"/>
      <c r="KPD141" s="34"/>
      <c r="KPE141" s="34"/>
      <c r="KPF141" s="34"/>
      <c r="KPG141" s="34"/>
      <c r="KPH141" s="34"/>
      <c r="KPI141" s="34"/>
      <c r="KPJ141" s="34"/>
      <c r="KPK141" s="34"/>
      <c r="KPL141" s="34"/>
      <c r="KPM141" s="34"/>
      <c r="KPN141" s="34"/>
      <c r="KPO141" s="34"/>
      <c r="KPP141" s="34"/>
      <c r="KPQ141" s="34"/>
      <c r="KPR141" s="34"/>
      <c r="KPS141" s="34"/>
      <c r="KPT141" s="34"/>
      <c r="KPU141" s="34"/>
      <c r="KPV141" s="34"/>
      <c r="KPW141" s="34"/>
      <c r="KPX141" s="34"/>
      <c r="KPY141" s="34"/>
      <c r="KPZ141" s="34"/>
      <c r="KQA141" s="34"/>
      <c r="KQB141" s="34"/>
      <c r="KQC141" s="34"/>
      <c r="KQD141" s="34"/>
      <c r="KQE141" s="34"/>
      <c r="KQF141" s="34"/>
      <c r="KQG141" s="34"/>
      <c r="KQH141" s="34"/>
      <c r="KQI141" s="34"/>
      <c r="KQJ141" s="34"/>
      <c r="KQK141" s="34"/>
      <c r="KQL141" s="34"/>
      <c r="KQM141" s="34"/>
      <c r="KQN141" s="34"/>
      <c r="KQO141" s="34"/>
      <c r="KQP141" s="34"/>
      <c r="KQQ141" s="34"/>
      <c r="KQR141" s="34"/>
      <c r="KQS141" s="34"/>
      <c r="KQT141" s="34"/>
      <c r="KQU141" s="34"/>
      <c r="KQV141" s="34"/>
      <c r="KQW141" s="34"/>
      <c r="KQX141" s="34"/>
      <c r="KQY141" s="34"/>
      <c r="KQZ141" s="34"/>
      <c r="KRA141" s="34"/>
      <c r="KRB141" s="34"/>
      <c r="KRC141" s="34"/>
      <c r="KRD141" s="34"/>
      <c r="KRE141" s="34"/>
      <c r="KRF141" s="34"/>
      <c r="KRG141" s="34"/>
      <c r="KRH141" s="34"/>
      <c r="KRI141" s="34"/>
      <c r="KRJ141" s="34"/>
      <c r="KRK141" s="34"/>
      <c r="KRL141" s="34"/>
      <c r="KRM141" s="34"/>
      <c r="KRN141" s="34"/>
      <c r="KRO141" s="34"/>
      <c r="KRP141" s="34"/>
      <c r="KRQ141" s="34"/>
      <c r="KRR141" s="34"/>
      <c r="KRS141" s="34"/>
      <c r="KRT141" s="34"/>
      <c r="KRU141" s="34"/>
      <c r="KRV141" s="34"/>
      <c r="KRW141" s="34"/>
      <c r="KRX141" s="34"/>
      <c r="KRY141" s="34"/>
      <c r="KRZ141" s="34"/>
      <c r="KSA141" s="34"/>
      <c r="KSB141" s="34"/>
      <c r="KSC141" s="34"/>
      <c r="KSD141" s="34"/>
      <c r="KSE141" s="34"/>
      <c r="KSF141" s="34"/>
      <c r="KSG141" s="34"/>
      <c r="KSH141" s="34"/>
      <c r="KSI141" s="34"/>
      <c r="KSJ141" s="34"/>
      <c r="KSK141" s="34"/>
      <c r="KSL141" s="34"/>
      <c r="KSM141" s="34"/>
      <c r="KSN141" s="34"/>
      <c r="KSO141" s="34"/>
      <c r="KSP141" s="34"/>
      <c r="KSQ141" s="34"/>
      <c r="KSR141" s="34"/>
      <c r="KSS141" s="34"/>
      <c r="KST141" s="34"/>
      <c r="KSU141" s="34"/>
      <c r="KSV141" s="34"/>
      <c r="KSW141" s="34"/>
      <c r="KSX141" s="34"/>
      <c r="KSY141" s="34"/>
      <c r="KSZ141" s="34"/>
      <c r="KTA141" s="34"/>
      <c r="KTB141" s="34"/>
      <c r="KTC141" s="34"/>
      <c r="KTD141" s="34"/>
      <c r="KTE141" s="34"/>
      <c r="KTF141" s="34"/>
      <c r="KTG141" s="34"/>
      <c r="KTH141" s="34"/>
      <c r="KTI141" s="34"/>
      <c r="KTJ141" s="34"/>
      <c r="KTK141" s="34"/>
      <c r="KTL141" s="34"/>
      <c r="KTM141" s="34"/>
      <c r="KTN141" s="34"/>
      <c r="KTO141" s="34"/>
      <c r="KTP141" s="34"/>
      <c r="KTQ141" s="34"/>
      <c r="KTR141" s="34"/>
      <c r="KTS141" s="34"/>
      <c r="KTT141" s="34"/>
      <c r="KTU141" s="34"/>
      <c r="KTV141" s="34"/>
      <c r="KTW141" s="34"/>
      <c r="KTX141" s="34"/>
      <c r="KTY141" s="34"/>
      <c r="KTZ141" s="34"/>
      <c r="KUA141" s="34"/>
      <c r="KUB141" s="34"/>
      <c r="KUC141" s="34"/>
      <c r="KUD141" s="34"/>
      <c r="KUE141" s="34"/>
      <c r="KUF141" s="34"/>
      <c r="KUG141" s="34"/>
      <c r="KUH141" s="34"/>
      <c r="KUI141" s="34"/>
      <c r="KUJ141" s="34"/>
      <c r="KUK141" s="34"/>
      <c r="KUL141" s="34"/>
      <c r="KUM141" s="34"/>
      <c r="KUN141" s="34"/>
      <c r="KUO141" s="34"/>
      <c r="KUP141" s="34"/>
      <c r="KUQ141" s="34"/>
      <c r="KUR141" s="34"/>
      <c r="KUS141" s="34"/>
      <c r="KUT141" s="34"/>
      <c r="KUU141" s="34"/>
      <c r="KUV141" s="34"/>
      <c r="KUW141" s="34"/>
      <c r="KUX141" s="34"/>
      <c r="KUY141" s="34"/>
      <c r="KUZ141" s="34"/>
      <c r="KVA141" s="34"/>
      <c r="KVB141" s="34"/>
      <c r="KVC141" s="34"/>
      <c r="KVD141" s="34"/>
      <c r="KVE141" s="34"/>
      <c r="KVF141" s="34"/>
      <c r="KVG141" s="34"/>
      <c r="KVH141" s="34"/>
      <c r="KVI141" s="34"/>
      <c r="KVJ141" s="34"/>
      <c r="KVK141" s="34"/>
      <c r="KVL141" s="34"/>
      <c r="KVM141" s="34"/>
      <c r="KVN141" s="34"/>
      <c r="KVO141" s="34"/>
      <c r="KVP141" s="34"/>
      <c r="KVQ141" s="34"/>
      <c r="KVR141" s="34"/>
      <c r="KVS141" s="34"/>
      <c r="KVT141" s="34"/>
      <c r="KVU141" s="34"/>
      <c r="KVV141" s="34"/>
      <c r="KVW141" s="34"/>
      <c r="KVX141" s="34"/>
      <c r="KVY141" s="34"/>
      <c r="KVZ141" s="34"/>
      <c r="KWA141" s="34"/>
      <c r="KWB141" s="34"/>
      <c r="KWC141" s="34"/>
      <c r="KWD141" s="34"/>
      <c r="KWE141" s="34"/>
      <c r="KWF141" s="34"/>
      <c r="KWG141" s="34"/>
      <c r="KWH141" s="34"/>
      <c r="KWI141" s="34"/>
      <c r="KWJ141" s="34"/>
      <c r="KWK141" s="34"/>
      <c r="KWL141" s="34"/>
      <c r="KWM141" s="34"/>
      <c r="KWN141" s="34"/>
      <c r="KWO141" s="34"/>
      <c r="KWP141" s="34"/>
      <c r="KWQ141" s="34"/>
      <c r="KWR141" s="34"/>
      <c r="KWS141" s="34"/>
      <c r="KWT141" s="34"/>
      <c r="KWU141" s="34"/>
      <c r="KWV141" s="34"/>
      <c r="KWW141" s="34"/>
      <c r="KWX141" s="34"/>
      <c r="KWY141" s="34"/>
      <c r="KWZ141" s="34"/>
      <c r="KXA141" s="34"/>
      <c r="KXB141" s="34"/>
      <c r="KXC141" s="34"/>
      <c r="KXD141" s="34"/>
      <c r="KXE141" s="34"/>
      <c r="KXF141" s="34"/>
      <c r="KXG141" s="34"/>
      <c r="KXH141" s="34"/>
      <c r="KXI141" s="34"/>
      <c r="KXJ141" s="34"/>
      <c r="KXK141" s="34"/>
      <c r="KXL141" s="34"/>
      <c r="KXM141" s="34"/>
      <c r="KXN141" s="34"/>
      <c r="KXO141" s="34"/>
      <c r="KXP141" s="34"/>
      <c r="KXQ141" s="34"/>
      <c r="KXR141" s="34"/>
      <c r="KXS141" s="34"/>
      <c r="KXT141" s="34"/>
      <c r="KXU141" s="34"/>
      <c r="KXV141" s="34"/>
      <c r="KXW141" s="34"/>
      <c r="KXX141" s="34"/>
      <c r="KXY141" s="34"/>
      <c r="KXZ141" s="34"/>
      <c r="KYA141" s="34"/>
      <c r="KYB141" s="34"/>
      <c r="KYC141" s="34"/>
      <c r="KYD141" s="34"/>
      <c r="KYE141" s="34"/>
      <c r="KYF141" s="34"/>
      <c r="KYG141" s="34"/>
      <c r="KYH141" s="34"/>
      <c r="KYI141" s="34"/>
      <c r="KYJ141" s="34"/>
      <c r="KYK141" s="34"/>
      <c r="KYL141" s="34"/>
      <c r="KYM141" s="34"/>
      <c r="KYN141" s="34"/>
      <c r="KYO141" s="34"/>
      <c r="KYP141" s="34"/>
      <c r="KYQ141" s="34"/>
      <c r="KYR141" s="34"/>
      <c r="KYS141" s="34"/>
      <c r="KYT141" s="34"/>
      <c r="KYU141" s="34"/>
      <c r="KYV141" s="34"/>
      <c r="KYW141" s="34"/>
      <c r="KYX141" s="34"/>
      <c r="KYY141" s="34"/>
      <c r="KYZ141" s="34"/>
      <c r="KZA141" s="34"/>
      <c r="KZB141" s="34"/>
      <c r="KZC141" s="34"/>
      <c r="KZD141" s="34"/>
      <c r="KZE141" s="34"/>
      <c r="KZF141" s="34"/>
      <c r="KZG141" s="34"/>
      <c r="KZH141" s="34"/>
      <c r="KZI141" s="34"/>
      <c r="KZJ141" s="34"/>
      <c r="KZK141" s="34"/>
      <c r="KZL141" s="34"/>
      <c r="KZM141" s="34"/>
      <c r="KZN141" s="34"/>
      <c r="KZO141" s="34"/>
      <c r="KZP141" s="34"/>
      <c r="KZQ141" s="34"/>
      <c r="KZR141" s="34"/>
      <c r="KZS141" s="34"/>
      <c r="KZT141" s="34"/>
      <c r="KZU141" s="34"/>
      <c r="KZV141" s="34"/>
      <c r="KZW141" s="34"/>
      <c r="KZX141" s="34"/>
      <c r="KZY141" s="34"/>
      <c r="KZZ141" s="34"/>
      <c r="LAA141" s="34"/>
      <c r="LAB141" s="34"/>
      <c r="LAC141" s="34"/>
      <c r="LAD141" s="34"/>
      <c r="LAE141" s="34"/>
      <c r="LAF141" s="34"/>
      <c r="LAG141" s="34"/>
      <c r="LAH141" s="34"/>
      <c r="LAI141" s="34"/>
      <c r="LAJ141" s="34"/>
      <c r="LAK141" s="34"/>
      <c r="LAL141" s="34"/>
      <c r="LAM141" s="34"/>
      <c r="LAN141" s="34"/>
      <c r="LAO141" s="34"/>
      <c r="LAP141" s="34"/>
      <c r="LAQ141" s="34"/>
      <c r="LAR141" s="34"/>
      <c r="LAS141" s="34"/>
      <c r="LAT141" s="34"/>
      <c r="LAU141" s="34"/>
      <c r="LAV141" s="34"/>
      <c r="LAW141" s="34"/>
      <c r="LAX141" s="34"/>
      <c r="LAY141" s="34"/>
      <c r="LAZ141" s="34"/>
      <c r="LBA141" s="34"/>
      <c r="LBB141" s="34"/>
      <c r="LBC141" s="34"/>
      <c r="LBD141" s="34"/>
      <c r="LBE141" s="34"/>
      <c r="LBF141" s="34"/>
      <c r="LBG141" s="34"/>
      <c r="LBH141" s="34"/>
      <c r="LBI141" s="34"/>
      <c r="LBJ141" s="34"/>
      <c r="LBK141" s="34"/>
      <c r="LBL141" s="34"/>
      <c r="LBM141" s="34"/>
      <c r="LBN141" s="34"/>
      <c r="LBO141" s="34"/>
      <c r="LBP141" s="34"/>
      <c r="LBQ141" s="34"/>
      <c r="LBR141" s="34"/>
      <c r="LBS141" s="34"/>
      <c r="LBT141" s="34"/>
      <c r="LBU141" s="34"/>
      <c r="LBV141" s="34"/>
      <c r="LBW141" s="34"/>
      <c r="LBX141" s="34"/>
      <c r="LBY141" s="34"/>
      <c r="LBZ141" s="34"/>
      <c r="LCA141" s="34"/>
      <c r="LCB141" s="34"/>
      <c r="LCC141" s="34"/>
      <c r="LCD141" s="34"/>
      <c r="LCE141" s="34"/>
      <c r="LCF141" s="34"/>
      <c r="LCG141" s="34"/>
      <c r="LCH141" s="34"/>
      <c r="LCI141" s="34"/>
      <c r="LCJ141" s="34"/>
      <c r="LCK141" s="34"/>
      <c r="LCL141" s="34"/>
      <c r="LCM141" s="34"/>
      <c r="LCN141" s="34"/>
      <c r="LCO141" s="34"/>
      <c r="LCP141" s="34"/>
      <c r="LCQ141" s="34"/>
      <c r="LCR141" s="34"/>
      <c r="LCS141" s="34"/>
      <c r="LCT141" s="34"/>
      <c r="LCU141" s="34"/>
      <c r="LCV141" s="34"/>
      <c r="LCW141" s="34"/>
      <c r="LCX141" s="34"/>
      <c r="LCY141" s="34"/>
      <c r="LCZ141" s="34"/>
      <c r="LDA141" s="34"/>
      <c r="LDB141" s="34"/>
      <c r="LDC141" s="34"/>
      <c r="LDD141" s="34"/>
      <c r="LDE141" s="34"/>
      <c r="LDF141" s="34"/>
      <c r="LDG141" s="34"/>
      <c r="LDH141" s="34"/>
      <c r="LDI141" s="34"/>
      <c r="LDJ141" s="34"/>
      <c r="LDK141" s="34"/>
      <c r="LDL141" s="34"/>
      <c r="LDM141" s="34"/>
      <c r="LDN141" s="34"/>
      <c r="LDO141" s="34"/>
      <c r="LDP141" s="34"/>
      <c r="LDQ141" s="34"/>
      <c r="LDR141" s="34"/>
      <c r="LDS141" s="34"/>
      <c r="LDT141" s="34"/>
      <c r="LDU141" s="34"/>
      <c r="LDV141" s="34"/>
      <c r="LDW141" s="34"/>
      <c r="LDX141" s="34"/>
      <c r="LDY141" s="34"/>
      <c r="LDZ141" s="34"/>
      <c r="LEA141" s="34"/>
      <c r="LEB141" s="34"/>
      <c r="LEC141" s="34"/>
      <c r="LED141" s="34"/>
      <c r="LEE141" s="34"/>
      <c r="LEF141" s="34"/>
      <c r="LEG141" s="34"/>
      <c r="LEH141" s="34"/>
      <c r="LEI141" s="34"/>
      <c r="LEJ141" s="34"/>
      <c r="LEK141" s="34"/>
      <c r="LEL141" s="34"/>
      <c r="LEM141" s="34"/>
      <c r="LEN141" s="34"/>
      <c r="LEO141" s="34"/>
      <c r="LEP141" s="34"/>
      <c r="LEQ141" s="34"/>
      <c r="LER141" s="34"/>
      <c r="LES141" s="34"/>
      <c r="LET141" s="34"/>
      <c r="LEU141" s="34"/>
      <c r="LEV141" s="34"/>
      <c r="LEW141" s="34"/>
      <c r="LEX141" s="34"/>
      <c r="LEY141" s="34"/>
      <c r="LEZ141" s="34"/>
      <c r="LFA141" s="34"/>
      <c r="LFB141" s="34"/>
      <c r="LFC141" s="34"/>
      <c r="LFD141" s="34"/>
      <c r="LFE141" s="34"/>
      <c r="LFF141" s="34"/>
      <c r="LFG141" s="34"/>
      <c r="LFH141" s="34"/>
      <c r="LFI141" s="34"/>
      <c r="LFJ141" s="34"/>
      <c r="LFK141" s="34"/>
      <c r="LFL141" s="34"/>
      <c r="LFM141" s="34"/>
      <c r="LFN141" s="34"/>
      <c r="LFO141" s="34"/>
      <c r="LFP141" s="34"/>
      <c r="LFQ141" s="34"/>
      <c r="LFR141" s="34"/>
      <c r="LFS141" s="34"/>
      <c r="LFT141" s="34"/>
      <c r="LFU141" s="34"/>
      <c r="LFV141" s="34"/>
      <c r="LFW141" s="34"/>
      <c r="LFX141" s="34"/>
      <c r="LFY141" s="34"/>
      <c r="LFZ141" s="34"/>
      <c r="LGA141" s="34"/>
      <c r="LGB141" s="34"/>
      <c r="LGC141" s="34"/>
      <c r="LGD141" s="34"/>
      <c r="LGE141" s="34"/>
      <c r="LGF141" s="34"/>
      <c r="LGG141" s="34"/>
      <c r="LGH141" s="34"/>
      <c r="LGI141" s="34"/>
      <c r="LGJ141" s="34"/>
      <c r="LGK141" s="34"/>
      <c r="LGL141" s="34"/>
      <c r="LGM141" s="34"/>
      <c r="LGN141" s="34"/>
      <c r="LGO141" s="34"/>
      <c r="LGP141" s="34"/>
      <c r="LGQ141" s="34"/>
      <c r="LGR141" s="34"/>
      <c r="LGS141" s="34"/>
      <c r="LGT141" s="34"/>
      <c r="LGU141" s="34"/>
      <c r="LGV141" s="34"/>
      <c r="LGW141" s="34"/>
      <c r="LGX141" s="34"/>
      <c r="LGY141" s="34"/>
      <c r="LGZ141" s="34"/>
      <c r="LHA141" s="34"/>
      <c r="LHB141" s="34"/>
      <c r="LHC141" s="34"/>
      <c r="LHD141" s="34"/>
      <c r="LHE141" s="34"/>
      <c r="LHF141" s="34"/>
      <c r="LHG141" s="34"/>
      <c r="LHH141" s="34"/>
      <c r="LHI141" s="34"/>
      <c r="LHJ141" s="34"/>
      <c r="LHK141" s="34"/>
      <c r="LHL141" s="34"/>
      <c r="LHM141" s="34"/>
      <c r="LHN141" s="34"/>
      <c r="LHO141" s="34"/>
      <c r="LHP141" s="34"/>
      <c r="LHQ141" s="34"/>
      <c r="LHR141" s="34"/>
      <c r="LHS141" s="34"/>
      <c r="LHT141" s="34"/>
      <c r="LHU141" s="34"/>
      <c r="LHV141" s="34"/>
      <c r="LHW141" s="34"/>
      <c r="LHX141" s="34"/>
      <c r="LHY141" s="34"/>
      <c r="LHZ141" s="34"/>
      <c r="LIA141" s="34"/>
      <c r="LIB141" s="34"/>
      <c r="LIC141" s="34"/>
      <c r="LID141" s="34"/>
      <c r="LIE141" s="34"/>
      <c r="LIF141" s="34"/>
      <c r="LIG141" s="34"/>
      <c r="LIH141" s="34"/>
      <c r="LII141" s="34"/>
      <c r="LIJ141" s="34"/>
      <c r="LIK141" s="34"/>
      <c r="LIL141" s="34"/>
      <c r="LIM141" s="34"/>
      <c r="LIN141" s="34"/>
      <c r="LIO141" s="34"/>
      <c r="LIP141" s="34"/>
      <c r="LIQ141" s="34"/>
      <c r="LIR141" s="34"/>
      <c r="LIS141" s="34"/>
      <c r="LIT141" s="34"/>
      <c r="LIU141" s="34"/>
      <c r="LIV141" s="34"/>
      <c r="LIW141" s="34"/>
      <c r="LIX141" s="34"/>
      <c r="LIY141" s="34"/>
      <c r="LIZ141" s="34"/>
      <c r="LJA141" s="34"/>
      <c r="LJB141" s="34"/>
      <c r="LJC141" s="34"/>
      <c r="LJD141" s="34"/>
      <c r="LJE141" s="34"/>
      <c r="LJF141" s="34"/>
      <c r="LJG141" s="34"/>
      <c r="LJH141" s="34"/>
      <c r="LJI141" s="34"/>
      <c r="LJJ141" s="34"/>
      <c r="LJK141" s="34"/>
      <c r="LJL141" s="34"/>
      <c r="LJM141" s="34"/>
      <c r="LJN141" s="34"/>
      <c r="LJO141" s="34"/>
      <c r="LJP141" s="34"/>
      <c r="LJQ141" s="34"/>
      <c r="LJR141" s="34"/>
      <c r="LJS141" s="34"/>
      <c r="LJT141" s="34"/>
      <c r="LJU141" s="34"/>
      <c r="LJV141" s="34"/>
      <c r="LJW141" s="34"/>
      <c r="LJX141" s="34"/>
      <c r="LJY141" s="34"/>
      <c r="LJZ141" s="34"/>
      <c r="LKA141" s="34"/>
      <c r="LKB141" s="34"/>
      <c r="LKC141" s="34"/>
      <c r="LKD141" s="34"/>
      <c r="LKE141" s="34"/>
      <c r="LKF141" s="34"/>
      <c r="LKG141" s="34"/>
      <c r="LKH141" s="34"/>
      <c r="LKI141" s="34"/>
      <c r="LKJ141" s="34"/>
      <c r="LKK141" s="34"/>
      <c r="LKL141" s="34"/>
      <c r="LKM141" s="34"/>
      <c r="LKN141" s="34"/>
      <c r="LKO141" s="34"/>
      <c r="LKP141" s="34"/>
      <c r="LKQ141" s="34"/>
      <c r="LKR141" s="34"/>
      <c r="LKS141" s="34"/>
      <c r="LKT141" s="34"/>
      <c r="LKU141" s="34"/>
      <c r="LKV141" s="34"/>
      <c r="LKW141" s="34"/>
      <c r="LKX141" s="34"/>
      <c r="LKY141" s="34"/>
      <c r="LKZ141" s="34"/>
      <c r="LLA141" s="34"/>
      <c r="LLB141" s="34"/>
      <c r="LLC141" s="34"/>
      <c r="LLD141" s="34"/>
      <c r="LLE141" s="34"/>
      <c r="LLF141" s="34"/>
      <c r="LLG141" s="34"/>
      <c r="LLH141" s="34"/>
      <c r="LLI141" s="34"/>
      <c r="LLJ141" s="34"/>
      <c r="LLK141" s="34"/>
      <c r="LLL141" s="34"/>
      <c r="LLM141" s="34"/>
      <c r="LLN141" s="34"/>
      <c r="LLO141" s="34"/>
      <c r="LLP141" s="34"/>
      <c r="LLQ141" s="34"/>
      <c r="LLR141" s="34"/>
      <c r="LLS141" s="34"/>
      <c r="LLT141" s="34"/>
      <c r="LLU141" s="34"/>
      <c r="LLV141" s="34"/>
      <c r="LLW141" s="34"/>
      <c r="LLX141" s="34"/>
      <c r="LLY141" s="34"/>
      <c r="LLZ141" s="34"/>
      <c r="LMA141" s="34"/>
      <c r="LMB141" s="34"/>
      <c r="LMC141" s="34"/>
      <c r="LMD141" s="34"/>
      <c r="LME141" s="34"/>
      <c r="LMF141" s="34"/>
      <c r="LMG141" s="34"/>
      <c r="LMH141" s="34"/>
      <c r="LMI141" s="34"/>
      <c r="LMJ141" s="34"/>
      <c r="LMK141" s="34"/>
      <c r="LML141" s="34"/>
      <c r="LMM141" s="34"/>
      <c r="LMN141" s="34"/>
      <c r="LMO141" s="34"/>
      <c r="LMP141" s="34"/>
      <c r="LMQ141" s="34"/>
      <c r="LMR141" s="34"/>
      <c r="LMS141" s="34"/>
      <c r="LMT141" s="34"/>
      <c r="LMU141" s="34"/>
      <c r="LMV141" s="34"/>
      <c r="LMW141" s="34"/>
      <c r="LMX141" s="34"/>
      <c r="LMY141" s="34"/>
      <c r="LMZ141" s="34"/>
      <c r="LNA141" s="34"/>
      <c r="LNB141" s="34"/>
      <c r="LNC141" s="34"/>
      <c r="LND141" s="34"/>
      <c r="LNE141" s="34"/>
      <c r="LNF141" s="34"/>
      <c r="LNG141" s="34"/>
      <c r="LNH141" s="34"/>
      <c r="LNI141" s="34"/>
      <c r="LNJ141" s="34"/>
      <c r="LNK141" s="34"/>
      <c r="LNL141" s="34"/>
      <c r="LNM141" s="34"/>
      <c r="LNN141" s="34"/>
      <c r="LNO141" s="34"/>
      <c r="LNP141" s="34"/>
      <c r="LNQ141" s="34"/>
      <c r="LNR141" s="34"/>
      <c r="LNS141" s="34"/>
      <c r="LNT141" s="34"/>
      <c r="LNU141" s="34"/>
      <c r="LNV141" s="34"/>
      <c r="LNW141" s="34"/>
      <c r="LNX141" s="34"/>
      <c r="LNY141" s="34"/>
      <c r="LNZ141" s="34"/>
      <c r="LOA141" s="34"/>
      <c r="LOB141" s="34"/>
      <c r="LOC141" s="34"/>
      <c r="LOD141" s="34"/>
      <c r="LOE141" s="34"/>
      <c r="LOF141" s="34"/>
      <c r="LOG141" s="34"/>
      <c r="LOH141" s="34"/>
      <c r="LOI141" s="34"/>
      <c r="LOJ141" s="34"/>
      <c r="LOK141" s="34"/>
      <c r="LOL141" s="34"/>
      <c r="LOM141" s="34"/>
      <c r="LON141" s="34"/>
      <c r="LOO141" s="34"/>
      <c r="LOP141" s="34"/>
      <c r="LOQ141" s="34"/>
      <c r="LOR141" s="34"/>
      <c r="LOS141" s="34"/>
      <c r="LOT141" s="34"/>
      <c r="LOU141" s="34"/>
      <c r="LOV141" s="34"/>
      <c r="LOW141" s="34"/>
      <c r="LOX141" s="34"/>
      <c r="LOY141" s="34"/>
      <c r="LOZ141" s="34"/>
      <c r="LPA141" s="34"/>
      <c r="LPB141" s="34"/>
      <c r="LPC141" s="34"/>
      <c r="LPD141" s="34"/>
      <c r="LPE141" s="34"/>
      <c r="LPF141" s="34"/>
      <c r="LPG141" s="34"/>
      <c r="LPH141" s="34"/>
      <c r="LPI141" s="34"/>
      <c r="LPJ141" s="34"/>
      <c r="LPK141" s="34"/>
      <c r="LPL141" s="34"/>
      <c r="LPM141" s="34"/>
      <c r="LPN141" s="34"/>
      <c r="LPO141" s="34"/>
      <c r="LPP141" s="34"/>
      <c r="LPQ141" s="34"/>
      <c r="LPR141" s="34"/>
      <c r="LPS141" s="34"/>
      <c r="LPT141" s="34"/>
      <c r="LPU141" s="34"/>
      <c r="LPV141" s="34"/>
      <c r="LPW141" s="34"/>
      <c r="LPX141" s="34"/>
      <c r="LPY141" s="34"/>
      <c r="LPZ141" s="34"/>
      <c r="LQA141" s="34"/>
      <c r="LQB141" s="34"/>
      <c r="LQC141" s="34"/>
      <c r="LQD141" s="34"/>
      <c r="LQE141" s="34"/>
      <c r="LQF141" s="34"/>
      <c r="LQG141" s="34"/>
      <c r="LQH141" s="34"/>
      <c r="LQI141" s="34"/>
      <c r="LQJ141" s="34"/>
      <c r="LQK141" s="34"/>
      <c r="LQL141" s="34"/>
      <c r="LQM141" s="34"/>
      <c r="LQN141" s="34"/>
      <c r="LQO141" s="34"/>
      <c r="LQP141" s="34"/>
      <c r="LQQ141" s="34"/>
      <c r="LQR141" s="34"/>
      <c r="LQS141" s="34"/>
      <c r="LQT141" s="34"/>
      <c r="LQU141" s="34"/>
      <c r="LQV141" s="34"/>
      <c r="LQW141" s="34"/>
      <c r="LQX141" s="34"/>
      <c r="LQY141" s="34"/>
      <c r="LQZ141" s="34"/>
      <c r="LRA141" s="34"/>
      <c r="LRB141" s="34"/>
      <c r="LRC141" s="34"/>
      <c r="LRD141" s="34"/>
      <c r="LRE141" s="34"/>
      <c r="LRF141" s="34"/>
      <c r="LRG141" s="34"/>
      <c r="LRH141" s="34"/>
      <c r="LRI141" s="34"/>
      <c r="LRJ141" s="34"/>
      <c r="LRK141" s="34"/>
      <c r="LRL141" s="34"/>
      <c r="LRM141" s="34"/>
      <c r="LRN141" s="34"/>
      <c r="LRO141" s="34"/>
      <c r="LRP141" s="34"/>
      <c r="LRQ141" s="34"/>
      <c r="LRR141" s="34"/>
      <c r="LRS141" s="34"/>
      <c r="LRT141" s="34"/>
      <c r="LRU141" s="34"/>
      <c r="LRV141" s="34"/>
      <c r="LRW141" s="34"/>
      <c r="LRX141" s="34"/>
      <c r="LRY141" s="34"/>
      <c r="LRZ141" s="34"/>
      <c r="LSA141" s="34"/>
      <c r="LSB141" s="34"/>
      <c r="LSC141" s="34"/>
      <c r="LSD141" s="34"/>
      <c r="LSE141" s="34"/>
      <c r="LSF141" s="34"/>
      <c r="LSG141" s="34"/>
      <c r="LSH141" s="34"/>
      <c r="LSI141" s="34"/>
      <c r="LSJ141" s="34"/>
      <c r="LSK141" s="34"/>
      <c r="LSL141" s="34"/>
      <c r="LSM141" s="34"/>
      <c r="LSN141" s="34"/>
      <c r="LSO141" s="34"/>
      <c r="LSP141" s="34"/>
      <c r="LSQ141" s="34"/>
      <c r="LSR141" s="34"/>
      <c r="LSS141" s="34"/>
      <c r="LST141" s="34"/>
      <c r="LSU141" s="34"/>
      <c r="LSV141" s="34"/>
      <c r="LSW141" s="34"/>
      <c r="LSX141" s="34"/>
      <c r="LSY141" s="34"/>
      <c r="LSZ141" s="34"/>
      <c r="LTA141" s="34"/>
      <c r="LTB141" s="34"/>
      <c r="LTC141" s="34"/>
      <c r="LTD141" s="34"/>
      <c r="LTE141" s="34"/>
      <c r="LTF141" s="34"/>
      <c r="LTG141" s="34"/>
      <c r="LTH141" s="34"/>
      <c r="LTI141" s="34"/>
      <c r="LTJ141" s="34"/>
      <c r="LTK141" s="34"/>
      <c r="LTL141" s="34"/>
      <c r="LTM141" s="34"/>
      <c r="LTN141" s="34"/>
      <c r="LTO141" s="34"/>
      <c r="LTP141" s="34"/>
      <c r="LTQ141" s="34"/>
      <c r="LTR141" s="34"/>
      <c r="LTS141" s="34"/>
      <c r="LTT141" s="34"/>
      <c r="LTU141" s="34"/>
      <c r="LTV141" s="34"/>
      <c r="LTW141" s="34"/>
      <c r="LTX141" s="34"/>
      <c r="LTY141" s="34"/>
      <c r="LTZ141" s="34"/>
      <c r="LUA141" s="34"/>
      <c r="LUB141" s="34"/>
      <c r="LUC141" s="34"/>
      <c r="LUD141" s="34"/>
      <c r="LUE141" s="34"/>
      <c r="LUF141" s="34"/>
      <c r="LUG141" s="34"/>
      <c r="LUH141" s="34"/>
      <c r="LUI141" s="34"/>
      <c r="LUJ141" s="34"/>
      <c r="LUK141" s="34"/>
      <c r="LUL141" s="34"/>
      <c r="LUM141" s="34"/>
      <c r="LUN141" s="34"/>
      <c r="LUO141" s="34"/>
      <c r="LUP141" s="34"/>
      <c r="LUQ141" s="34"/>
      <c r="LUR141" s="34"/>
      <c r="LUS141" s="34"/>
      <c r="LUT141" s="34"/>
      <c r="LUU141" s="34"/>
      <c r="LUV141" s="34"/>
      <c r="LUW141" s="34"/>
      <c r="LUX141" s="34"/>
      <c r="LUY141" s="34"/>
      <c r="LUZ141" s="34"/>
      <c r="LVA141" s="34"/>
      <c r="LVB141" s="34"/>
      <c r="LVC141" s="34"/>
      <c r="LVD141" s="34"/>
      <c r="LVE141" s="34"/>
      <c r="LVF141" s="34"/>
      <c r="LVG141" s="34"/>
      <c r="LVH141" s="34"/>
      <c r="LVI141" s="34"/>
      <c r="LVJ141" s="34"/>
      <c r="LVK141" s="34"/>
      <c r="LVL141" s="34"/>
      <c r="LVM141" s="34"/>
      <c r="LVN141" s="34"/>
      <c r="LVO141" s="34"/>
      <c r="LVP141" s="34"/>
      <c r="LVQ141" s="34"/>
      <c r="LVR141" s="34"/>
      <c r="LVS141" s="34"/>
      <c r="LVT141" s="34"/>
      <c r="LVU141" s="34"/>
      <c r="LVV141" s="34"/>
      <c r="LVW141" s="34"/>
      <c r="LVX141" s="34"/>
      <c r="LVY141" s="34"/>
      <c r="LVZ141" s="34"/>
      <c r="LWA141" s="34"/>
      <c r="LWB141" s="34"/>
      <c r="LWC141" s="34"/>
      <c r="LWD141" s="34"/>
      <c r="LWE141" s="34"/>
      <c r="LWF141" s="34"/>
      <c r="LWG141" s="34"/>
      <c r="LWH141" s="34"/>
      <c r="LWI141" s="34"/>
      <c r="LWJ141" s="34"/>
      <c r="LWK141" s="34"/>
      <c r="LWL141" s="34"/>
      <c r="LWM141" s="34"/>
      <c r="LWN141" s="34"/>
      <c r="LWO141" s="34"/>
      <c r="LWP141" s="34"/>
      <c r="LWQ141" s="34"/>
      <c r="LWR141" s="34"/>
      <c r="LWS141" s="34"/>
      <c r="LWT141" s="34"/>
      <c r="LWU141" s="34"/>
      <c r="LWV141" s="34"/>
      <c r="LWW141" s="34"/>
      <c r="LWX141" s="34"/>
      <c r="LWY141" s="34"/>
      <c r="LWZ141" s="34"/>
      <c r="LXA141" s="34"/>
      <c r="LXB141" s="34"/>
      <c r="LXC141" s="34"/>
      <c r="LXD141" s="34"/>
      <c r="LXE141" s="34"/>
      <c r="LXF141" s="34"/>
      <c r="LXG141" s="34"/>
      <c r="LXH141" s="34"/>
      <c r="LXI141" s="34"/>
      <c r="LXJ141" s="34"/>
      <c r="LXK141" s="34"/>
      <c r="LXL141" s="34"/>
      <c r="LXM141" s="34"/>
      <c r="LXN141" s="34"/>
      <c r="LXO141" s="34"/>
      <c r="LXP141" s="34"/>
      <c r="LXQ141" s="34"/>
      <c r="LXR141" s="34"/>
      <c r="LXS141" s="34"/>
      <c r="LXT141" s="34"/>
      <c r="LXU141" s="34"/>
      <c r="LXV141" s="34"/>
      <c r="LXW141" s="34"/>
      <c r="LXX141" s="34"/>
      <c r="LXY141" s="34"/>
      <c r="LXZ141" s="34"/>
      <c r="LYA141" s="34"/>
      <c r="LYB141" s="34"/>
      <c r="LYC141" s="34"/>
      <c r="LYD141" s="34"/>
      <c r="LYE141" s="34"/>
      <c r="LYF141" s="34"/>
      <c r="LYG141" s="34"/>
      <c r="LYH141" s="34"/>
      <c r="LYI141" s="34"/>
      <c r="LYJ141" s="34"/>
      <c r="LYK141" s="34"/>
      <c r="LYL141" s="34"/>
      <c r="LYM141" s="34"/>
      <c r="LYN141" s="34"/>
      <c r="LYO141" s="34"/>
      <c r="LYP141" s="34"/>
      <c r="LYQ141" s="34"/>
      <c r="LYR141" s="34"/>
      <c r="LYS141" s="34"/>
      <c r="LYT141" s="34"/>
      <c r="LYU141" s="34"/>
      <c r="LYV141" s="34"/>
      <c r="LYW141" s="34"/>
      <c r="LYX141" s="34"/>
      <c r="LYY141" s="34"/>
      <c r="LYZ141" s="34"/>
      <c r="LZA141" s="34"/>
      <c r="LZB141" s="34"/>
      <c r="LZC141" s="34"/>
      <c r="LZD141" s="34"/>
      <c r="LZE141" s="34"/>
      <c r="LZF141" s="34"/>
      <c r="LZG141" s="34"/>
      <c r="LZH141" s="34"/>
      <c r="LZI141" s="34"/>
      <c r="LZJ141" s="34"/>
      <c r="LZK141" s="34"/>
      <c r="LZL141" s="34"/>
      <c r="LZM141" s="34"/>
      <c r="LZN141" s="34"/>
      <c r="LZO141" s="34"/>
      <c r="LZP141" s="34"/>
      <c r="LZQ141" s="34"/>
      <c r="LZR141" s="34"/>
      <c r="LZS141" s="34"/>
      <c r="LZT141" s="34"/>
      <c r="LZU141" s="34"/>
      <c r="LZV141" s="34"/>
      <c r="LZW141" s="34"/>
      <c r="LZX141" s="34"/>
      <c r="LZY141" s="34"/>
      <c r="LZZ141" s="34"/>
      <c r="MAA141" s="34"/>
      <c r="MAB141" s="34"/>
      <c r="MAC141" s="34"/>
      <c r="MAD141" s="34"/>
      <c r="MAE141" s="34"/>
      <c r="MAF141" s="34"/>
      <c r="MAG141" s="34"/>
      <c r="MAH141" s="34"/>
      <c r="MAI141" s="34"/>
      <c r="MAJ141" s="34"/>
      <c r="MAK141" s="34"/>
      <c r="MAL141" s="34"/>
      <c r="MAM141" s="34"/>
      <c r="MAN141" s="34"/>
      <c r="MAO141" s="34"/>
      <c r="MAP141" s="34"/>
      <c r="MAQ141" s="34"/>
      <c r="MAR141" s="34"/>
      <c r="MAS141" s="34"/>
      <c r="MAT141" s="34"/>
      <c r="MAU141" s="34"/>
      <c r="MAV141" s="34"/>
      <c r="MAW141" s="34"/>
      <c r="MAX141" s="34"/>
      <c r="MAY141" s="34"/>
      <c r="MAZ141" s="34"/>
      <c r="MBA141" s="34"/>
      <c r="MBB141" s="34"/>
      <c r="MBC141" s="34"/>
      <c r="MBD141" s="34"/>
      <c r="MBE141" s="34"/>
      <c r="MBF141" s="34"/>
      <c r="MBG141" s="34"/>
      <c r="MBH141" s="34"/>
      <c r="MBI141" s="34"/>
      <c r="MBJ141" s="34"/>
      <c r="MBK141" s="34"/>
      <c r="MBL141" s="34"/>
      <c r="MBM141" s="34"/>
      <c r="MBN141" s="34"/>
      <c r="MBO141" s="34"/>
      <c r="MBP141" s="34"/>
      <c r="MBQ141" s="34"/>
      <c r="MBR141" s="34"/>
      <c r="MBS141" s="34"/>
      <c r="MBT141" s="34"/>
      <c r="MBU141" s="34"/>
      <c r="MBV141" s="34"/>
      <c r="MBW141" s="34"/>
      <c r="MBX141" s="34"/>
      <c r="MBY141" s="34"/>
      <c r="MBZ141" s="34"/>
      <c r="MCA141" s="34"/>
      <c r="MCB141" s="34"/>
      <c r="MCC141" s="34"/>
      <c r="MCD141" s="34"/>
      <c r="MCE141" s="34"/>
      <c r="MCF141" s="34"/>
      <c r="MCG141" s="34"/>
      <c r="MCH141" s="34"/>
      <c r="MCI141" s="34"/>
      <c r="MCJ141" s="34"/>
      <c r="MCK141" s="34"/>
      <c r="MCL141" s="34"/>
      <c r="MCM141" s="34"/>
      <c r="MCN141" s="34"/>
      <c r="MCO141" s="34"/>
      <c r="MCP141" s="34"/>
      <c r="MCQ141" s="34"/>
      <c r="MCR141" s="34"/>
      <c r="MCS141" s="34"/>
      <c r="MCT141" s="34"/>
      <c r="MCU141" s="34"/>
      <c r="MCV141" s="34"/>
      <c r="MCW141" s="34"/>
      <c r="MCX141" s="34"/>
      <c r="MCY141" s="34"/>
      <c r="MCZ141" s="34"/>
      <c r="MDA141" s="34"/>
      <c r="MDB141" s="34"/>
      <c r="MDC141" s="34"/>
      <c r="MDD141" s="34"/>
      <c r="MDE141" s="34"/>
      <c r="MDF141" s="34"/>
      <c r="MDG141" s="34"/>
      <c r="MDH141" s="34"/>
      <c r="MDI141" s="34"/>
      <c r="MDJ141" s="34"/>
      <c r="MDK141" s="34"/>
      <c r="MDL141" s="34"/>
      <c r="MDM141" s="34"/>
      <c r="MDN141" s="34"/>
      <c r="MDO141" s="34"/>
      <c r="MDP141" s="34"/>
      <c r="MDQ141" s="34"/>
      <c r="MDR141" s="34"/>
      <c r="MDS141" s="34"/>
      <c r="MDT141" s="34"/>
      <c r="MDU141" s="34"/>
      <c r="MDV141" s="34"/>
      <c r="MDW141" s="34"/>
      <c r="MDX141" s="34"/>
      <c r="MDY141" s="34"/>
      <c r="MDZ141" s="34"/>
      <c r="MEA141" s="34"/>
      <c r="MEB141" s="34"/>
      <c r="MEC141" s="34"/>
      <c r="MED141" s="34"/>
      <c r="MEE141" s="34"/>
      <c r="MEF141" s="34"/>
      <c r="MEG141" s="34"/>
      <c r="MEH141" s="34"/>
      <c r="MEI141" s="34"/>
      <c r="MEJ141" s="34"/>
      <c r="MEK141" s="34"/>
      <c r="MEL141" s="34"/>
      <c r="MEM141" s="34"/>
      <c r="MEN141" s="34"/>
      <c r="MEO141" s="34"/>
      <c r="MEP141" s="34"/>
      <c r="MEQ141" s="34"/>
      <c r="MER141" s="34"/>
      <c r="MES141" s="34"/>
      <c r="MET141" s="34"/>
      <c r="MEU141" s="34"/>
      <c r="MEV141" s="34"/>
      <c r="MEW141" s="34"/>
      <c r="MEX141" s="34"/>
      <c r="MEY141" s="34"/>
      <c r="MEZ141" s="34"/>
      <c r="MFA141" s="34"/>
      <c r="MFB141" s="34"/>
      <c r="MFC141" s="34"/>
      <c r="MFD141" s="34"/>
      <c r="MFE141" s="34"/>
      <c r="MFF141" s="34"/>
      <c r="MFG141" s="34"/>
      <c r="MFH141" s="34"/>
      <c r="MFI141" s="34"/>
      <c r="MFJ141" s="34"/>
      <c r="MFK141" s="34"/>
      <c r="MFL141" s="34"/>
      <c r="MFM141" s="34"/>
      <c r="MFN141" s="34"/>
      <c r="MFO141" s="34"/>
      <c r="MFP141" s="34"/>
      <c r="MFQ141" s="34"/>
      <c r="MFR141" s="34"/>
      <c r="MFS141" s="34"/>
      <c r="MFT141" s="34"/>
      <c r="MFU141" s="34"/>
      <c r="MFV141" s="34"/>
      <c r="MFW141" s="34"/>
      <c r="MFX141" s="34"/>
      <c r="MFY141" s="34"/>
      <c r="MFZ141" s="34"/>
      <c r="MGA141" s="34"/>
      <c r="MGB141" s="34"/>
      <c r="MGC141" s="34"/>
      <c r="MGD141" s="34"/>
      <c r="MGE141" s="34"/>
      <c r="MGF141" s="34"/>
      <c r="MGG141" s="34"/>
      <c r="MGH141" s="34"/>
      <c r="MGI141" s="34"/>
      <c r="MGJ141" s="34"/>
      <c r="MGK141" s="34"/>
      <c r="MGL141" s="34"/>
      <c r="MGM141" s="34"/>
      <c r="MGN141" s="34"/>
      <c r="MGO141" s="34"/>
      <c r="MGP141" s="34"/>
      <c r="MGQ141" s="34"/>
      <c r="MGR141" s="34"/>
      <c r="MGS141" s="34"/>
      <c r="MGT141" s="34"/>
      <c r="MGU141" s="34"/>
      <c r="MGV141" s="34"/>
      <c r="MGW141" s="34"/>
      <c r="MGX141" s="34"/>
      <c r="MGY141" s="34"/>
      <c r="MGZ141" s="34"/>
      <c r="MHA141" s="34"/>
      <c r="MHB141" s="34"/>
      <c r="MHC141" s="34"/>
      <c r="MHD141" s="34"/>
      <c r="MHE141" s="34"/>
      <c r="MHF141" s="34"/>
      <c r="MHG141" s="34"/>
      <c r="MHH141" s="34"/>
      <c r="MHI141" s="34"/>
      <c r="MHJ141" s="34"/>
      <c r="MHK141" s="34"/>
      <c r="MHL141" s="34"/>
      <c r="MHM141" s="34"/>
      <c r="MHN141" s="34"/>
      <c r="MHO141" s="34"/>
      <c r="MHP141" s="34"/>
      <c r="MHQ141" s="34"/>
      <c r="MHR141" s="34"/>
      <c r="MHS141" s="34"/>
      <c r="MHT141" s="34"/>
      <c r="MHU141" s="34"/>
      <c r="MHV141" s="34"/>
      <c r="MHW141" s="34"/>
      <c r="MHX141" s="34"/>
      <c r="MHY141" s="34"/>
      <c r="MHZ141" s="34"/>
      <c r="MIA141" s="34"/>
      <c r="MIB141" s="34"/>
      <c r="MIC141" s="34"/>
      <c r="MID141" s="34"/>
      <c r="MIE141" s="34"/>
      <c r="MIF141" s="34"/>
      <c r="MIG141" s="34"/>
      <c r="MIH141" s="34"/>
      <c r="MII141" s="34"/>
      <c r="MIJ141" s="34"/>
      <c r="MIK141" s="34"/>
      <c r="MIL141" s="34"/>
      <c r="MIM141" s="34"/>
      <c r="MIN141" s="34"/>
      <c r="MIO141" s="34"/>
      <c r="MIP141" s="34"/>
      <c r="MIQ141" s="34"/>
      <c r="MIR141" s="34"/>
      <c r="MIS141" s="34"/>
      <c r="MIT141" s="34"/>
      <c r="MIU141" s="34"/>
      <c r="MIV141" s="34"/>
      <c r="MIW141" s="34"/>
      <c r="MIX141" s="34"/>
      <c r="MIY141" s="34"/>
      <c r="MIZ141" s="34"/>
      <c r="MJA141" s="34"/>
      <c r="MJB141" s="34"/>
      <c r="MJC141" s="34"/>
      <c r="MJD141" s="34"/>
      <c r="MJE141" s="34"/>
      <c r="MJF141" s="34"/>
      <c r="MJG141" s="34"/>
      <c r="MJH141" s="34"/>
      <c r="MJI141" s="34"/>
      <c r="MJJ141" s="34"/>
      <c r="MJK141" s="34"/>
      <c r="MJL141" s="34"/>
      <c r="MJM141" s="34"/>
      <c r="MJN141" s="34"/>
      <c r="MJO141" s="34"/>
      <c r="MJP141" s="34"/>
      <c r="MJQ141" s="34"/>
      <c r="MJR141" s="34"/>
      <c r="MJS141" s="34"/>
      <c r="MJT141" s="34"/>
      <c r="MJU141" s="34"/>
      <c r="MJV141" s="34"/>
      <c r="MJW141" s="34"/>
      <c r="MJX141" s="34"/>
      <c r="MJY141" s="34"/>
      <c r="MJZ141" s="34"/>
      <c r="MKA141" s="34"/>
      <c r="MKB141" s="34"/>
      <c r="MKC141" s="34"/>
      <c r="MKD141" s="34"/>
      <c r="MKE141" s="34"/>
      <c r="MKF141" s="34"/>
      <c r="MKG141" s="34"/>
      <c r="MKH141" s="34"/>
      <c r="MKI141" s="34"/>
      <c r="MKJ141" s="34"/>
      <c r="MKK141" s="34"/>
      <c r="MKL141" s="34"/>
      <c r="MKM141" s="34"/>
      <c r="MKN141" s="34"/>
      <c r="MKO141" s="34"/>
      <c r="MKP141" s="34"/>
      <c r="MKQ141" s="34"/>
      <c r="MKR141" s="34"/>
      <c r="MKS141" s="34"/>
      <c r="MKT141" s="34"/>
      <c r="MKU141" s="34"/>
      <c r="MKV141" s="34"/>
      <c r="MKW141" s="34"/>
      <c r="MKX141" s="34"/>
      <c r="MKY141" s="34"/>
      <c r="MKZ141" s="34"/>
      <c r="MLA141" s="34"/>
      <c r="MLB141" s="34"/>
      <c r="MLC141" s="34"/>
      <c r="MLD141" s="34"/>
      <c r="MLE141" s="34"/>
      <c r="MLF141" s="34"/>
      <c r="MLG141" s="34"/>
      <c r="MLH141" s="34"/>
      <c r="MLI141" s="34"/>
      <c r="MLJ141" s="34"/>
      <c r="MLK141" s="34"/>
      <c r="MLL141" s="34"/>
      <c r="MLM141" s="34"/>
      <c r="MLN141" s="34"/>
      <c r="MLO141" s="34"/>
      <c r="MLP141" s="34"/>
      <c r="MLQ141" s="34"/>
      <c r="MLR141" s="34"/>
      <c r="MLS141" s="34"/>
      <c r="MLT141" s="34"/>
      <c r="MLU141" s="34"/>
      <c r="MLV141" s="34"/>
      <c r="MLW141" s="34"/>
      <c r="MLX141" s="34"/>
      <c r="MLY141" s="34"/>
      <c r="MLZ141" s="34"/>
      <c r="MMA141" s="34"/>
      <c r="MMB141" s="34"/>
      <c r="MMC141" s="34"/>
      <c r="MMD141" s="34"/>
      <c r="MME141" s="34"/>
      <c r="MMF141" s="34"/>
      <c r="MMG141" s="34"/>
      <c r="MMH141" s="34"/>
      <c r="MMI141" s="34"/>
      <c r="MMJ141" s="34"/>
      <c r="MMK141" s="34"/>
      <c r="MML141" s="34"/>
      <c r="MMM141" s="34"/>
      <c r="MMN141" s="34"/>
      <c r="MMO141" s="34"/>
      <c r="MMP141" s="34"/>
      <c r="MMQ141" s="34"/>
      <c r="MMR141" s="34"/>
      <c r="MMS141" s="34"/>
      <c r="MMT141" s="34"/>
      <c r="MMU141" s="34"/>
      <c r="MMV141" s="34"/>
      <c r="MMW141" s="34"/>
      <c r="MMX141" s="34"/>
      <c r="MMY141" s="34"/>
      <c r="MMZ141" s="34"/>
      <c r="MNA141" s="34"/>
      <c r="MNB141" s="34"/>
      <c r="MNC141" s="34"/>
      <c r="MND141" s="34"/>
      <c r="MNE141" s="34"/>
      <c r="MNF141" s="34"/>
      <c r="MNG141" s="34"/>
      <c r="MNH141" s="34"/>
      <c r="MNI141" s="34"/>
      <c r="MNJ141" s="34"/>
      <c r="MNK141" s="34"/>
      <c r="MNL141" s="34"/>
      <c r="MNM141" s="34"/>
      <c r="MNN141" s="34"/>
      <c r="MNO141" s="34"/>
      <c r="MNP141" s="34"/>
      <c r="MNQ141" s="34"/>
      <c r="MNR141" s="34"/>
      <c r="MNS141" s="34"/>
      <c r="MNT141" s="34"/>
      <c r="MNU141" s="34"/>
      <c r="MNV141" s="34"/>
      <c r="MNW141" s="34"/>
      <c r="MNX141" s="34"/>
      <c r="MNY141" s="34"/>
      <c r="MNZ141" s="34"/>
      <c r="MOA141" s="34"/>
      <c r="MOB141" s="34"/>
      <c r="MOC141" s="34"/>
      <c r="MOD141" s="34"/>
      <c r="MOE141" s="34"/>
      <c r="MOF141" s="34"/>
      <c r="MOG141" s="34"/>
      <c r="MOH141" s="34"/>
      <c r="MOI141" s="34"/>
      <c r="MOJ141" s="34"/>
      <c r="MOK141" s="34"/>
      <c r="MOL141" s="34"/>
      <c r="MOM141" s="34"/>
      <c r="MON141" s="34"/>
      <c r="MOO141" s="34"/>
      <c r="MOP141" s="34"/>
      <c r="MOQ141" s="34"/>
      <c r="MOR141" s="34"/>
      <c r="MOS141" s="34"/>
      <c r="MOT141" s="34"/>
      <c r="MOU141" s="34"/>
      <c r="MOV141" s="34"/>
      <c r="MOW141" s="34"/>
      <c r="MOX141" s="34"/>
      <c r="MOY141" s="34"/>
      <c r="MOZ141" s="34"/>
      <c r="MPA141" s="34"/>
      <c r="MPB141" s="34"/>
      <c r="MPC141" s="34"/>
      <c r="MPD141" s="34"/>
      <c r="MPE141" s="34"/>
      <c r="MPF141" s="34"/>
      <c r="MPG141" s="34"/>
      <c r="MPH141" s="34"/>
      <c r="MPI141" s="34"/>
      <c r="MPJ141" s="34"/>
      <c r="MPK141" s="34"/>
      <c r="MPL141" s="34"/>
      <c r="MPM141" s="34"/>
      <c r="MPN141" s="34"/>
      <c r="MPO141" s="34"/>
      <c r="MPP141" s="34"/>
      <c r="MPQ141" s="34"/>
      <c r="MPR141" s="34"/>
      <c r="MPS141" s="34"/>
      <c r="MPT141" s="34"/>
      <c r="MPU141" s="34"/>
      <c r="MPV141" s="34"/>
      <c r="MPW141" s="34"/>
      <c r="MPX141" s="34"/>
      <c r="MPY141" s="34"/>
      <c r="MPZ141" s="34"/>
      <c r="MQA141" s="34"/>
      <c r="MQB141" s="34"/>
      <c r="MQC141" s="34"/>
      <c r="MQD141" s="34"/>
      <c r="MQE141" s="34"/>
      <c r="MQF141" s="34"/>
      <c r="MQG141" s="34"/>
      <c r="MQH141" s="34"/>
      <c r="MQI141" s="34"/>
      <c r="MQJ141" s="34"/>
      <c r="MQK141" s="34"/>
      <c r="MQL141" s="34"/>
      <c r="MQM141" s="34"/>
      <c r="MQN141" s="34"/>
      <c r="MQO141" s="34"/>
      <c r="MQP141" s="34"/>
      <c r="MQQ141" s="34"/>
      <c r="MQR141" s="34"/>
      <c r="MQS141" s="34"/>
      <c r="MQT141" s="34"/>
      <c r="MQU141" s="34"/>
      <c r="MQV141" s="34"/>
      <c r="MQW141" s="34"/>
      <c r="MQX141" s="34"/>
      <c r="MQY141" s="34"/>
      <c r="MQZ141" s="34"/>
      <c r="MRA141" s="34"/>
      <c r="MRB141" s="34"/>
      <c r="MRC141" s="34"/>
      <c r="MRD141" s="34"/>
      <c r="MRE141" s="34"/>
      <c r="MRF141" s="34"/>
      <c r="MRG141" s="34"/>
      <c r="MRH141" s="34"/>
      <c r="MRI141" s="34"/>
      <c r="MRJ141" s="34"/>
      <c r="MRK141" s="34"/>
      <c r="MRL141" s="34"/>
      <c r="MRM141" s="34"/>
      <c r="MRN141" s="34"/>
      <c r="MRO141" s="34"/>
      <c r="MRP141" s="34"/>
      <c r="MRQ141" s="34"/>
      <c r="MRR141" s="34"/>
      <c r="MRS141" s="34"/>
      <c r="MRT141" s="34"/>
      <c r="MRU141" s="34"/>
      <c r="MRV141" s="34"/>
      <c r="MRW141" s="34"/>
      <c r="MRX141" s="34"/>
      <c r="MRY141" s="34"/>
      <c r="MRZ141" s="34"/>
      <c r="MSA141" s="34"/>
      <c r="MSB141" s="34"/>
      <c r="MSC141" s="34"/>
      <c r="MSD141" s="34"/>
      <c r="MSE141" s="34"/>
      <c r="MSF141" s="34"/>
      <c r="MSG141" s="34"/>
      <c r="MSH141" s="34"/>
      <c r="MSI141" s="34"/>
      <c r="MSJ141" s="34"/>
      <c r="MSK141" s="34"/>
      <c r="MSL141" s="34"/>
      <c r="MSM141" s="34"/>
      <c r="MSN141" s="34"/>
      <c r="MSO141" s="34"/>
      <c r="MSP141" s="34"/>
      <c r="MSQ141" s="34"/>
      <c r="MSR141" s="34"/>
      <c r="MSS141" s="34"/>
      <c r="MST141" s="34"/>
      <c r="MSU141" s="34"/>
      <c r="MSV141" s="34"/>
      <c r="MSW141" s="34"/>
      <c r="MSX141" s="34"/>
      <c r="MSY141" s="34"/>
      <c r="MSZ141" s="34"/>
      <c r="MTA141" s="34"/>
      <c r="MTB141" s="34"/>
      <c r="MTC141" s="34"/>
      <c r="MTD141" s="34"/>
      <c r="MTE141" s="34"/>
      <c r="MTF141" s="34"/>
      <c r="MTG141" s="34"/>
      <c r="MTH141" s="34"/>
      <c r="MTI141" s="34"/>
      <c r="MTJ141" s="34"/>
      <c r="MTK141" s="34"/>
      <c r="MTL141" s="34"/>
      <c r="MTM141" s="34"/>
      <c r="MTN141" s="34"/>
      <c r="MTO141" s="34"/>
      <c r="MTP141" s="34"/>
      <c r="MTQ141" s="34"/>
      <c r="MTR141" s="34"/>
      <c r="MTS141" s="34"/>
      <c r="MTT141" s="34"/>
      <c r="MTU141" s="34"/>
      <c r="MTV141" s="34"/>
      <c r="MTW141" s="34"/>
      <c r="MTX141" s="34"/>
      <c r="MTY141" s="34"/>
      <c r="MTZ141" s="34"/>
      <c r="MUA141" s="34"/>
      <c r="MUB141" s="34"/>
      <c r="MUC141" s="34"/>
      <c r="MUD141" s="34"/>
      <c r="MUE141" s="34"/>
      <c r="MUF141" s="34"/>
      <c r="MUG141" s="34"/>
      <c r="MUH141" s="34"/>
      <c r="MUI141" s="34"/>
      <c r="MUJ141" s="34"/>
      <c r="MUK141" s="34"/>
      <c r="MUL141" s="34"/>
      <c r="MUM141" s="34"/>
      <c r="MUN141" s="34"/>
      <c r="MUO141" s="34"/>
      <c r="MUP141" s="34"/>
      <c r="MUQ141" s="34"/>
      <c r="MUR141" s="34"/>
      <c r="MUS141" s="34"/>
      <c r="MUT141" s="34"/>
      <c r="MUU141" s="34"/>
      <c r="MUV141" s="34"/>
      <c r="MUW141" s="34"/>
      <c r="MUX141" s="34"/>
      <c r="MUY141" s="34"/>
      <c r="MUZ141" s="34"/>
      <c r="MVA141" s="34"/>
      <c r="MVB141" s="34"/>
      <c r="MVC141" s="34"/>
      <c r="MVD141" s="34"/>
      <c r="MVE141" s="34"/>
      <c r="MVF141" s="34"/>
      <c r="MVG141" s="34"/>
      <c r="MVH141" s="34"/>
      <c r="MVI141" s="34"/>
      <c r="MVJ141" s="34"/>
      <c r="MVK141" s="34"/>
      <c r="MVL141" s="34"/>
      <c r="MVM141" s="34"/>
      <c r="MVN141" s="34"/>
      <c r="MVO141" s="34"/>
      <c r="MVP141" s="34"/>
      <c r="MVQ141" s="34"/>
      <c r="MVR141" s="34"/>
      <c r="MVS141" s="34"/>
      <c r="MVT141" s="34"/>
      <c r="MVU141" s="34"/>
      <c r="MVV141" s="34"/>
      <c r="MVW141" s="34"/>
      <c r="MVX141" s="34"/>
      <c r="MVY141" s="34"/>
      <c r="MVZ141" s="34"/>
      <c r="MWA141" s="34"/>
      <c r="MWB141" s="34"/>
      <c r="MWC141" s="34"/>
      <c r="MWD141" s="34"/>
      <c r="MWE141" s="34"/>
      <c r="MWF141" s="34"/>
      <c r="MWG141" s="34"/>
      <c r="MWH141" s="34"/>
      <c r="MWI141" s="34"/>
      <c r="MWJ141" s="34"/>
      <c r="MWK141" s="34"/>
      <c r="MWL141" s="34"/>
      <c r="MWM141" s="34"/>
      <c r="MWN141" s="34"/>
      <c r="MWO141" s="34"/>
      <c r="MWP141" s="34"/>
      <c r="MWQ141" s="34"/>
      <c r="MWR141" s="34"/>
      <c r="MWS141" s="34"/>
      <c r="MWT141" s="34"/>
      <c r="MWU141" s="34"/>
      <c r="MWV141" s="34"/>
      <c r="MWW141" s="34"/>
      <c r="MWX141" s="34"/>
      <c r="MWY141" s="34"/>
      <c r="MWZ141" s="34"/>
      <c r="MXA141" s="34"/>
      <c r="MXB141" s="34"/>
      <c r="MXC141" s="34"/>
      <c r="MXD141" s="34"/>
      <c r="MXE141" s="34"/>
      <c r="MXF141" s="34"/>
      <c r="MXG141" s="34"/>
      <c r="MXH141" s="34"/>
      <c r="MXI141" s="34"/>
      <c r="MXJ141" s="34"/>
      <c r="MXK141" s="34"/>
      <c r="MXL141" s="34"/>
      <c r="MXM141" s="34"/>
      <c r="MXN141" s="34"/>
      <c r="MXO141" s="34"/>
      <c r="MXP141" s="34"/>
      <c r="MXQ141" s="34"/>
      <c r="MXR141" s="34"/>
      <c r="MXS141" s="34"/>
      <c r="MXT141" s="34"/>
      <c r="MXU141" s="34"/>
      <c r="MXV141" s="34"/>
      <c r="MXW141" s="34"/>
      <c r="MXX141" s="34"/>
      <c r="MXY141" s="34"/>
      <c r="MXZ141" s="34"/>
      <c r="MYA141" s="34"/>
      <c r="MYB141" s="34"/>
      <c r="MYC141" s="34"/>
      <c r="MYD141" s="34"/>
      <c r="MYE141" s="34"/>
      <c r="MYF141" s="34"/>
      <c r="MYG141" s="34"/>
      <c r="MYH141" s="34"/>
      <c r="MYI141" s="34"/>
      <c r="MYJ141" s="34"/>
      <c r="MYK141" s="34"/>
      <c r="MYL141" s="34"/>
      <c r="MYM141" s="34"/>
      <c r="MYN141" s="34"/>
      <c r="MYO141" s="34"/>
      <c r="MYP141" s="34"/>
      <c r="MYQ141" s="34"/>
      <c r="MYR141" s="34"/>
      <c r="MYS141" s="34"/>
      <c r="MYT141" s="34"/>
      <c r="MYU141" s="34"/>
      <c r="MYV141" s="34"/>
      <c r="MYW141" s="34"/>
      <c r="MYX141" s="34"/>
      <c r="MYY141" s="34"/>
      <c r="MYZ141" s="34"/>
      <c r="MZA141" s="34"/>
      <c r="MZB141" s="34"/>
      <c r="MZC141" s="34"/>
      <c r="MZD141" s="34"/>
      <c r="MZE141" s="34"/>
      <c r="MZF141" s="34"/>
      <c r="MZG141" s="34"/>
      <c r="MZH141" s="34"/>
      <c r="MZI141" s="34"/>
      <c r="MZJ141" s="34"/>
      <c r="MZK141" s="34"/>
      <c r="MZL141" s="34"/>
      <c r="MZM141" s="34"/>
      <c r="MZN141" s="34"/>
      <c r="MZO141" s="34"/>
      <c r="MZP141" s="34"/>
      <c r="MZQ141" s="34"/>
      <c r="MZR141" s="34"/>
      <c r="MZS141" s="34"/>
      <c r="MZT141" s="34"/>
      <c r="MZU141" s="34"/>
      <c r="MZV141" s="34"/>
      <c r="MZW141" s="34"/>
      <c r="MZX141" s="34"/>
      <c r="MZY141" s="34"/>
      <c r="MZZ141" s="34"/>
      <c r="NAA141" s="34"/>
      <c r="NAB141" s="34"/>
      <c r="NAC141" s="34"/>
      <c r="NAD141" s="34"/>
      <c r="NAE141" s="34"/>
      <c r="NAF141" s="34"/>
      <c r="NAG141" s="34"/>
      <c r="NAH141" s="34"/>
      <c r="NAI141" s="34"/>
      <c r="NAJ141" s="34"/>
      <c r="NAK141" s="34"/>
      <c r="NAL141" s="34"/>
      <c r="NAM141" s="34"/>
      <c r="NAN141" s="34"/>
      <c r="NAO141" s="34"/>
      <c r="NAP141" s="34"/>
      <c r="NAQ141" s="34"/>
      <c r="NAR141" s="34"/>
      <c r="NAS141" s="34"/>
      <c r="NAT141" s="34"/>
      <c r="NAU141" s="34"/>
      <c r="NAV141" s="34"/>
      <c r="NAW141" s="34"/>
      <c r="NAX141" s="34"/>
      <c r="NAY141" s="34"/>
      <c r="NAZ141" s="34"/>
      <c r="NBA141" s="34"/>
      <c r="NBB141" s="34"/>
      <c r="NBC141" s="34"/>
      <c r="NBD141" s="34"/>
      <c r="NBE141" s="34"/>
      <c r="NBF141" s="34"/>
      <c r="NBG141" s="34"/>
      <c r="NBH141" s="34"/>
      <c r="NBI141" s="34"/>
      <c r="NBJ141" s="34"/>
      <c r="NBK141" s="34"/>
      <c r="NBL141" s="34"/>
      <c r="NBM141" s="34"/>
      <c r="NBN141" s="34"/>
      <c r="NBO141" s="34"/>
      <c r="NBP141" s="34"/>
      <c r="NBQ141" s="34"/>
      <c r="NBR141" s="34"/>
      <c r="NBS141" s="34"/>
      <c r="NBT141" s="34"/>
      <c r="NBU141" s="34"/>
      <c r="NBV141" s="34"/>
      <c r="NBW141" s="34"/>
      <c r="NBX141" s="34"/>
      <c r="NBY141" s="34"/>
      <c r="NBZ141" s="34"/>
      <c r="NCA141" s="34"/>
      <c r="NCB141" s="34"/>
      <c r="NCC141" s="34"/>
      <c r="NCD141" s="34"/>
      <c r="NCE141" s="34"/>
      <c r="NCF141" s="34"/>
      <c r="NCG141" s="34"/>
      <c r="NCH141" s="34"/>
      <c r="NCI141" s="34"/>
      <c r="NCJ141" s="34"/>
      <c r="NCK141" s="34"/>
      <c r="NCL141" s="34"/>
      <c r="NCM141" s="34"/>
      <c r="NCN141" s="34"/>
      <c r="NCO141" s="34"/>
      <c r="NCP141" s="34"/>
      <c r="NCQ141" s="34"/>
      <c r="NCR141" s="34"/>
      <c r="NCS141" s="34"/>
      <c r="NCT141" s="34"/>
      <c r="NCU141" s="34"/>
      <c r="NCV141" s="34"/>
      <c r="NCW141" s="34"/>
      <c r="NCX141" s="34"/>
      <c r="NCY141" s="34"/>
      <c r="NCZ141" s="34"/>
      <c r="NDA141" s="34"/>
      <c r="NDB141" s="34"/>
      <c r="NDC141" s="34"/>
      <c r="NDD141" s="34"/>
      <c r="NDE141" s="34"/>
      <c r="NDF141" s="34"/>
      <c r="NDG141" s="34"/>
      <c r="NDH141" s="34"/>
      <c r="NDI141" s="34"/>
      <c r="NDJ141" s="34"/>
      <c r="NDK141" s="34"/>
      <c r="NDL141" s="34"/>
      <c r="NDM141" s="34"/>
      <c r="NDN141" s="34"/>
      <c r="NDO141" s="34"/>
      <c r="NDP141" s="34"/>
      <c r="NDQ141" s="34"/>
      <c r="NDR141" s="34"/>
      <c r="NDS141" s="34"/>
      <c r="NDT141" s="34"/>
      <c r="NDU141" s="34"/>
      <c r="NDV141" s="34"/>
      <c r="NDW141" s="34"/>
      <c r="NDX141" s="34"/>
      <c r="NDY141" s="34"/>
      <c r="NDZ141" s="34"/>
      <c r="NEA141" s="34"/>
      <c r="NEB141" s="34"/>
      <c r="NEC141" s="34"/>
      <c r="NED141" s="34"/>
      <c r="NEE141" s="34"/>
      <c r="NEF141" s="34"/>
      <c r="NEG141" s="34"/>
      <c r="NEH141" s="34"/>
      <c r="NEI141" s="34"/>
      <c r="NEJ141" s="34"/>
      <c r="NEK141" s="34"/>
      <c r="NEL141" s="34"/>
      <c r="NEM141" s="34"/>
      <c r="NEN141" s="34"/>
      <c r="NEO141" s="34"/>
      <c r="NEP141" s="34"/>
      <c r="NEQ141" s="34"/>
      <c r="NER141" s="34"/>
      <c r="NES141" s="34"/>
      <c r="NET141" s="34"/>
      <c r="NEU141" s="34"/>
      <c r="NEV141" s="34"/>
      <c r="NEW141" s="34"/>
      <c r="NEX141" s="34"/>
      <c r="NEY141" s="34"/>
      <c r="NEZ141" s="34"/>
      <c r="NFA141" s="34"/>
      <c r="NFB141" s="34"/>
      <c r="NFC141" s="34"/>
      <c r="NFD141" s="34"/>
      <c r="NFE141" s="34"/>
      <c r="NFF141" s="34"/>
      <c r="NFG141" s="34"/>
      <c r="NFH141" s="34"/>
      <c r="NFI141" s="34"/>
      <c r="NFJ141" s="34"/>
      <c r="NFK141" s="34"/>
      <c r="NFL141" s="34"/>
      <c r="NFM141" s="34"/>
      <c r="NFN141" s="34"/>
      <c r="NFO141" s="34"/>
      <c r="NFP141" s="34"/>
      <c r="NFQ141" s="34"/>
      <c r="NFR141" s="34"/>
      <c r="NFS141" s="34"/>
      <c r="NFT141" s="34"/>
      <c r="NFU141" s="34"/>
      <c r="NFV141" s="34"/>
      <c r="NFW141" s="34"/>
      <c r="NFX141" s="34"/>
      <c r="NFY141" s="34"/>
      <c r="NFZ141" s="34"/>
      <c r="NGA141" s="34"/>
      <c r="NGB141" s="34"/>
      <c r="NGC141" s="34"/>
      <c r="NGD141" s="34"/>
      <c r="NGE141" s="34"/>
      <c r="NGF141" s="34"/>
      <c r="NGG141" s="34"/>
      <c r="NGH141" s="34"/>
      <c r="NGI141" s="34"/>
      <c r="NGJ141" s="34"/>
      <c r="NGK141" s="34"/>
      <c r="NGL141" s="34"/>
      <c r="NGM141" s="34"/>
      <c r="NGN141" s="34"/>
      <c r="NGO141" s="34"/>
      <c r="NGP141" s="34"/>
      <c r="NGQ141" s="34"/>
      <c r="NGR141" s="34"/>
      <c r="NGS141" s="34"/>
      <c r="NGT141" s="34"/>
      <c r="NGU141" s="34"/>
      <c r="NGV141" s="34"/>
      <c r="NGW141" s="34"/>
      <c r="NGX141" s="34"/>
      <c r="NGY141" s="34"/>
      <c r="NGZ141" s="34"/>
      <c r="NHA141" s="34"/>
      <c r="NHB141" s="34"/>
      <c r="NHC141" s="34"/>
      <c r="NHD141" s="34"/>
      <c r="NHE141" s="34"/>
      <c r="NHF141" s="34"/>
      <c r="NHG141" s="34"/>
      <c r="NHH141" s="34"/>
      <c r="NHI141" s="34"/>
      <c r="NHJ141" s="34"/>
      <c r="NHK141" s="34"/>
      <c r="NHL141" s="34"/>
      <c r="NHM141" s="34"/>
      <c r="NHN141" s="34"/>
      <c r="NHO141" s="34"/>
      <c r="NHP141" s="34"/>
      <c r="NHQ141" s="34"/>
      <c r="NHR141" s="34"/>
      <c r="NHS141" s="34"/>
      <c r="NHT141" s="34"/>
      <c r="NHU141" s="34"/>
      <c r="NHV141" s="34"/>
      <c r="NHW141" s="34"/>
      <c r="NHX141" s="34"/>
      <c r="NHY141" s="34"/>
      <c r="NHZ141" s="34"/>
      <c r="NIA141" s="34"/>
      <c r="NIB141" s="34"/>
      <c r="NIC141" s="34"/>
      <c r="NID141" s="34"/>
      <c r="NIE141" s="34"/>
      <c r="NIF141" s="34"/>
      <c r="NIG141" s="34"/>
      <c r="NIH141" s="34"/>
      <c r="NII141" s="34"/>
      <c r="NIJ141" s="34"/>
      <c r="NIK141" s="34"/>
      <c r="NIL141" s="34"/>
      <c r="NIM141" s="34"/>
      <c r="NIN141" s="34"/>
      <c r="NIO141" s="34"/>
      <c r="NIP141" s="34"/>
      <c r="NIQ141" s="34"/>
      <c r="NIR141" s="34"/>
      <c r="NIS141" s="34"/>
      <c r="NIT141" s="34"/>
      <c r="NIU141" s="34"/>
      <c r="NIV141" s="34"/>
      <c r="NIW141" s="34"/>
      <c r="NIX141" s="34"/>
      <c r="NIY141" s="34"/>
      <c r="NIZ141" s="34"/>
      <c r="NJA141" s="34"/>
      <c r="NJB141" s="34"/>
      <c r="NJC141" s="34"/>
      <c r="NJD141" s="34"/>
      <c r="NJE141" s="34"/>
      <c r="NJF141" s="34"/>
      <c r="NJG141" s="34"/>
      <c r="NJH141" s="34"/>
      <c r="NJI141" s="34"/>
      <c r="NJJ141" s="34"/>
      <c r="NJK141" s="34"/>
      <c r="NJL141" s="34"/>
      <c r="NJM141" s="34"/>
      <c r="NJN141" s="34"/>
      <c r="NJO141" s="34"/>
      <c r="NJP141" s="34"/>
      <c r="NJQ141" s="34"/>
      <c r="NJR141" s="34"/>
      <c r="NJS141" s="34"/>
      <c r="NJT141" s="34"/>
      <c r="NJU141" s="34"/>
      <c r="NJV141" s="34"/>
      <c r="NJW141" s="34"/>
      <c r="NJX141" s="34"/>
      <c r="NJY141" s="34"/>
      <c r="NJZ141" s="34"/>
      <c r="NKA141" s="34"/>
      <c r="NKB141" s="34"/>
      <c r="NKC141" s="34"/>
      <c r="NKD141" s="34"/>
      <c r="NKE141" s="34"/>
      <c r="NKF141" s="34"/>
      <c r="NKG141" s="34"/>
      <c r="NKH141" s="34"/>
      <c r="NKI141" s="34"/>
      <c r="NKJ141" s="34"/>
      <c r="NKK141" s="34"/>
      <c r="NKL141" s="34"/>
      <c r="NKM141" s="34"/>
      <c r="NKN141" s="34"/>
      <c r="NKO141" s="34"/>
      <c r="NKP141" s="34"/>
      <c r="NKQ141" s="34"/>
      <c r="NKR141" s="34"/>
      <c r="NKS141" s="34"/>
      <c r="NKT141" s="34"/>
      <c r="NKU141" s="34"/>
      <c r="NKV141" s="34"/>
      <c r="NKW141" s="34"/>
      <c r="NKX141" s="34"/>
      <c r="NKY141" s="34"/>
      <c r="NKZ141" s="34"/>
      <c r="NLA141" s="34"/>
      <c r="NLB141" s="34"/>
      <c r="NLC141" s="34"/>
      <c r="NLD141" s="34"/>
      <c r="NLE141" s="34"/>
      <c r="NLF141" s="34"/>
      <c r="NLG141" s="34"/>
      <c r="NLH141" s="34"/>
      <c r="NLI141" s="34"/>
      <c r="NLJ141" s="34"/>
      <c r="NLK141" s="34"/>
      <c r="NLL141" s="34"/>
      <c r="NLM141" s="34"/>
      <c r="NLN141" s="34"/>
      <c r="NLO141" s="34"/>
      <c r="NLP141" s="34"/>
      <c r="NLQ141" s="34"/>
      <c r="NLR141" s="34"/>
      <c r="NLS141" s="34"/>
      <c r="NLT141" s="34"/>
      <c r="NLU141" s="34"/>
      <c r="NLV141" s="34"/>
      <c r="NLW141" s="34"/>
      <c r="NLX141" s="34"/>
      <c r="NLY141" s="34"/>
      <c r="NLZ141" s="34"/>
      <c r="NMA141" s="34"/>
      <c r="NMB141" s="34"/>
      <c r="NMC141" s="34"/>
      <c r="NMD141" s="34"/>
      <c r="NME141" s="34"/>
      <c r="NMF141" s="34"/>
      <c r="NMG141" s="34"/>
      <c r="NMH141" s="34"/>
      <c r="NMI141" s="34"/>
      <c r="NMJ141" s="34"/>
      <c r="NMK141" s="34"/>
      <c r="NML141" s="34"/>
      <c r="NMM141" s="34"/>
      <c r="NMN141" s="34"/>
      <c r="NMO141" s="34"/>
      <c r="NMP141" s="34"/>
      <c r="NMQ141" s="34"/>
      <c r="NMR141" s="34"/>
      <c r="NMS141" s="34"/>
      <c r="NMT141" s="34"/>
      <c r="NMU141" s="34"/>
      <c r="NMV141" s="34"/>
      <c r="NMW141" s="34"/>
      <c r="NMX141" s="34"/>
      <c r="NMY141" s="34"/>
      <c r="NMZ141" s="34"/>
      <c r="NNA141" s="34"/>
      <c r="NNB141" s="34"/>
      <c r="NNC141" s="34"/>
      <c r="NND141" s="34"/>
      <c r="NNE141" s="34"/>
      <c r="NNF141" s="34"/>
      <c r="NNG141" s="34"/>
      <c r="NNH141" s="34"/>
      <c r="NNI141" s="34"/>
      <c r="NNJ141" s="34"/>
      <c r="NNK141" s="34"/>
      <c r="NNL141" s="34"/>
      <c r="NNM141" s="34"/>
      <c r="NNN141" s="34"/>
      <c r="NNO141" s="34"/>
      <c r="NNP141" s="34"/>
      <c r="NNQ141" s="34"/>
      <c r="NNR141" s="34"/>
      <c r="NNS141" s="34"/>
      <c r="NNT141" s="34"/>
      <c r="NNU141" s="34"/>
      <c r="NNV141" s="34"/>
      <c r="NNW141" s="34"/>
      <c r="NNX141" s="34"/>
      <c r="NNY141" s="34"/>
      <c r="NNZ141" s="34"/>
      <c r="NOA141" s="34"/>
      <c r="NOB141" s="34"/>
      <c r="NOC141" s="34"/>
      <c r="NOD141" s="34"/>
      <c r="NOE141" s="34"/>
      <c r="NOF141" s="34"/>
      <c r="NOG141" s="34"/>
      <c r="NOH141" s="34"/>
      <c r="NOI141" s="34"/>
      <c r="NOJ141" s="34"/>
      <c r="NOK141" s="34"/>
      <c r="NOL141" s="34"/>
      <c r="NOM141" s="34"/>
      <c r="NON141" s="34"/>
      <c r="NOO141" s="34"/>
      <c r="NOP141" s="34"/>
      <c r="NOQ141" s="34"/>
      <c r="NOR141" s="34"/>
      <c r="NOS141" s="34"/>
      <c r="NOT141" s="34"/>
      <c r="NOU141" s="34"/>
      <c r="NOV141" s="34"/>
      <c r="NOW141" s="34"/>
      <c r="NOX141" s="34"/>
      <c r="NOY141" s="34"/>
      <c r="NOZ141" s="34"/>
      <c r="NPA141" s="34"/>
      <c r="NPB141" s="34"/>
      <c r="NPC141" s="34"/>
      <c r="NPD141" s="34"/>
      <c r="NPE141" s="34"/>
      <c r="NPF141" s="34"/>
      <c r="NPG141" s="34"/>
      <c r="NPH141" s="34"/>
      <c r="NPI141" s="34"/>
      <c r="NPJ141" s="34"/>
      <c r="NPK141" s="34"/>
      <c r="NPL141" s="34"/>
      <c r="NPM141" s="34"/>
      <c r="NPN141" s="34"/>
      <c r="NPO141" s="34"/>
      <c r="NPP141" s="34"/>
      <c r="NPQ141" s="34"/>
      <c r="NPR141" s="34"/>
      <c r="NPS141" s="34"/>
      <c r="NPT141" s="34"/>
      <c r="NPU141" s="34"/>
      <c r="NPV141" s="34"/>
      <c r="NPW141" s="34"/>
      <c r="NPX141" s="34"/>
      <c r="NPY141" s="34"/>
      <c r="NPZ141" s="34"/>
      <c r="NQA141" s="34"/>
      <c r="NQB141" s="34"/>
      <c r="NQC141" s="34"/>
      <c r="NQD141" s="34"/>
      <c r="NQE141" s="34"/>
      <c r="NQF141" s="34"/>
      <c r="NQG141" s="34"/>
      <c r="NQH141" s="34"/>
      <c r="NQI141" s="34"/>
      <c r="NQJ141" s="34"/>
      <c r="NQK141" s="34"/>
      <c r="NQL141" s="34"/>
      <c r="NQM141" s="34"/>
      <c r="NQN141" s="34"/>
      <c r="NQO141" s="34"/>
      <c r="NQP141" s="34"/>
      <c r="NQQ141" s="34"/>
      <c r="NQR141" s="34"/>
      <c r="NQS141" s="34"/>
      <c r="NQT141" s="34"/>
      <c r="NQU141" s="34"/>
      <c r="NQV141" s="34"/>
      <c r="NQW141" s="34"/>
      <c r="NQX141" s="34"/>
      <c r="NQY141" s="34"/>
      <c r="NQZ141" s="34"/>
      <c r="NRA141" s="34"/>
      <c r="NRB141" s="34"/>
      <c r="NRC141" s="34"/>
      <c r="NRD141" s="34"/>
      <c r="NRE141" s="34"/>
      <c r="NRF141" s="34"/>
      <c r="NRG141" s="34"/>
      <c r="NRH141" s="34"/>
      <c r="NRI141" s="34"/>
      <c r="NRJ141" s="34"/>
      <c r="NRK141" s="34"/>
      <c r="NRL141" s="34"/>
      <c r="NRM141" s="34"/>
      <c r="NRN141" s="34"/>
      <c r="NRO141" s="34"/>
      <c r="NRP141" s="34"/>
      <c r="NRQ141" s="34"/>
      <c r="NRR141" s="34"/>
      <c r="NRS141" s="34"/>
      <c r="NRT141" s="34"/>
      <c r="NRU141" s="34"/>
      <c r="NRV141" s="34"/>
      <c r="NRW141" s="34"/>
      <c r="NRX141" s="34"/>
      <c r="NRY141" s="34"/>
      <c r="NRZ141" s="34"/>
      <c r="NSA141" s="34"/>
      <c r="NSB141" s="34"/>
      <c r="NSC141" s="34"/>
      <c r="NSD141" s="34"/>
      <c r="NSE141" s="34"/>
      <c r="NSF141" s="34"/>
      <c r="NSG141" s="34"/>
      <c r="NSH141" s="34"/>
      <c r="NSI141" s="34"/>
      <c r="NSJ141" s="34"/>
      <c r="NSK141" s="34"/>
      <c r="NSL141" s="34"/>
      <c r="NSM141" s="34"/>
      <c r="NSN141" s="34"/>
      <c r="NSO141" s="34"/>
      <c r="NSP141" s="34"/>
      <c r="NSQ141" s="34"/>
      <c r="NSR141" s="34"/>
      <c r="NSS141" s="34"/>
      <c r="NST141" s="34"/>
      <c r="NSU141" s="34"/>
      <c r="NSV141" s="34"/>
      <c r="NSW141" s="34"/>
      <c r="NSX141" s="34"/>
      <c r="NSY141" s="34"/>
      <c r="NSZ141" s="34"/>
      <c r="NTA141" s="34"/>
      <c r="NTB141" s="34"/>
      <c r="NTC141" s="34"/>
      <c r="NTD141" s="34"/>
      <c r="NTE141" s="34"/>
      <c r="NTF141" s="34"/>
      <c r="NTG141" s="34"/>
      <c r="NTH141" s="34"/>
      <c r="NTI141" s="34"/>
      <c r="NTJ141" s="34"/>
      <c r="NTK141" s="34"/>
      <c r="NTL141" s="34"/>
      <c r="NTM141" s="34"/>
      <c r="NTN141" s="34"/>
      <c r="NTO141" s="34"/>
      <c r="NTP141" s="34"/>
      <c r="NTQ141" s="34"/>
      <c r="NTR141" s="34"/>
      <c r="NTS141" s="34"/>
      <c r="NTT141" s="34"/>
      <c r="NTU141" s="34"/>
      <c r="NTV141" s="34"/>
      <c r="NTW141" s="34"/>
      <c r="NTX141" s="34"/>
      <c r="NTY141" s="34"/>
      <c r="NTZ141" s="34"/>
      <c r="NUA141" s="34"/>
      <c r="NUB141" s="34"/>
      <c r="NUC141" s="34"/>
      <c r="NUD141" s="34"/>
      <c r="NUE141" s="34"/>
      <c r="NUF141" s="34"/>
      <c r="NUG141" s="34"/>
      <c r="NUH141" s="34"/>
      <c r="NUI141" s="34"/>
      <c r="NUJ141" s="34"/>
      <c r="NUK141" s="34"/>
      <c r="NUL141" s="34"/>
      <c r="NUM141" s="34"/>
      <c r="NUN141" s="34"/>
      <c r="NUO141" s="34"/>
      <c r="NUP141" s="34"/>
      <c r="NUQ141" s="34"/>
      <c r="NUR141" s="34"/>
      <c r="NUS141" s="34"/>
      <c r="NUT141" s="34"/>
      <c r="NUU141" s="34"/>
      <c r="NUV141" s="34"/>
      <c r="NUW141" s="34"/>
      <c r="NUX141" s="34"/>
      <c r="NUY141" s="34"/>
      <c r="NUZ141" s="34"/>
      <c r="NVA141" s="34"/>
      <c r="NVB141" s="34"/>
      <c r="NVC141" s="34"/>
      <c r="NVD141" s="34"/>
      <c r="NVE141" s="34"/>
      <c r="NVF141" s="34"/>
      <c r="NVG141" s="34"/>
      <c r="NVH141" s="34"/>
      <c r="NVI141" s="34"/>
      <c r="NVJ141" s="34"/>
      <c r="NVK141" s="34"/>
      <c r="NVL141" s="34"/>
      <c r="NVM141" s="34"/>
      <c r="NVN141" s="34"/>
      <c r="NVO141" s="34"/>
      <c r="NVP141" s="34"/>
      <c r="NVQ141" s="34"/>
      <c r="NVR141" s="34"/>
      <c r="NVS141" s="34"/>
      <c r="NVT141" s="34"/>
      <c r="NVU141" s="34"/>
      <c r="NVV141" s="34"/>
      <c r="NVW141" s="34"/>
      <c r="NVX141" s="34"/>
      <c r="NVY141" s="34"/>
      <c r="NVZ141" s="34"/>
      <c r="NWA141" s="34"/>
      <c r="NWB141" s="34"/>
      <c r="NWC141" s="34"/>
      <c r="NWD141" s="34"/>
      <c r="NWE141" s="34"/>
      <c r="NWF141" s="34"/>
      <c r="NWG141" s="34"/>
      <c r="NWH141" s="34"/>
      <c r="NWI141" s="34"/>
      <c r="NWJ141" s="34"/>
      <c r="NWK141" s="34"/>
      <c r="NWL141" s="34"/>
      <c r="NWM141" s="34"/>
      <c r="NWN141" s="34"/>
      <c r="NWO141" s="34"/>
      <c r="NWP141" s="34"/>
      <c r="NWQ141" s="34"/>
      <c r="NWR141" s="34"/>
      <c r="NWS141" s="34"/>
      <c r="NWT141" s="34"/>
      <c r="NWU141" s="34"/>
      <c r="NWV141" s="34"/>
      <c r="NWW141" s="34"/>
      <c r="NWX141" s="34"/>
      <c r="NWY141" s="34"/>
      <c r="NWZ141" s="34"/>
      <c r="NXA141" s="34"/>
      <c r="NXB141" s="34"/>
      <c r="NXC141" s="34"/>
      <c r="NXD141" s="34"/>
      <c r="NXE141" s="34"/>
      <c r="NXF141" s="34"/>
      <c r="NXG141" s="34"/>
      <c r="NXH141" s="34"/>
      <c r="NXI141" s="34"/>
      <c r="NXJ141" s="34"/>
      <c r="NXK141" s="34"/>
      <c r="NXL141" s="34"/>
      <c r="NXM141" s="34"/>
      <c r="NXN141" s="34"/>
      <c r="NXO141" s="34"/>
      <c r="NXP141" s="34"/>
      <c r="NXQ141" s="34"/>
      <c r="NXR141" s="34"/>
      <c r="NXS141" s="34"/>
      <c r="NXT141" s="34"/>
      <c r="NXU141" s="34"/>
      <c r="NXV141" s="34"/>
      <c r="NXW141" s="34"/>
      <c r="NXX141" s="34"/>
      <c r="NXY141" s="34"/>
      <c r="NXZ141" s="34"/>
      <c r="NYA141" s="34"/>
      <c r="NYB141" s="34"/>
      <c r="NYC141" s="34"/>
      <c r="NYD141" s="34"/>
      <c r="NYE141" s="34"/>
      <c r="NYF141" s="34"/>
      <c r="NYG141" s="34"/>
      <c r="NYH141" s="34"/>
      <c r="NYI141" s="34"/>
      <c r="NYJ141" s="34"/>
      <c r="NYK141" s="34"/>
      <c r="NYL141" s="34"/>
      <c r="NYM141" s="34"/>
      <c r="NYN141" s="34"/>
      <c r="NYO141" s="34"/>
      <c r="NYP141" s="34"/>
      <c r="NYQ141" s="34"/>
      <c r="NYR141" s="34"/>
      <c r="NYS141" s="34"/>
      <c r="NYT141" s="34"/>
      <c r="NYU141" s="34"/>
      <c r="NYV141" s="34"/>
      <c r="NYW141" s="34"/>
      <c r="NYX141" s="34"/>
      <c r="NYY141" s="34"/>
      <c r="NYZ141" s="34"/>
      <c r="NZA141" s="34"/>
      <c r="NZB141" s="34"/>
      <c r="NZC141" s="34"/>
      <c r="NZD141" s="34"/>
      <c r="NZE141" s="34"/>
      <c r="NZF141" s="34"/>
      <c r="NZG141" s="34"/>
      <c r="NZH141" s="34"/>
      <c r="NZI141" s="34"/>
      <c r="NZJ141" s="34"/>
      <c r="NZK141" s="34"/>
      <c r="NZL141" s="34"/>
      <c r="NZM141" s="34"/>
      <c r="NZN141" s="34"/>
      <c r="NZO141" s="34"/>
      <c r="NZP141" s="34"/>
      <c r="NZQ141" s="34"/>
      <c r="NZR141" s="34"/>
      <c r="NZS141" s="34"/>
      <c r="NZT141" s="34"/>
      <c r="NZU141" s="34"/>
      <c r="NZV141" s="34"/>
      <c r="NZW141" s="34"/>
      <c r="NZX141" s="34"/>
      <c r="NZY141" s="34"/>
      <c r="NZZ141" s="34"/>
      <c r="OAA141" s="34"/>
      <c r="OAB141" s="34"/>
      <c r="OAC141" s="34"/>
      <c r="OAD141" s="34"/>
      <c r="OAE141" s="34"/>
      <c r="OAF141" s="34"/>
      <c r="OAG141" s="34"/>
      <c r="OAH141" s="34"/>
      <c r="OAI141" s="34"/>
      <c r="OAJ141" s="34"/>
      <c r="OAK141" s="34"/>
      <c r="OAL141" s="34"/>
      <c r="OAM141" s="34"/>
      <c r="OAN141" s="34"/>
      <c r="OAO141" s="34"/>
      <c r="OAP141" s="34"/>
      <c r="OAQ141" s="34"/>
      <c r="OAR141" s="34"/>
      <c r="OAS141" s="34"/>
      <c r="OAT141" s="34"/>
      <c r="OAU141" s="34"/>
      <c r="OAV141" s="34"/>
      <c r="OAW141" s="34"/>
      <c r="OAX141" s="34"/>
      <c r="OAY141" s="34"/>
      <c r="OAZ141" s="34"/>
      <c r="OBA141" s="34"/>
      <c r="OBB141" s="34"/>
      <c r="OBC141" s="34"/>
      <c r="OBD141" s="34"/>
      <c r="OBE141" s="34"/>
      <c r="OBF141" s="34"/>
      <c r="OBG141" s="34"/>
      <c r="OBH141" s="34"/>
      <c r="OBI141" s="34"/>
      <c r="OBJ141" s="34"/>
      <c r="OBK141" s="34"/>
      <c r="OBL141" s="34"/>
      <c r="OBM141" s="34"/>
      <c r="OBN141" s="34"/>
      <c r="OBO141" s="34"/>
      <c r="OBP141" s="34"/>
      <c r="OBQ141" s="34"/>
      <c r="OBR141" s="34"/>
      <c r="OBS141" s="34"/>
      <c r="OBT141" s="34"/>
      <c r="OBU141" s="34"/>
      <c r="OBV141" s="34"/>
      <c r="OBW141" s="34"/>
      <c r="OBX141" s="34"/>
      <c r="OBY141" s="34"/>
      <c r="OBZ141" s="34"/>
      <c r="OCA141" s="34"/>
      <c r="OCB141" s="34"/>
      <c r="OCC141" s="34"/>
      <c r="OCD141" s="34"/>
      <c r="OCE141" s="34"/>
      <c r="OCF141" s="34"/>
      <c r="OCG141" s="34"/>
      <c r="OCH141" s="34"/>
      <c r="OCI141" s="34"/>
      <c r="OCJ141" s="34"/>
      <c r="OCK141" s="34"/>
      <c r="OCL141" s="34"/>
      <c r="OCM141" s="34"/>
      <c r="OCN141" s="34"/>
      <c r="OCO141" s="34"/>
      <c r="OCP141" s="34"/>
      <c r="OCQ141" s="34"/>
      <c r="OCR141" s="34"/>
      <c r="OCS141" s="34"/>
      <c r="OCT141" s="34"/>
      <c r="OCU141" s="34"/>
      <c r="OCV141" s="34"/>
      <c r="OCW141" s="34"/>
      <c r="OCX141" s="34"/>
      <c r="OCY141" s="34"/>
      <c r="OCZ141" s="34"/>
      <c r="ODA141" s="34"/>
      <c r="ODB141" s="34"/>
      <c r="ODC141" s="34"/>
      <c r="ODD141" s="34"/>
      <c r="ODE141" s="34"/>
      <c r="ODF141" s="34"/>
      <c r="ODG141" s="34"/>
      <c r="ODH141" s="34"/>
      <c r="ODI141" s="34"/>
      <c r="ODJ141" s="34"/>
      <c r="ODK141" s="34"/>
      <c r="ODL141" s="34"/>
      <c r="ODM141" s="34"/>
      <c r="ODN141" s="34"/>
      <c r="ODO141" s="34"/>
      <c r="ODP141" s="34"/>
      <c r="ODQ141" s="34"/>
      <c r="ODR141" s="34"/>
      <c r="ODS141" s="34"/>
      <c r="ODT141" s="34"/>
      <c r="ODU141" s="34"/>
      <c r="ODV141" s="34"/>
      <c r="ODW141" s="34"/>
      <c r="ODX141" s="34"/>
      <c r="ODY141" s="34"/>
      <c r="ODZ141" s="34"/>
      <c r="OEA141" s="34"/>
      <c r="OEB141" s="34"/>
      <c r="OEC141" s="34"/>
      <c r="OED141" s="34"/>
      <c r="OEE141" s="34"/>
      <c r="OEF141" s="34"/>
      <c r="OEG141" s="34"/>
      <c r="OEH141" s="34"/>
      <c r="OEI141" s="34"/>
      <c r="OEJ141" s="34"/>
      <c r="OEK141" s="34"/>
      <c r="OEL141" s="34"/>
      <c r="OEM141" s="34"/>
      <c r="OEN141" s="34"/>
      <c r="OEO141" s="34"/>
      <c r="OEP141" s="34"/>
      <c r="OEQ141" s="34"/>
      <c r="OER141" s="34"/>
      <c r="OES141" s="34"/>
      <c r="OET141" s="34"/>
      <c r="OEU141" s="34"/>
      <c r="OEV141" s="34"/>
      <c r="OEW141" s="34"/>
      <c r="OEX141" s="34"/>
      <c r="OEY141" s="34"/>
      <c r="OEZ141" s="34"/>
      <c r="OFA141" s="34"/>
      <c r="OFB141" s="34"/>
      <c r="OFC141" s="34"/>
      <c r="OFD141" s="34"/>
      <c r="OFE141" s="34"/>
      <c r="OFF141" s="34"/>
      <c r="OFG141" s="34"/>
      <c r="OFH141" s="34"/>
      <c r="OFI141" s="34"/>
      <c r="OFJ141" s="34"/>
      <c r="OFK141" s="34"/>
      <c r="OFL141" s="34"/>
      <c r="OFM141" s="34"/>
      <c r="OFN141" s="34"/>
      <c r="OFO141" s="34"/>
      <c r="OFP141" s="34"/>
      <c r="OFQ141" s="34"/>
      <c r="OFR141" s="34"/>
      <c r="OFS141" s="34"/>
      <c r="OFT141" s="34"/>
      <c r="OFU141" s="34"/>
      <c r="OFV141" s="34"/>
      <c r="OFW141" s="34"/>
      <c r="OFX141" s="34"/>
      <c r="OFY141" s="34"/>
      <c r="OFZ141" s="34"/>
      <c r="OGA141" s="34"/>
      <c r="OGB141" s="34"/>
      <c r="OGC141" s="34"/>
      <c r="OGD141" s="34"/>
      <c r="OGE141" s="34"/>
      <c r="OGF141" s="34"/>
      <c r="OGG141" s="34"/>
      <c r="OGH141" s="34"/>
      <c r="OGI141" s="34"/>
      <c r="OGJ141" s="34"/>
      <c r="OGK141" s="34"/>
      <c r="OGL141" s="34"/>
      <c r="OGM141" s="34"/>
      <c r="OGN141" s="34"/>
      <c r="OGO141" s="34"/>
      <c r="OGP141" s="34"/>
      <c r="OGQ141" s="34"/>
      <c r="OGR141" s="34"/>
      <c r="OGS141" s="34"/>
      <c r="OGT141" s="34"/>
      <c r="OGU141" s="34"/>
      <c r="OGV141" s="34"/>
      <c r="OGW141" s="34"/>
      <c r="OGX141" s="34"/>
      <c r="OGY141" s="34"/>
      <c r="OGZ141" s="34"/>
      <c r="OHA141" s="34"/>
      <c r="OHB141" s="34"/>
      <c r="OHC141" s="34"/>
      <c r="OHD141" s="34"/>
      <c r="OHE141" s="34"/>
      <c r="OHF141" s="34"/>
      <c r="OHG141" s="34"/>
      <c r="OHH141" s="34"/>
      <c r="OHI141" s="34"/>
      <c r="OHJ141" s="34"/>
      <c r="OHK141" s="34"/>
      <c r="OHL141" s="34"/>
      <c r="OHM141" s="34"/>
      <c r="OHN141" s="34"/>
      <c r="OHO141" s="34"/>
      <c r="OHP141" s="34"/>
      <c r="OHQ141" s="34"/>
      <c r="OHR141" s="34"/>
      <c r="OHS141" s="34"/>
      <c r="OHT141" s="34"/>
      <c r="OHU141" s="34"/>
      <c r="OHV141" s="34"/>
      <c r="OHW141" s="34"/>
      <c r="OHX141" s="34"/>
      <c r="OHY141" s="34"/>
      <c r="OHZ141" s="34"/>
      <c r="OIA141" s="34"/>
      <c r="OIB141" s="34"/>
      <c r="OIC141" s="34"/>
      <c r="OID141" s="34"/>
      <c r="OIE141" s="34"/>
      <c r="OIF141" s="34"/>
      <c r="OIG141" s="34"/>
      <c r="OIH141" s="34"/>
      <c r="OII141" s="34"/>
      <c r="OIJ141" s="34"/>
      <c r="OIK141" s="34"/>
      <c r="OIL141" s="34"/>
      <c r="OIM141" s="34"/>
      <c r="OIN141" s="34"/>
      <c r="OIO141" s="34"/>
      <c r="OIP141" s="34"/>
      <c r="OIQ141" s="34"/>
      <c r="OIR141" s="34"/>
      <c r="OIS141" s="34"/>
      <c r="OIT141" s="34"/>
      <c r="OIU141" s="34"/>
      <c r="OIV141" s="34"/>
      <c r="OIW141" s="34"/>
      <c r="OIX141" s="34"/>
      <c r="OIY141" s="34"/>
      <c r="OIZ141" s="34"/>
      <c r="OJA141" s="34"/>
      <c r="OJB141" s="34"/>
      <c r="OJC141" s="34"/>
      <c r="OJD141" s="34"/>
      <c r="OJE141" s="34"/>
      <c r="OJF141" s="34"/>
      <c r="OJG141" s="34"/>
      <c r="OJH141" s="34"/>
      <c r="OJI141" s="34"/>
      <c r="OJJ141" s="34"/>
      <c r="OJK141" s="34"/>
      <c r="OJL141" s="34"/>
      <c r="OJM141" s="34"/>
      <c r="OJN141" s="34"/>
      <c r="OJO141" s="34"/>
      <c r="OJP141" s="34"/>
      <c r="OJQ141" s="34"/>
      <c r="OJR141" s="34"/>
      <c r="OJS141" s="34"/>
      <c r="OJT141" s="34"/>
      <c r="OJU141" s="34"/>
      <c r="OJV141" s="34"/>
      <c r="OJW141" s="34"/>
      <c r="OJX141" s="34"/>
      <c r="OJY141" s="34"/>
      <c r="OJZ141" s="34"/>
      <c r="OKA141" s="34"/>
      <c r="OKB141" s="34"/>
      <c r="OKC141" s="34"/>
      <c r="OKD141" s="34"/>
      <c r="OKE141" s="34"/>
      <c r="OKF141" s="34"/>
      <c r="OKG141" s="34"/>
      <c r="OKH141" s="34"/>
      <c r="OKI141" s="34"/>
      <c r="OKJ141" s="34"/>
      <c r="OKK141" s="34"/>
      <c r="OKL141" s="34"/>
      <c r="OKM141" s="34"/>
      <c r="OKN141" s="34"/>
      <c r="OKO141" s="34"/>
      <c r="OKP141" s="34"/>
      <c r="OKQ141" s="34"/>
      <c r="OKR141" s="34"/>
      <c r="OKS141" s="34"/>
      <c r="OKT141" s="34"/>
      <c r="OKU141" s="34"/>
      <c r="OKV141" s="34"/>
      <c r="OKW141" s="34"/>
      <c r="OKX141" s="34"/>
      <c r="OKY141" s="34"/>
      <c r="OKZ141" s="34"/>
      <c r="OLA141" s="34"/>
      <c r="OLB141" s="34"/>
      <c r="OLC141" s="34"/>
      <c r="OLD141" s="34"/>
      <c r="OLE141" s="34"/>
      <c r="OLF141" s="34"/>
      <c r="OLG141" s="34"/>
      <c r="OLH141" s="34"/>
      <c r="OLI141" s="34"/>
      <c r="OLJ141" s="34"/>
      <c r="OLK141" s="34"/>
      <c r="OLL141" s="34"/>
      <c r="OLM141" s="34"/>
      <c r="OLN141" s="34"/>
      <c r="OLO141" s="34"/>
      <c r="OLP141" s="34"/>
      <c r="OLQ141" s="34"/>
      <c r="OLR141" s="34"/>
      <c r="OLS141" s="34"/>
      <c r="OLT141" s="34"/>
      <c r="OLU141" s="34"/>
      <c r="OLV141" s="34"/>
      <c r="OLW141" s="34"/>
      <c r="OLX141" s="34"/>
      <c r="OLY141" s="34"/>
      <c r="OLZ141" s="34"/>
      <c r="OMA141" s="34"/>
      <c r="OMB141" s="34"/>
      <c r="OMC141" s="34"/>
      <c r="OMD141" s="34"/>
      <c r="OME141" s="34"/>
      <c r="OMF141" s="34"/>
      <c r="OMG141" s="34"/>
      <c r="OMH141" s="34"/>
      <c r="OMI141" s="34"/>
      <c r="OMJ141" s="34"/>
      <c r="OMK141" s="34"/>
      <c r="OML141" s="34"/>
      <c r="OMM141" s="34"/>
      <c r="OMN141" s="34"/>
      <c r="OMO141" s="34"/>
      <c r="OMP141" s="34"/>
      <c r="OMQ141" s="34"/>
      <c r="OMR141" s="34"/>
      <c r="OMS141" s="34"/>
      <c r="OMT141" s="34"/>
      <c r="OMU141" s="34"/>
      <c r="OMV141" s="34"/>
      <c r="OMW141" s="34"/>
      <c r="OMX141" s="34"/>
      <c r="OMY141" s="34"/>
      <c r="OMZ141" s="34"/>
      <c r="ONA141" s="34"/>
      <c r="ONB141" s="34"/>
      <c r="ONC141" s="34"/>
      <c r="OND141" s="34"/>
      <c r="ONE141" s="34"/>
      <c r="ONF141" s="34"/>
      <c r="ONG141" s="34"/>
      <c r="ONH141" s="34"/>
      <c r="ONI141" s="34"/>
      <c r="ONJ141" s="34"/>
      <c r="ONK141" s="34"/>
      <c r="ONL141" s="34"/>
      <c r="ONM141" s="34"/>
      <c r="ONN141" s="34"/>
      <c r="ONO141" s="34"/>
      <c r="ONP141" s="34"/>
      <c r="ONQ141" s="34"/>
      <c r="ONR141" s="34"/>
      <c r="ONS141" s="34"/>
      <c r="ONT141" s="34"/>
      <c r="ONU141" s="34"/>
      <c r="ONV141" s="34"/>
      <c r="ONW141" s="34"/>
      <c r="ONX141" s="34"/>
      <c r="ONY141" s="34"/>
      <c r="ONZ141" s="34"/>
      <c r="OOA141" s="34"/>
      <c r="OOB141" s="34"/>
      <c r="OOC141" s="34"/>
      <c r="OOD141" s="34"/>
      <c r="OOE141" s="34"/>
      <c r="OOF141" s="34"/>
      <c r="OOG141" s="34"/>
      <c r="OOH141" s="34"/>
      <c r="OOI141" s="34"/>
      <c r="OOJ141" s="34"/>
      <c r="OOK141" s="34"/>
      <c r="OOL141" s="34"/>
      <c r="OOM141" s="34"/>
      <c r="OON141" s="34"/>
      <c r="OOO141" s="34"/>
      <c r="OOP141" s="34"/>
      <c r="OOQ141" s="34"/>
      <c r="OOR141" s="34"/>
      <c r="OOS141" s="34"/>
      <c r="OOT141" s="34"/>
      <c r="OOU141" s="34"/>
      <c r="OOV141" s="34"/>
      <c r="OOW141" s="34"/>
      <c r="OOX141" s="34"/>
      <c r="OOY141" s="34"/>
      <c r="OOZ141" s="34"/>
      <c r="OPA141" s="34"/>
      <c r="OPB141" s="34"/>
      <c r="OPC141" s="34"/>
      <c r="OPD141" s="34"/>
      <c r="OPE141" s="34"/>
      <c r="OPF141" s="34"/>
      <c r="OPG141" s="34"/>
      <c r="OPH141" s="34"/>
      <c r="OPI141" s="34"/>
      <c r="OPJ141" s="34"/>
      <c r="OPK141" s="34"/>
      <c r="OPL141" s="34"/>
      <c r="OPM141" s="34"/>
      <c r="OPN141" s="34"/>
      <c r="OPO141" s="34"/>
      <c r="OPP141" s="34"/>
      <c r="OPQ141" s="34"/>
      <c r="OPR141" s="34"/>
      <c r="OPS141" s="34"/>
      <c r="OPT141" s="34"/>
      <c r="OPU141" s="34"/>
      <c r="OPV141" s="34"/>
      <c r="OPW141" s="34"/>
      <c r="OPX141" s="34"/>
      <c r="OPY141" s="34"/>
      <c r="OPZ141" s="34"/>
      <c r="OQA141" s="34"/>
      <c r="OQB141" s="34"/>
      <c r="OQC141" s="34"/>
      <c r="OQD141" s="34"/>
      <c r="OQE141" s="34"/>
      <c r="OQF141" s="34"/>
      <c r="OQG141" s="34"/>
      <c r="OQH141" s="34"/>
      <c r="OQI141" s="34"/>
      <c r="OQJ141" s="34"/>
      <c r="OQK141" s="34"/>
      <c r="OQL141" s="34"/>
      <c r="OQM141" s="34"/>
      <c r="OQN141" s="34"/>
      <c r="OQO141" s="34"/>
      <c r="OQP141" s="34"/>
      <c r="OQQ141" s="34"/>
      <c r="OQR141" s="34"/>
      <c r="OQS141" s="34"/>
      <c r="OQT141" s="34"/>
      <c r="OQU141" s="34"/>
      <c r="OQV141" s="34"/>
      <c r="OQW141" s="34"/>
      <c r="OQX141" s="34"/>
      <c r="OQY141" s="34"/>
      <c r="OQZ141" s="34"/>
      <c r="ORA141" s="34"/>
      <c r="ORB141" s="34"/>
      <c r="ORC141" s="34"/>
      <c r="ORD141" s="34"/>
      <c r="ORE141" s="34"/>
      <c r="ORF141" s="34"/>
      <c r="ORG141" s="34"/>
      <c r="ORH141" s="34"/>
      <c r="ORI141" s="34"/>
      <c r="ORJ141" s="34"/>
      <c r="ORK141" s="34"/>
      <c r="ORL141" s="34"/>
      <c r="ORM141" s="34"/>
      <c r="ORN141" s="34"/>
      <c r="ORO141" s="34"/>
      <c r="ORP141" s="34"/>
      <c r="ORQ141" s="34"/>
      <c r="ORR141" s="34"/>
      <c r="ORS141" s="34"/>
      <c r="ORT141" s="34"/>
      <c r="ORU141" s="34"/>
      <c r="ORV141" s="34"/>
      <c r="ORW141" s="34"/>
      <c r="ORX141" s="34"/>
      <c r="ORY141" s="34"/>
      <c r="ORZ141" s="34"/>
      <c r="OSA141" s="34"/>
      <c r="OSB141" s="34"/>
      <c r="OSC141" s="34"/>
      <c r="OSD141" s="34"/>
      <c r="OSE141" s="34"/>
      <c r="OSF141" s="34"/>
      <c r="OSG141" s="34"/>
      <c r="OSH141" s="34"/>
      <c r="OSI141" s="34"/>
      <c r="OSJ141" s="34"/>
      <c r="OSK141" s="34"/>
      <c r="OSL141" s="34"/>
      <c r="OSM141" s="34"/>
      <c r="OSN141" s="34"/>
      <c r="OSO141" s="34"/>
      <c r="OSP141" s="34"/>
      <c r="OSQ141" s="34"/>
      <c r="OSR141" s="34"/>
      <c r="OSS141" s="34"/>
      <c r="OST141" s="34"/>
      <c r="OSU141" s="34"/>
      <c r="OSV141" s="34"/>
      <c r="OSW141" s="34"/>
      <c r="OSX141" s="34"/>
      <c r="OSY141" s="34"/>
      <c r="OSZ141" s="34"/>
      <c r="OTA141" s="34"/>
      <c r="OTB141" s="34"/>
      <c r="OTC141" s="34"/>
      <c r="OTD141" s="34"/>
      <c r="OTE141" s="34"/>
      <c r="OTF141" s="34"/>
      <c r="OTG141" s="34"/>
      <c r="OTH141" s="34"/>
      <c r="OTI141" s="34"/>
      <c r="OTJ141" s="34"/>
      <c r="OTK141" s="34"/>
      <c r="OTL141" s="34"/>
      <c r="OTM141" s="34"/>
      <c r="OTN141" s="34"/>
      <c r="OTO141" s="34"/>
      <c r="OTP141" s="34"/>
      <c r="OTQ141" s="34"/>
      <c r="OTR141" s="34"/>
      <c r="OTS141" s="34"/>
      <c r="OTT141" s="34"/>
      <c r="OTU141" s="34"/>
      <c r="OTV141" s="34"/>
      <c r="OTW141" s="34"/>
      <c r="OTX141" s="34"/>
      <c r="OTY141" s="34"/>
      <c r="OTZ141" s="34"/>
      <c r="OUA141" s="34"/>
      <c r="OUB141" s="34"/>
      <c r="OUC141" s="34"/>
      <c r="OUD141" s="34"/>
      <c r="OUE141" s="34"/>
      <c r="OUF141" s="34"/>
      <c r="OUG141" s="34"/>
      <c r="OUH141" s="34"/>
      <c r="OUI141" s="34"/>
      <c r="OUJ141" s="34"/>
      <c r="OUK141" s="34"/>
      <c r="OUL141" s="34"/>
      <c r="OUM141" s="34"/>
      <c r="OUN141" s="34"/>
      <c r="OUO141" s="34"/>
      <c r="OUP141" s="34"/>
      <c r="OUQ141" s="34"/>
      <c r="OUR141" s="34"/>
      <c r="OUS141" s="34"/>
      <c r="OUT141" s="34"/>
      <c r="OUU141" s="34"/>
      <c r="OUV141" s="34"/>
      <c r="OUW141" s="34"/>
      <c r="OUX141" s="34"/>
      <c r="OUY141" s="34"/>
      <c r="OUZ141" s="34"/>
      <c r="OVA141" s="34"/>
      <c r="OVB141" s="34"/>
      <c r="OVC141" s="34"/>
      <c r="OVD141" s="34"/>
      <c r="OVE141" s="34"/>
      <c r="OVF141" s="34"/>
      <c r="OVG141" s="34"/>
      <c r="OVH141" s="34"/>
      <c r="OVI141" s="34"/>
      <c r="OVJ141" s="34"/>
      <c r="OVK141" s="34"/>
      <c r="OVL141" s="34"/>
      <c r="OVM141" s="34"/>
      <c r="OVN141" s="34"/>
      <c r="OVO141" s="34"/>
      <c r="OVP141" s="34"/>
      <c r="OVQ141" s="34"/>
      <c r="OVR141" s="34"/>
      <c r="OVS141" s="34"/>
      <c r="OVT141" s="34"/>
      <c r="OVU141" s="34"/>
      <c r="OVV141" s="34"/>
      <c r="OVW141" s="34"/>
      <c r="OVX141" s="34"/>
      <c r="OVY141" s="34"/>
      <c r="OVZ141" s="34"/>
      <c r="OWA141" s="34"/>
      <c r="OWB141" s="34"/>
      <c r="OWC141" s="34"/>
      <c r="OWD141" s="34"/>
      <c r="OWE141" s="34"/>
      <c r="OWF141" s="34"/>
      <c r="OWG141" s="34"/>
      <c r="OWH141" s="34"/>
      <c r="OWI141" s="34"/>
      <c r="OWJ141" s="34"/>
      <c r="OWK141" s="34"/>
      <c r="OWL141" s="34"/>
      <c r="OWM141" s="34"/>
      <c r="OWN141" s="34"/>
      <c r="OWO141" s="34"/>
      <c r="OWP141" s="34"/>
      <c r="OWQ141" s="34"/>
      <c r="OWR141" s="34"/>
      <c r="OWS141" s="34"/>
      <c r="OWT141" s="34"/>
      <c r="OWU141" s="34"/>
      <c r="OWV141" s="34"/>
      <c r="OWW141" s="34"/>
      <c r="OWX141" s="34"/>
      <c r="OWY141" s="34"/>
      <c r="OWZ141" s="34"/>
      <c r="OXA141" s="34"/>
      <c r="OXB141" s="34"/>
      <c r="OXC141" s="34"/>
      <c r="OXD141" s="34"/>
      <c r="OXE141" s="34"/>
      <c r="OXF141" s="34"/>
      <c r="OXG141" s="34"/>
      <c r="OXH141" s="34"/>
      <c r="OXI141" s="34"/>
      <c r="OXJ141" s="34"/>
      <c r="OXK141" s="34"/>
      <c r="OXL141" s="34"/>
      <c r="OXM141" s="34"/>
      <c r="OXN141" s="34"/>
      <c r="OXO141" s="34"/>
      <c r="OXP141" s="34"/>
      <c r="OXQ141" s="34"/>
      <c r="OXR141" s="34"/>
      <c r="OXS141" s="34"/>
      <c r="OXT141" s="34"/>
      <c r="OXU141" s="34"/>
      <c r="OXV141" s="34"/>
      <c r="OXW141" s="34"/>
      <c r="OXX141" s="34"/>
      <c r="OXY141" s="34"/>
      <c r="OXZ141" s="34"/>
      <c r="OYA141" s="34"/>
      <c r="OYB141" s="34"/>
      <c r="OYC141" s="34"/>
      <c r="OYD141" s="34"/>
      <c r="OYE141" s="34"/>
      <c r="OYF141" s="34"/>
      <c r="OYG141" s="34"/>
      <c r="OYH141" s="34"/>
      <c r="OYI141" s="34"/>
      <c r="OYJ141" s="34"/>
      <c r="OYK141" s="34"/>
      <c r="OYL141" s="34"/>
      <c r="OYM141" s="34"/>
      <c r="OYN141" s="34"/>
      <c r="OYO141" s="34"/>
      <c r="OYP141" s="34"/>
      <c r="OYQ141" s="34"/>
      <c r="OYR141" s="34"/>
      <c r="OYS141" s="34"/>
      <c r="OYT141" s="34"/>
      <c r="OYU141" s="34"/>
      <c r="OYV141" s="34"/>
      <c r="OYW141" s="34"/>
      <c r="OYX141" s="34"/>
      <c r="OYY141" s="34"/>
      <c r="OYZ141" s="34"/>
      <c r="OZA141" s="34"/>
      <c r="OZB141" s="34"/>
      <c r="OZC141" s="34"/>
      <c r="OZD141" s="34"/>
      <c r="OZE141" s="34"/>
      <c r="OZF141" s="34"/>
      <c r="OZG141" s="34"/>
      <c r="OZH141" s="34"/>
      <c r="OZI141" s="34"/>
      <c r="OZJ141" s="34"/>
      <c r="OZK141" s="34"/>
      <c r="OZL141" s="34"/>
      <c r="OZM141" s="34"/>
      <c r="OZN141" s="34"/>
      <c r="OZO141" s="34"/>
      <c r="OZP141" s="34"/>
      <c r="OZQ141" s="34"/>
      <c r="OZR141" s="34"/>
      <c r="OZS141" s="34"/>
      <c r="OZT141" s="34"/>
      <c r="OZU141" s="34"/>
      <c r="OZV141" s="34"/>
      <c r="OZW141" s="34"/>
      <c r="OZX141" s="34"/>
      <c r="OZY141" s="34"/>
      <c r="OZZ141" s="34"/>
      <c r="PAA141" s="34"/>
      <c r="PAB141" s="34"/>
      <c r="PAC141" s="34"/>
      <c r="PAD141" s="34"/>
      <c r="PAE141" s="34"/>
      <c r="PAF141" s="34"/>
      <c r="PAG141" s="34"/>
      <c r="PAH141" s="34"/>
      <c r="PAI141" s="34"/>
      <c r="PAJ141" s="34"/>
      <c r="PAK141" s="34"/>
      <c r="PAL141" s="34"/>
      <c r="PAM141" s="34"/>
      <c r="PAN141" s="34"/>
      <c r="PAO141" s="34"/>
      <c r="PAP141" s="34"/>
      <c r="PAQ141" s="34"/>
      <c r="PAR141" s="34"/>
      <c r="PAS141" s="34"/>
      <c r="PAT141" s="34"/>
      <c r="PAU141" s="34"/>
      <c r="PAV141" s="34"/>
      <c r="PAW141" s="34"/>
      <c r="PAX141" s="34"/>
      <c r="PAY141" s="34"/>
      <c r="PAZ141" s="34"/>
      <c r="PBA141" s="34"/>
      <c r="PBB141" s="34"/>
      <c r="PBC141" s="34"/>
      <c r="PBD141" s="34"/>
      <c r="PBE141" s="34"/>
      <c r="PBF141" s="34"/>
      <c r="PBG141" s="34"/>
      <c r="PBH141" s="34"/>
      <c r="PBI141" s="34"/>
      <c r="PBJ141" s="34"/>
      <c r="PBK141" s="34"/>
      <c r="PBL141" s="34"/>
      <c r="PBM141" s="34"/>
      <c r="PBN141" s="34"/>
      <c r="PBO141" s="34"/>
      <c r="PBP141" s="34"/>
      <c r="PBQ141" s="34"/>
      <c r="PBR141" s="34"/>
      <c r="PBS141" s="34"/>
      <c r="PBT141" s="34"/>
      <c r="PBU141" s="34"/>
      <c r="PBV141" s="34"/>
      <c r="PBW141" s="34"/>
      <c r="PBX141" s="34"/>
      <c r="PBY141" s="34"/>
      <c r="PBZ141" s="34"/>
      <c r="PCA141" s="34"/>
      <c r="PCB141" s="34"/>
      <c r="PCC141" s="34"/>
      <c r="PCD141" s="34"/>
      <c r="PCE141" s="34"/>
      <c r="PCF141" s="34"/>
      <c r="PCG141" s="34"/>
      <c r="PCH141" s="34"/>
      <c r="PCI141" s="34"/>
      <c r="PCJ141" s="34"/>
      <c r="PCK141" s="34"/>
      <c r="PCL141" s="34"/>
      <c r="PCM141" s="34"/>
      <c r="PCN141" s="34"/>
      <c r="PCO141" s="34"/>
      <c r="PCP141" s="34"/>
      <c r="PCQ141" s="34"/>
      <c r="PCR141" s="34"/>
      <c r="PCS141" s="34"/>
      <c r="PCT141" s="34"/>
      <c r="PCU141" s="34"/>
      <c r="PCV141" s="34"/>
      <c r="PCW141" s="34"/>
      <c r="PCX141" s="34"/>
      <c r="PCY141" s="34"/>
      <c r="PCZ141" s="34"/>
      <c r="PDA141" s="34"/>
      <c r="PDB141" s="34"/>
      <c r="PDC141" s="34"/>
      <c r="PDD141" s="34"/>
      <c r="PDE141" s="34"/>
      <c r="PDF141" s="34"/>
      <c r="PDG141" s="34"/>
      <c r="PDH141" s="34"/>
      <c r="PDI141" s="34"/>
      <c r="PDJ141" s="34"/>
      <c r="PDK141" s="34"/>
      <c r="PDL141" s="34"/>
      <c r="PDM141" s="34"/>
      <c r="PDN141" s="34"/>
      <c r="PDO141" s="34"/>
      <c r="PDP141" s="34"/>
      <c r="PDQ141" s="34"/>
      <c r="PDR141" s="34"/>
      <c r="PDS141" s="34"/>
      <c r="PDT141" s="34"/>
      <c r="PDU141" s="34"/>
      <c r="PDV141" s="34"/>
      <c r="PDW141" s="34"/>
      <c r="PDX141" s="34"/>
      <c r="PDY141" s="34"/>
      <c r="PDZ141" s="34"/>
      <c r="PEA141" s="34"/>
      <c r="PEB141" s="34"/>
      <c r="PEC141" s="34"/>
      <c r="PED141" s="34"/>
      <c r="PEE141" s="34"/>
      <c r="PEF141" s="34"/>
      <c r="PEG141" s="34"/>
      <c r="PEH141" s="34"/>
      <c r="PEI141" s="34"/>
      <c r="PEJ141" s="34"/>
      <c r="PEK141" s="34"/>
      <c r="PEL141" s="34"/>
      <c r="PEM141" s="34"/>
      <c r="PEN141" s="34"/>
      <c r="PEO141" s="34"/>
      <c r="PEP141" s="34"/>
      <c r="PEQ141" s="34"/>
      <c r="PER141" s="34"/>
      <c r="PES141" s="34"/>
      <c r="PET141" s="34"/>
      <c r="PEU141" s="34"/>
      <c r="PEV141" s="34"/>
      <c r="PEW141" s="34"/>
      <c r="PEX141" s="34"/>
      <c r="PEY141" s="34"/>
      <c r="PEZ141" s="34"/>
      <c r="PFA141" s="34"/>
      <c r="PFB141" s="34"/>
      <c r="PFC141" s="34"/>
      <c r="PFD141" s="34"/>
      <c r="PFE141" s="34"/>
      <c r="PFF141" s="34"/>
      <c r="PFG141" s="34"/>
      <c r="PFH141" s="34"/>
      <c r="PFI141" s="34"/>
      <c r="PFJ141" s="34"/>
      <c r="PFK141" s="34"/>
      <c r="PFL141" s="34"/>
      <c r="PFM141" s="34"/>
      <c r="PFN141" s="34"/>
      <c r="PFO141" s="34"/>
      <c r="PFP141" s="34"/>
      <c r="PFQ141" s="34"/>
      <c r="PFR141" s="34"/>
      <c r="PFS141" s="34"/>
      <c r="PFT141" s="34"/>
      <c r="PFU141" s="34"/>
      <c r="PFV141" s="34"/>
      <c r="PFW141" s="34"/>
      <c r="PFX141" s="34"/>
      <c r="PFY141" s="34"/>
      <c r="PFZ141" s="34"/>
      <c r="PGA141" s="34"/>
      <c r="PGB141" s="34"/>
      <c r="PGC141" s="34"/>
      <c r="PGD141" s="34"/>
      <c r="PGE141" s="34"/>
      <c r="PGF141" s="34"/>
      <c r="PGG141" s="34"/>
      <c r="PGH141" s="34"/>
      <c r="PGI141" s="34"/>
      <c r="PGJ141" s="34"/>
      <c r="PGK141" s="34"/>
      <c r="PGL141" s="34"/>
      <c r="PGM141" s="34"/>
      <c r="PGN141" s="34"/>
      <c r="PGO141" s="34"/>
      <c r="PGP141" s="34"/>
      <c r="PGQ141" s="34"/>
      <c r="PGR141" s="34"/>
      <c r="PGS141" s="34"/>
      <c r="PGT141" s="34"/>
      <c r="PGU141" s="34"/>
      <c r="PGV141" s="34"/>
      <c r="PGW141" s="34"/>
      <c r="PGX141" s="34"/>
      <c r="PGY141" s="34"/>
      <c r="PGZ141" s="34"/>
      <c r="PHA141" s="34"/>
      <c r="PHB141" s="34"/>
      <c r="PHC141" s="34"/>
      <c r="PHD141" s="34"/>
      <c r="PHE141" s="34"/>
      <c r="PHF141" s="34"/>
      <c r="PHG141" s="34"/>
      <c r="PHH141" s="34"/>
      <c r="PHI141" s="34"/>
      <c r="PHJ141" s="34"/>
      <c r="PHK141" s="34"/>
      <c r="PHL141" s="34"/>
      <c r="PHM141" s="34"/>
      <c r="PHN141" s="34"/>
      <c r="PHO141" s="34"/>
      <c r="PHP141" s="34"/>
      <c r="PHQ141" s="34"/>
      <c r="PHR141" s="34"/>
      <c r="PHS141" s="34"/>
      <c r="PHT141" s="34"/>
      <c r="PHU141" s="34"/>
      <c r="PHV141" s="34"/>
      <c r="PHW141" s="34"/>
      <c r="PHX141" s="34"/>
      <c r="PHY141" s="34"/>
      <c r="PHZ141" s="34"/>
      <c r="PIA141" s="34"/>
      <c r="PIB141" s="34"/>
      <c r="PIC141" s="34"/>
      <c r="PID141" s="34"/>
      <c r="PIE141" s="34"/>
      <c r="PIF141" s="34"/>
      <c r="PIG141" s="34"/>
      <c r="PIH141" s="34"/>
      <c r="PII141" s="34"/>
      <c r="PIJ141" s="34"/>
      <c r="PIK141" s="34"/>
      <c r="PIL141" s="34"/>
      <c r="PIM141" s="34"/>
      <c r="PIN141" s="34"/>
      <c r="PIO141" s="34"/>
      <c r="PIP141" s="34"/>
      <c r="PIQ141" s="34"/>
      <c r="PIR141" s="34"/>
      <c r="PIS141" s="34"/>
      <c r="PIT141" s="34"/>
      <c r="PIU141" s="34"/>
      <c r="PIV141" s="34"/>
      <c r="PIW141" s="34"/>
      <c r="PIX141" s="34"/>
      <c r="PIY141" s="34"/>
      <c r="PIZ141" s="34"/>
      <c r="PJA141" s="34"/>
      <c r="PJB141" s="34"/>
      <c r="PJC141" s="34"/>
      <c r="PJD141" s="34"/>
      <c r="PJE141" s="34"/>
      <c r="PJF141" s="34"/>
      <c r="PJG141" s="34"/>
      <c r="PJH141" s="34"/>
      <c r="PJI141" s="34"/>
      <c r="PJJ141" s="34"/>
      <c r="PJK141" s="34"/>
      <c r="PJL141" s="34"/>
      <c r="PJM141" s="34"/>
      <c r="PJN141" s="34"/>
      <c r="PJO141" s="34"/>
      <c r="PJP141" s="34"/>
      <c r="PJQ141" s="34"/>
      <c r="PJR141" s="34"/>
      <c r="PJS141" s="34"/>
      <c r="PJT141" s="34"/>
      <c r="PJU141" s="34"/>
      <c r="PJV141" s="34"/>
      <c r="PJW141" s="34"/>
      <c r="PJX141" s="34"/>
      <c r="PJY141" s="34"/>
      <c r="PJZ141" s="34"/>
      <c r="PKA141" s="34"/>
      <c r="PKB141" s="34"/>
      <c r="PKC141" s="34"/>
      <c r="PKD141" s="34"/>
      <c r="PKE141" s="34"/>
      <c r="PKF141" s="34"/>
      <c r="PKG141" s="34"/>
      <c r="PKH141" s="34"/>
      <c r="PKI141" s="34"/>
      <c r="PKJ141" s="34"/>
      <c r="PKK141" s="34"/>
      <c r="PKL141" s="34"/>
      <c r="PKM141" s="34"/>
      <c r="PKN141" s="34"/>
      <c r="PKO141" s="34"/>
      <c r="PKP141" s="34"/>
      <c r="PKQ141" s="34"/>
      <c r="PKR141" s="34"/>
      <c r="PKS141" s="34"/>
      <c r="PKT141" s="34"/>
      <c r="PKU141" s="34"/>
      <c r="PKV141" s="34"/>
      <c r="PKW141" s="34"/>
      <c r="PKX141" s="34"/>
      <c r="PKY141" s="34"/>
      <c r="PKZ141" s="34"/>
      <c r="PLA141" s="34"/>
      <c r="PLB141" s="34"/>
      <c r="PLC141" s="34"/>
      <c r="PLD141" s="34"/>
      <c r="PLE141" s="34"/>
      <c r="PLF141" s="34"/>
      <c r="PLG141" s="34"/>
      <c r="PLH141" s="34"/>
      <c r="PLI141" s="34"/>
      <c r="PLJ141" s="34"/>
      <c r="PLK141" s="34"/>
      <c r="PLL141" s="34"/>
      <c r="PLM141" s="34"/>
      <c r="PLN141" s="34"/>
      <c r="PLO141" s="34"/>
      <c r="PLP141" s="34"/>
      <c r="PLQ141" s="34"/>
      <c r="PLR141" s="34"/>
      <c r="PLS141" s="34"/>
      <c r="PLT141" s="34"/>
      <c r="PLU141" s="34"/>
      <c r="PLV141" s="34"/>
      <c r="PLW141" s="34"/>
      <c r="PLX141" s="34"/>
      <c r="PLY141" s="34"/>
      <c r="PLZ141" s="34"/>
      <c r="PMA141" s="34"/>
      <c r="PMB141" s="34"/>
      <c r="PMC141" s="34"/>
      <c r="PMD141" s="34"/>
      <c r="PME141" s="34"/>
      <c r="PMF141" s="34"/>
      <c r="PMG141" s="34"/>
      <c r="PMH141" s="34"/>
      <c r="PMI141" s="34"/>
      <c r="PMJ141" s="34"/>
      <c r="PMK141" s="34"/>
      <c r="PML141" s="34"/>
      <c r="PMM141" s="34"/>
      <c r="PMN141" s="34"/>
      <c r="PMO141" s="34"/>
      <c r="PMP141" s="34"/>
      <c r="PMQ141" s="34"/>
      <c r="PMR141" s="34"/>
      <c r="PMS141" s="34"/>
      <c r="PMT141" s="34"/>
      <c r="PMU141" s="34"/>
      <c r="PMV141" s="34"/>
      <c r="PMW141" s="34"/>
      <c r="PMX141" s="34"/>
      <c r="PMY141" s="34"/>
      <c r="PMZ141" s="34"/>
      <c r="PNA141" s="34"/>
      <c r="PNB141" s="34"/>
      <c r="PNC141" s="34"/>
      <c r="PND141" s="34"/>
      <c r="PNE141" s="34"/>
      <c r="PNF141" s="34"/>
      <c r="PNG141" s="34"/>
      <c r="PNH141" s="34"/>
      <c r="PNI141" s="34"/>
      <c r="PNJ141" s="34"/>
      <c r="PNK141" s="34"/>
      <c r="PNL141" s="34"/>
      <c r="PNM141" s="34"/>
      <c r="PNN141" s="34"/>
      <c r="PNO141" s="34"/>
      <c r="PNP141" s="34"/>
      <c r="PNQ141" s="34"/>
      <c r="PNR141" s="34"/>
      <c r="PNS141" s="34"/>
      <c r="PNT141" s="34"/>
      <c r="PNU141" s="34"/>
      <c r="PNV141" s="34"/>
      <c r="PNW141" s="34"/>
      <c r="PNX141" s="34"/>
      <c r="PNY141" s="34"/>
      <c r="PNZ141" s="34"/>
      <c r="POA141" s="34"/>
      <c r="POB141" s="34"/>
      <c r="POC141" s="34"/>
      <c r="POD141" s="34"/>
      <c r="POE141" s="34"/>
      <c r="POF141" s="34"/>
      <c r="POG141" s="34"/>
      <c r="POH141" s="34"/>
      <c r="POI141" s="34"/>
      <c r="POJ141" s="34"/>
      <c r="POK141" s="34"/>
      <c r="POL141" s="34"/>
      <c r="POM141" s="34"/>
      <c r="PON141" s="34"/>
      <c r="POO141" s="34"/>
      <c r="POP141" s="34"/>
      <c r="POQ141" s="34"/>
      <c r="POR141" s="34"/>
      <c r="POS141" s="34"/>
      <c r="POT141" s="34"/>
      <c r="POU141" s="34"/>
      <c r="POV141" s="34"/>
      <c r="POW141" s="34"/>
      <c r="POX141" s="34"/>
      <c r="POY141" s="34"/>
      <c r="POZ141" s="34"/>
      <c r="PPA141" s="34"/>
      <c r="PPB141" s="34"/>
      <c r="PPC141" s="34"/>
      <c r="PPD141" s="34"/>
      <c r="PPE141" s="34"/>
      <c r="PPF141" s="34"/>
      <c r="PPG141" s="34"/>
      <c r="PPH141" s="34"/>
      <c r="PPI141" s="34"/>
      <c r="PPJ141" s="34"/>
      <c r="PPK141" s="34"/>
      <c r="PPL141" s="34"/>
      <c r="PPM141" s="34"/>
      <c r="PPN141" s="34"/>
      <c r="PPO141" s="34"/>
      <c r="PPP141" s="34"/>
      <c r="PPQ141" s="34"/>
      <c r="PPR141" s="34"/>
      <c r="PPS141" s="34"/>
      <c r="PPT141" s="34"/>
      <c r="PPU141" s="34"/>
      <c r="PPV141" s="34"/>
      <c r="PPW141" s="34"/>
      <c r="PPX141" s="34"/>
      <c r="PPY141" s="34"/>
      <c r="PPZ141" s="34"/>
      <c r="PQA141" s="34"/>
      <c r="PQB141" s="34"/>
      <c r="PQC141" s="34"/>
      <c r="PQD141" s="34"/>
      <c r="PQE141" s="34"/>
      <c r="PQF141" s="34"/>
      <c r="PQG141" s="34"/>
      <c r="PQH141" s="34"/>
      <c r="PQI141" s="34"/>
      <c r="PQJ141" s="34"/>
      <c r="PQK141" s="34"/>
      <c r="PQL141" s="34"/>
      <c r="PQM141" s="34"/>
      <c r="PQN141" s="34"/>
      <c r="PQO141" s="34"/>
      <c r="PQP141" s="34"/>
      <c r="PQQ141" s="34"/>
      <c r="PQR141" s="34"/>
      <c r="PQS141" s="34"/>
      <c r="PQT141" s="34"/>
      <c r="PQU141" s="34"/>
      <c r="PQV141" s="34"/>
      <c r="PQW141" s="34"/>
      <c r="PQX141" s="34"/>
      <c r="PQY141" s="34"/>
      <c r="PQZ141" s="34"/>
      <c r="PRA141" s="34"/>
      <c r="PRB141" s="34"/>
      <c r="PRC141" s="34"/>
      <c r="PRD141" s="34"/>
      <c r="PRE141" s="34"/>
      <c r="PRF141" s="34"/>
      <c r="PRG141" s="34"/>
      <c r="PRH141" s="34"/>
      <c r="PRI141" s="34"/>
      <c r="PRJ141" s="34"/>
      <c r="PRK141" s="34"/>
      <c r="PRL141" s="34"/>
      <c r="PRM141" s="34"/>
      <c r="PRN141" s="34"/>
      <c r="PRO141" s="34"/>
      <c r="PRP141" s="34"/>
      <c r="PRQ141" s="34"/>
      <c r="PRR141" s="34"/>
      <c r="PRS141" s="34"/>
      <c r="PRT141" s="34"/>
      <c r="PRU141" s="34"/>
      <c r="PRV141" s="34"/>
      <c r="PRW141" s="34"/>
      <c r="PRX141" s="34"/>
      <c r="PRY141" s="34"/>
      <c r="PRZ141" s="34"/>
      <c r="PSA141" s="34"/>
      <c r="PSB141" s="34"/>
      <c r="PSC141" s="34"/>
      <c r="PSD141" s="34"/>
      <c r="PSE141" s="34"/>
      <c r="PSF141" s="34"/>
      <c r="PSG141" s="34"/>
      <c r="PSH141" s="34"/>
      <c r="PSI141" s="34"/>
      <c r="PSJ141" s="34"/>
      <c r="PSK141" s="34"/>
      <c r="PSL141" s="34"/>
      <c r="PSM141" s="34"/>
      <c r="PSN141" s="34"/>
      <c r="PSO141" s="34"/>
      <c r="PSP141" s="34"/>
      <c r="PSQ141" s="34"/>
      <c r="PSR141" s="34"/>
      <c r="PSS141" s="34"/>
      <c r="PST141" s="34"/>
      <c r="PSU141" s="34"/>
      <c r="PSV141" s="34"/>
      <c r="PSW141" s="34"/>
      <c r="PSX141" s="34"/>
      <c r="PSY141" s="34"/>
      <c r="PSZ141" s="34"/>
      <c r="PTA141" s="34"/>
      <c r="PTB141" s="34"/>
      <c r="PTC141" s="34"/>
      <c r="PTD141" s="34"/>
      <c r="PTE141" s="34"/>
      <c r="PTF141" s="34"/>
      <c r="PTG141" s="34"/>
      <c r="PTH141" s="34"/>
      <c r="PTI141" s="34"/>
      <c r="PTJ141" s="34"/>
      <c r="PTK141" s="34"/>
      <c r="PTL141" s="34"/>
      <c r="PTM141" s="34"/>
      <c r="PTN141" s="34"/>
      <c r="PTO141" s="34"/>
      <c r="PTP141" s="34"/>
      <c r="PTQ141" s="34"/>
      <c r="PTR141" s="34"/>
      <c r="PTS141" s="34"/>
      <c r="PTT141" s="34"/>
      <c r="PTU141" s="34"/>
      <c r="PTV141" s="34"/>
      <c r="PTW141" s="34"/>
      <c r="PTX141" s="34"/>
      <c r="PTY141" s="34"/>
      <c r="PTZ141" s="34"/>
      <c r="PUA141" s="34"/>
      <c r="PUB141" s="34"/>
      <c r="PUC141" s="34"/>
      <c r="PUD141" s="34"/>
      <c r="PUE141" s="34"/>
      <c r="PUF141" s="34"/>
      <c r="PUG141" s="34"/>
      <c r="PUH141" s="34"/>
      <c r="PUI141" s="34"/>
      <c r="PUJ141" s="34"/>
      <c r="PUK141" s="34"/>
      <c r="PUL141" s="34"/>
      <c r="PUM141" s="34"/>
      <c r="PUN141" s="34"/>
      <c r="PUO141" s="34"/>
      <c r="PUP141" s="34"/>
      <c r="PUQ141" s="34"/>
      <c r="PUR141" s="34"/>
      <c r="PUS141" s="34"/>
      <c r="PUT141" s="34"/>
      <c r="PUU141" s="34"/>
      <c r="PUV141" s="34"/>
      <c r="PUW141" s="34"/>
      <c r="PUX141" s="34"/>
      <c r="PUY141" s="34"/>
      <c r="PUZ141" s="34"/>
      <c r="PVA141" s="34"/>
      <c r="PVB141" s="34"/>
      <c r="PVC141" s="34"/>
      <c r="PVD141" s="34"/>
      <c r="PVE141" s="34"/>
      <c r="PVF141" s="34"/>
      <c r="PVG141" s="34"/>
      <c r="PVH141" s="34"/>
      <c r="PVI141" s="34"/>
      <c r="PVJ141" s="34"/>
      <c r="PVK141" s="34"/>
      <c r="PVL141" s="34"/>
      <c r="PVM141" s="34"/>
      <c r="PVN141" s="34"/>
      <c r="PVO141" s="34"/>
      <c r="PVP141" s="34"/>
      <c r="PVQ141" s="34"/>
      <c r="PVR141" s="34"/>
      <c r="PVS141" s="34"/>
      <c r="PVT141" s="34"/>
      <c r="PVU141" s="34"/>
      <c r="PVV141" s="34"/>
      <c r="PVW141" s="34"/>
      <c r="PVX141" s="34"/>
      <c r="PVY141" s="34"/>
      <c r="PVZ141" s="34"/>
      <c r="PWA141" s="34"/>
      <c r="PWB141" s="34"/>
      <c r="PWC141" s="34"/>
      <c r="PWD141" s="34"/>
      <c r="PWE141" s="34"/>
      <c r="PWF141" s="34"/>
      <c r="PWG141" s="34"/>
      <c r="PWH141" s="34"/>
      <c r="PWI141" s="34"/>
      <c r="PWJ141" s="34"/>
      <c r="PWK141" s="34"/>
      <c r="PWL141" s="34"/>
      <c r="PWM141" s="34"/>
      <c r="PWN141" s="34"/>
      <c r="PWO141" s="34"/>
      <c r="PWP141" s="34"/>
      <c r="PWQ141" s="34"/>
      <c r="PWR141" s="34"/>
      <c r="PWS141" s="34"/>
      <c r="PWT141" s="34"/>
      <c r="PWU141" s="34"/>
      <c r="PWV141" s="34"/>
      <c r="PWW141" s="34"/>
      <c r="PWX141" s="34"/>
      <c r="PWY141" s="34"/>
      <c r="PWZ141" s="34"/>
      <c r="PXA141" s="34"/>
      <c r="PXB141" s="34"/>
      <c r="PXC141" s="34"/>
      <c r="PXD141" s="34"/>
      <c r="PXE141" s="34"/>
      <c r="PXF141" s="34"/>
      <c r="PXG141" s="34"/>
      <c r="PXH141" s="34"/>
      <c r="PXI141" s="34"/>
      <c r="PXJ141" s="34"/>
      <c r="PXK141" s="34"/>
      <c r="PXL141" s="34"/>
      <c r="PXM141" s="34"/>
      <c r="PXN141" s="34"/>
      <c r="PXO141" s="34"/>
      <c r="PXP141" s="34"/>
      <c r="PXQ141" s="34"/>
      <c r="PXR141" s="34"/>
      <c r="PXS141" s="34"/>
      <c r="PXT141" s="34"/>
      <c r="PXU141" s="34"/>
      <c r="PXV141" s="34"/>
      <c r="PXW141" s="34"/>
      <c r="PXX141" s="34"/>
      <c r="PXY141" s="34"/>
      <c r="PXZ141" s="34"/>
      <c r="PYA141" s="34"/>
      <c r="PYB141" s="34"/>
      <c r="PYC141" s="34"/>
      <c r="PYD141" s="34"/>
      <c r="PYE141" s="34"/>
      <c r="PYF141" s="34"/>
      <c r="PYG141" s="34"/>
      <c r="PYH141" s="34"/>
      <c r="PYI141" s="34"/>
      <c r="PYJ141" s="34"/>
      <c r="PYK141" s="34"/>
      <c r="PYL141" s="34"/>
      <c r="PYM141" s="34"/>
      <c r="PYN141" s="34"/>
      <c r="PYO141" s="34"/>
      <c r="PYP141" s="34"/>
      <c r="PYQ141" s="34"/>
      <c r="PYR141" s="34"/>
      <c r="PYS141" s="34"/>
      <c r="PYT141" s="34"/>
      <c r="PYU141" s="34"/>
      <c r="PYV141" s="34"/>
      <c r="PYW141" s="34"/>
      <c r="PYX141" s="34"/>
      <c r="PYY141" s="34"/>
      <c r="PYZ141" s="34"/>
      <c r="PZA141" s="34"/>
      <c r="PZB141" s="34"/>
      <c r="PZC141" s="34"/>
      <c r="PZD141" s="34"/>
      <c r="PZE141" s="34"/>
      <c r="PZF141" s="34"/>
      <c r="PZG141" s="34"/>
      <c r="PZH141" s="34"/>
      <c r="PZI141" s="34"/>
      <c r="PZJ141" s="34"/>
      <c r="PZK141" s="34"/>
      <c r="PZL141" s="34"/>
      <c r="PZM141" s="34"/>
      <c r="PZN141" s="34"/>
      <c r="PZO141" s="34"/>
      <c r="PZP141" s="34"/>
      <c r="PZQ141" s="34"/>
      <c r="PZR141" s="34"/>
      <c r="PZS141" s="34"/>
      <c r="PZT141" s="34"/>
      <c r="PZU141" s="34"/>
      <c r="PZV141" s="34"/>
      <c r="PZW141" s="34"/>
      <c r="PZX141" s="34"/>
      <c r="PZY141" s="34"/>
      <c r="PZZ141" s="34"/>
      <c r="QAA141" s="34"/>
      <c r="QAB141" s="34"/>
      <c r="QAC141" s="34"/>
      <c r="QAD141" s="34"/>
      <c r="QAE141" s="34"/>
      <c r="QAF141" s="34"/>
      <c r="QAG141" s="34"/>
      <c r="QAH141" s="34"/>
      <c r="QAI141" s="34"/>
      <c r="QAJ141" s="34"/>
      <c r="QAK141" s="34"/>
      <c r="QAL141" s="34"/>
      <c r="QAM141" s="34"/>
      <c r="QAN141" s="34"/>
      <c r="QAO141" s="34"/>
      <c r="QAP141" s="34"/>
      <c r="QAQ141" s="34"/>
      <c r="QAR141" s="34"/>
      <c r="QAS141" s="34"/>
      <c r="QAT141" s="34"/>
      <c r="QAU141" s="34"/>
      <c r="QAV141" s="34"/>
      <c r="QAW141" s="34"/>
      <c r="QAX141" s="34"/>
      <c r="QAY141" s="34"/>
      <c r="QAZ141" s="34"/>
      <c r="QBA141" s="34"/>
      <c r="QBB141" s="34"/>
      <c r="QBC141" s="34"/>
      <c r="QBD141" s="34"/>
      <c r="QBE141" s="34"/>
      <c r="QBF141" s="34"/>
      <c r="QBG141" s="34"/>
      <c r="QBH141" s="34"/>
      <c r="QBI141" s="34"/>
      <c r="QBJ141" s="34"/>
      <c r="QBK141" s="34"/>
      <c r="QBL141" s="34"/>
      <c r="QBM141" s="34"/>
      <c r="QBN141" s="34"/>
      <c r="QBO141" s="34"/>
      <c r="QBP141" s="34"/>
      <c r="QBQ141" s="34"/>
      <c r="QBR141" s="34"/>
      <c r="QBS141" s="34"/>
      <c r="QBT141" s="34"/>
      <c r="QBU141" s="34"/>
      <c r="QBV141" s="34"/>
      <c r="QBW141" s="34"/>
      <c r="QBX141" s="34"/>
      <c r="QBY141" s="34"/>
      <c r="QBZ141" s="34"/>
      <c r="QCA141" s="34"/>
      <c r="QCB141" s="34"/>
      <c r="QCC141" s="34"/>
      <c r="QCD141" s="34"/>
      <c r="QCE141" s="34"/>
      <c r="QCF141" s="34"/>
      <c r="QCG141" s="34"/>
      <c r="QCH141" s="34"/>
      <c r="QCI141" s="34"/>
      <c r="QCJ141" s="34"/>
      <c r="QCK141" s="34"/>
      <c r="QCL141" s="34"/>
      <c r="QCM141" s="34"/>
      <c r="QCN141" s="34"/>
      <c r="QCO141" s="34"/>
      <c r="QCP141" s="34"/>
      <c r="QCQ141" s="34"/>
      <c r="QCR141" s="34"/>
      <c r="QCS141" s="34"/>
      <c r="QCT141" s="34"/>
      <c r="QCU141" s="34"/>
      <c r="QCV141" s="34"/>
      <c r="QCW141" s="34"/>
      <c r="QCX141" s="34"/>
      <c r="QCY141" s="34"/>
      <c r="QCZ141" s="34"/>
      <c r="QDA141" s="34"/>
      <c r="QDB141" s="34"/>
      <c r="QDC141" s="34"/>
      <c r="QDD141" s="34"/>
      <c r="QDE141" s="34"/>
      <c r="QDF141" s="34"/>
      <c r="QDG141" s="34"/>
      <c r="QDH141" s="34"/>
      <c r="QDI141" s="34"/>
      <c r="QDJ141" s="34"/>
      <c r="QDK141" s="34"/>
      <c r="QDL141" s="34"/>
      <c r="QDM141" s="34"/>
      <c r="QDN141" s="34"/>
      <c r="QDO141" s="34"/>
      <c r="QDP141" s="34"/>
      <c r="QDQ141" s="34"/>
      <c r="QDR141" s="34"/>
      <c r="QDS141" s="34"/>
      <c r="QDT141" s="34"/>
      <c r="QDU141" s="34"/>
      <c r="QDV141" s="34"/>
      <c r="QDW141" s="34"/>
      <c r="QDX141" s="34"/>
      <c r="QDY141" s="34"/>
      <c r="QDZ141" s="34"/>
      <c r="QEA141" s="34"/>
      <c r="QEB141" s="34"/>
      <c r="QEC141" s="34"/>
      <c r="QED141" s="34"/>
      <c r="QEE141" s="34"/>
      <c r="QEF141" s="34"/>
      <c r="QEG141" s="34"/>
      <c r="QEH141" s="34"/>
      <c r="QEI141" s="34"/>
      <c r="QEJ141" s="34"/>
      <c r="QEK141" s="34"/>
      <c r="QEL141" s="34"/>
      <c r="QEM141" s="34"/>
      <c r="QEN141" s="34"/>
      <c r="QEO141" s="34"/>
      <c r="QEP141" s="34"/>
      <c r="QEQ141" s="34"/>
      <c r="QER141" s="34"/>
      <c r="QES141" s="34"/>
      <c r="QET141" s="34"/>
      <c r="QEU141" s="34"/>
      <c r="QEV141" s="34"/>
      <c r="QEW141" s="34"/>
      <c r="QEX141" s="34"/>
      <c r="QEY141" s="34"/>
      <c r="QEZ141" s="34"/>
      <c r="QFA141" s="34"/>
      <c r="QFB141" s="34"/>
      <c r="QFC141" s="34"/>
      <c r="QFD141" s="34"/>
      <c r="QFE141" s="34"/>
      <c r="QFF141" s="34"/>
      <c r="QFG141" s="34"/>
      <c r="QFH141" s="34"/>
      <c r="QFI141" s="34"/>
      <c r="QFJ141" s="34"/>
      <c r="QFK141" s="34"/>
      <c r="QFL141" s="34"/>
      <c r="QFM141" s="34"/>
      <c r="QFN141" s="34"/>
      <c r="QFO141" s="34"/>
      <c r="QFP141" s="34"/>
      <c r="QFQ141" s="34"/>
      <c r="QFR141" s="34"/>
      <c r="QFS141" s="34"/>
      <c r="QFT141" s="34"/>
      <c r="QFU141" s="34"/>
      <c r="QFV141" s="34"/>
      <c r="QFW141" s="34"/>
      <c r="QFX141" s="34"/>
      <c r="QFY141" s="34"/>
      <c r="QFZ141" s="34"/>
      <c r="QGA141" s="34"/>
      <c r="QGB141" s="34"/>
      <c r="QGC141" s="34"/>
      <c r="QGD141" s="34"/>
      <c r="QGE141" s="34"/>
      <c r="QGF141" s="34"/>
      <c r="QGG141" s="34"/>
      <c r="QGH141" s="34"/>
      <c r="QGI141" s="34"/>
      <c r="QGJ141" s="34"/>
      <c r="QGK141" s="34"/>
      <c r="QGL141" s="34"/>
      <c r="QGM141" s="34"/>
      <c r="QGN141" s="34"/>
      <c r="QGO141" s="34"/>
      <c r="QGP141" s="34"/>
      <c r="QGQ141" s="34"/>
      <c r="QGR141" s="34"/>
      <c r="QGS141" s="34"/>
      <c r="QGT141" s="34"/>
      <c r="QGU141" s="34"/>
      <c r="QGV141" s="34"/>
      <c r="QGW141" s="34"/>
      <c r="QGX141" s="34"/>
      <c r="QGY141" s="34"/>
      <c r="QGZ141" s="34"/>
      <c r="QHA141" s="34"/>
      <c r="QHB141" s="34"/>
      <c r="QHC141" s="34"/>
      <c r="QHD141" s="34"/>
      <c r="QHE141" s="34"/>
      <c r="QHF141" s="34"/>
      <c r="QHG141" s="34"/>
      <c r="QHH141" s="34"/>
      <c r="QHI141" s="34"/>
      <c r="QHJ141" s="34"/>
      <c r="QHK141" s="34"/>
      <c r="QHL141" s="34"/>
      <c r="QHM141" s="34"/>
      <c r="QHN141" s="34"/>
      <c r="QHO141" s="34"/>
      <c r="QHP141" s="34"/>
      <c r="QHQ141" s="34"/>
      <c r="QHR141" s="34"/>
      <c r="QHS141" s="34"/>
      <c r="QHT141" s="34"/>
      <c r="QHU141" s="34"/>
      <c r="QHV141" s="34"/>
      <c r="QHW141" s="34"/>
      <c r="QHX141" s="34"/>
      <c r="QHY141" s="34"/>
      <c r="QHZ141" s="34"/>
      <c r="QIA141" s="34"/>
      <c r="QIB141" s="34"/>
      <c r="QIC141" s="34"/>
      <c r="QID141" s="34"/>
      <c r="QIE141" s="34"/>
      <c r="QIF141" s="34"/>
      <c r="QIG141" s="34"/>
      <c r="QIH141" s="34"/>
      <c r="QII141" s="34"/>
      <c r="QIJ141" s="34"/>
      <c r="QIK141" s="34"/>
      <c r="QIL141" s="34"/>
      <c r="QIM141" s="34"/>
      <c r="QIN141" s="34"/>
      <c r="QIO141" s="34"/>
      <c r="QIP141" s="34"/>
      <c r="QIQ141" s="34"/>
      <c r="QIR141" s="34"/>
      <c r="QIS141" s="34"/>
      <c r="QIT141" s="34"/>
      <c r="QIU141" s="34"/>
      <c r="QIV141" s="34"/>
      <c r="QIW141" s="34"/>
      <c r="QIX141" s="34"/>
      <c r="QIY141" s="34"/>
      <c r="QIZ141" s="34"/>
      <c r="QJA141" s="34"/>
      <c r="QJB141" s="34"/>
      <c r="QJC141" s="34"/>
      <c r="QJD141" s="34"/>
      <c r="QJE141" s="34"/>
      <c r="QJF141" s="34"/>
      <c r="QJG141" s="34"/>
      <c r="QJH141" s="34"/>
      <c r="QJI141" s="34"/>
      <c r="QJJ141" s="34"/>
      <c r="QJK141" s="34"/>
      <c r="QJL141" s="34"/>
      <c r="QJM141" s="34"/>
      <c r="QJN141" s="34"/>
      <c r="QJO141" s="34"/>
      <c r="QJP141" s="34"/>
      <c r="QJQ141" s="34"/>
      <c r="QJR141" s="34"/>
      <c r="QJS141" s="34"/>
      <c r="QJT141" s="34"/>
      <c r="QJU141" s="34"/>
      <c r="QJV141" s="34"/>
      <c r="QJW141" s="34"/>
      <c r="QJX141" s="34"/>
      <c r="QJY141" s="34"/>
      <c r="QJZ141" s="34"/>
      <c r="QKA141" s="34"/>
      <c r="QKB141" s="34"/>
      <c r="QKC141" s="34"/>
      <c r="QKD141" s="34"/>
      <c r="QKE141" s="34"/>
      <c r="QKF141" s="34"/>
      <c r="QKG141" s="34"/>
      <c r="QKH141" s="34"/>
      <c r="QKI141" s="34"/>
      <c r="QKJ141" s="34"/>
      <c r="QKK141" s="34"/>
      <c r="QKL141" s="34"/>
      <c r="QKM141" s="34"/>
      <c r="QKN141" s="34"/>
      <c r="QKO141" s="34"/>
      <c r="QKP141" s="34"/>
      <c r="QKQ141" s="34"/>
      <c r="QKR141" s="34"/>
      <c r="QKS141" s="34"/>
      <c r="QKT141" s="34"/>
      <c r="QKU141" s="34"/>
      <c r="QKV141" s="34"/>
      <c r="QKW141" s="34"/>
      <c r="QKX141" s="34"/>
      <c r="QKY141" s="34"/>
      <c r="QKZ141" s="34"/>
      <c r="QLA141" s="34"/>
      <c r="QLB141" s="34"/>
      <c r="QLC141" s="34"/>
      <c r="QLD141" s="34"/>
      <c r="QLE141" s="34"/>
      <c r="QLF141" s="34"/>
      <c r="QLG141" s="34"/>
      <c r="QLH141" s="34"/>
      <c r="QLI141" s="34"/>
      <c r="QLJ141" s="34"/>
      <c r="QLK141" s="34"/>
      <c r="QLL141" s="34"/>
      <c r="QLM141" s="34"/>
      <c r="QLN141" s="34"/>
      <c r="QLO141" s="34"/>
      <c r="QLP141" s="34"/>
      <c r="QLQ141" s="34"/>
      <c r="QLR141" s="34"/>
      <c r="QLS141" s="34"/>
      <c r="QLT141" s="34"/>
      <c r="QLU141" s="34"/>
      <c r="QLV141" s="34"/>
      <c r="QLW141" s="34"/>
      <c r="QLX141" s="34"/>
      <c r="QLY141" s="34"/>
      <c r="QLZ141" s="34"/>
      <c r="QMA141" s="34"/>
      <c r="QMB141" s="34"/>
      <c r="QMC141" s="34"/>
      <c r="QMD141" s="34"/>
      <c r="QME141" s="34"/>
      <c r="QMF141" s="34"/>
      <c r="QMG141" s="34"/>
      <c r="QMH141" s="34"/>
      <c r="QMI141" s="34"/>
      <c r="QMJ141" s="34"/>
      <c r="QMK141" s="34"/>
      <c r="QML141" s="34"/>
      <c r="QMM141" s="34"/>
      <c r="QMN141" s="34"/>
      <c r="QMO141" s="34"/>
      <c r="QMP141" s="34"/>
      <c r="QMQ141" s="34"/>
      <c r="QMR141" s="34"/>
      <c r="QMS141" s="34"/>
      <c r="QMT141" s="34"/>
      <c r="QMU141" s="34"/>
      <c r="QMV141" s="34"/>
      <c r="QMW141" s="34"/>
      <c r="QMX141" s="34"/>
      <c r="QMY141" s="34"/>
      <c r="QMZ141" s="34"/>
      <c r="QNA141" s="34"/>
      <c r="QNB141" s="34"/>
      <c r="QNC141" s="34"/>
      <c r="QND141" s="34"/>
      <c r="QNE141" s="34"/>
      <c r="QNF141" s="34"/>
      <c r="QNG141" s="34"/>
      <c r="QNH141" s="34"/>
      <c r="QNI141" s="34"/>
      <c r="QNJ141" s="34"/>
      <c r="QNK141" s="34"/>
      <c r="QNL141" s="34"/>
      <c r="QNM141" s="34"/>
      <c r="QNN141" s="34"/>
      <c r="QNO141" s="34"/>
      <c r="QNP141" s="34"/>
      <c r="QNQ141" s="34"/>
      <c r="QNR141" s="34"/>
      <c r="QNS141" s="34"/>
      <c r="QNT141" s="34"/>
      <c r="QNU141" s="34"/>
      <c r="QNV141" s="34"/>
      <c r="QNW141" s="34"/>
      <c r="QNX141" s="34"/>
      <c r="QNY141" s="34"/>
      <c r="QNZ141" s="34"/>
      <c r="QOA141" s="34"/>
      <c r="QOB141" s="34"/>
      <c r="QOC141" s="34"/>
      <c r="QOD141" s="34"/>
      <c r="QOE141" s="34"/>
      <c r="QOF141" s="34"/>
      <c r="QOG141" s="34"/>
      <c r="QOH141" s="34"/>
      <c r="QOI141" s="34"/>
      <c r="QOJ141" s="34"/>
      <c r="QOK141" s="34"/>
      <c r="QOL141" s="34"/>
      <c r="QOM141" s="34"/>
      <c r="QON141" s="34"/>
      <c r="QOO141" s="34"/>
      <c r="QOP141" s="34"/>
      <c r="QOQ141" s="34"/>
      <c r="QOR141" s="34"/>
      <c r="QOS141" s="34"/>
      <c r="QOT141" s="34"/>
      <c r="QOU141" s="34"/>
      <c r="QOV141" s="34"/>
      <c r="QOW141" s="34"/>
      <c r="QOX141" s="34"/>
      <c r="QOY141" s="34"/>
      <c r="QOZ141" s="34"/>
      <c r="QPA141" s="34"/>
      <c r="QPB141" s="34"/>
      <c r="QPC141" s="34"/>
      <c r="QPD141" s="34"/>
      <c r="QPE141" s="34"/>
      <c r="QPF141" s="34"/>
      <c r="QPG141" s="34"/>
      <c r="QPH141" s="34"/>
      <c r="QPI141" s="34"/>
      <c r="QPJ141" s="34"/>
      <c r="QPK141" s="34"/>
      <c r="QPL141" s="34"/>
      <c r="QPM141" s="34"/>
      <c r="QPN141" s="34"/>
      <c r="QPO141" s="34"/>
      <c r="QPP141" s="34"/>
      <c r="QPQ141" s="34"/>
      <c r="QPR141" s="34"/>
      <c r="QPS141" s="34"/>
      <c r="QPT141" s="34"/>
      <c r="QPU141" s="34"/>
      <c r="QPV141" s="34"/>
      <c r="QPW141" s="34"/>
      <c r="QPX141" s="34"/>
      <c r="QPY141" s="34"/>
      <c r="QPZ141" s="34"/>
      <c r="QQA141" s="34"/>
      <c r="QQB141" s="34"/>
      <c r="QQC141" s="34"/>
      <c r="QQD141" s="34"/>
      <c r="QQE141" s="34"/>
      <c r="QQF141" s="34"/>
      <c r="QQG141" s="34"/>
      <c r="QQH141" s="34"/>
      <c r="QQI141" s="34"/>
      <c r="QQJ141" s="34"/>
      <c r="QQK141" s="34"/>
      <c r="QQL141" s="34"/>
      <c r="QQM141" s="34"/>
      <c r="QQN141" s="34"/>
      <c r="QQO141" s="34"/>
      <c r="QQP141" s="34"/>
      <c r="QQQ141" s="34"/>
      <c r="QQR141" s="34"/>
      <c r="QQS141" s="34"/>
      <c r="QQT141" s="34"/>
      <c r="QQU141" s="34"/>
      <c r="QQV141" s="34"/>
      <c r="QQW141" s="34"/>
      <c r="QQX141" s="34"/>
      <c r="QQY141" s="34"/>
      <c r="QQZ141" s="34"/>
      <c r="QRA141" s="34"/>
      <c r="QRB141" s="34"/>
      <c r="QRC141" s="34"/>
      <c r="QRD141" s="34"/>
      <c r="QRE141" s="34"/>
      <c r="QRF141" s="34"/>
      <c r="QRG141" s="34"/>
      <c r="QRH141" s="34"/>
      <c r="QRI141" s="34"/>
      <c r="QRJ141" s="34"/>
      <c r="QRK141" s="34"/>
      <c r="QRL141" s="34"/>
      <c r="QRM141" s="34"/>
      <c r="QRN141" s="34"/>
      <c r="QRO141" s="34"/>
      <c r="QRP141" s="34"/>
      <c r="QRQ141" s="34"/>
      <c r="QRR141" s="34"/>
      <c r="QRS141" s="34"/>
      <c r="QRT141" s="34"/>
      <c r="QRU141" s="34"/>
      <c r="QRV141" s="34"/>
      <c r="QRW141" s="34"/>
      <c r="QRX141" s="34"/>
      <c r="QRY141" s="34"/>
      <c r="QRZ141" s="34"/>
      <c r="QSA141" s="34"/>
      <c r="QSB141" s="34"/>
      <c r="QSC141" s="34"/>
      <c r="QSD141" s="34"/>
      <c r="QSE141" s="34"/>
      <c r="QSF141" s="34"/>
      <c r="QSG141" s="34"/>
      <c r="QSH141" s="34"/>
      <c r="QSI141" s="34"/>
      <c r="QSJ141" s="34"/>
      <c r="QSK141" s="34"/>
      <c r="QSL141" s="34"/>
      <c r="QSM141" s="34"/>
      <c r="QSN141" s="34"/>
      <c r="QSO141" s="34"/>
      <c r="QSP141" s="34"/>
      <c r="QSQ141" s="34"/>
      <c r="QSR141" s="34"/>
      <c r="QSS141" s="34"/>
      <c r="QST141" s="34"/>
      <c r="QSU141" s="34"/>
      <c r="QSV141" s="34"/>
      <c r="QSW141" s="34"/>
      <c r="QSX141" s="34"/>
      <c r="QSY141" s="34"/>
      <c r="QSZ141" s="34"/>
      <c r="QTA141" s="34"/>
      <c r="QTB141" s="34"/>
      <c r="QTC141" s="34"/>
      <c r="QTD141" s="34"/>
      <c r="QTE141" s="34"/>
      <c r="QTF141" s="34"/>
      <c r="QTG141" s="34"/>
      <c r="QTH141" s="34"/>
      <c r="QTI141" s="34"/>
      <c r="QTJ141" s="34"/>
      <c r="QTK141" s="34"/>
      <c r="QTL141" s="34"/>
      <c r="QTM141" s="34"/>
      <c r="QTN141" s="34"/>
      <c r="QTO141" s="34"/>
      <c r="QTP141" s="34"/>
      <c r="QTQ141" s="34"/>
      <c r="QTR141" s="34"/>
      <c r="QTS141" s="34"/>
      <c r="QTT141" s="34"/>
      <c r="QTU141" s="34"/>
      <c r="QTV141" s="34"/>
      <c r="QTW141" s="34"/>
      <c r="QTX141" s="34"/>
      <c r="QTY141" s="34"/>
      <c r="QTZ141" s="34"/>
      <c r="QUA141" s="34"/>
      <c r="QUB141" s="34"/>
      <c r="QUC141" s="34"/>
      <c r="QUD141" s="34"/>
      <c r="QUE141" s="34"/>
      <c r="QUF141" s="34"/>
      <c r="QUG141" s="34"/>
      <c r="QUH141" s="34"/>
      <c r="QUI141" s="34"/>
      <c r="QUJ141" s="34"/>
      <c r="QUK141" s="34"/>
      <c r="QUL141" s="34"/>
      <c r="QUM141" s="34"/>
      <c r="QUN141" s="34"/>
      <c r="QUO141" s="34"/>
      <c r="QUP141" s="34"/>
      <c r="QUQ141" s="34"/>
      <c r="QUR141" s="34"/>
      <c r="QUS141" s="34"/>
      <c r="QUT141" s="34"/>
      <c r="QUU141" s="34"/>
      <c r="QUV141" s="34"/>
      <c r="QUW141" s="34"/>
      <c r="QUX141" s="34"/>
      <c r="QUY141" s="34"/>
      <c r="QUZ141" s="34"/>
      <c r="QVA141" s="34"/>
      <c r="QVB141" s="34"/>
      <c r="QVC141" s="34"/>
      <c r="QVD141" s="34"/>
      <c r="QVE141" s="34"/>
      <c r="QVF141" s="34"/>
      <c r="QVG141" s="34"/>
      <c r="QVH141" s="34"/>
      <c r="QVI141" s="34"/>
      <c r="QVJ141" s="34"/>
      <c r="QVK141" s="34"/>
      <c r="QVL141" s="34"/>
      <c r="QVM141" s="34"/>
      <c r="QVN141" s="34"/>
      <c r="QVO141" s="34"/>
      <c r="QVP141" s="34"/>
      <c r="QVQ141" s="34"/>
      <c r="QVR141" s="34"/>
      <c r="QVS141" s="34"/>
      <c r="QVT141" s="34"/>
      <c r="QVU141" s="34"/>
      <c r="QVV141" s="34"/>
      <c r="QVW141" s="34"/>
      <c r="QVX141" s="34"/>
      <c r="QVY141" s="34"/>
      <c r="QVZ141" s="34"/>
      <c r="QWA141" s="34"/>
      <c r="QWB141" s="34"/>
      <c r="QWC141" s="34"/>
      <c r="QWD141" s="34"/>
      <c r="QWE141" s="34"/>
      <c r="QWF141" s="34"/>
      <c r="QWG141" s="34"/>
      <c r="QWH141" s="34"/>
      <c r="QWI141" s="34"/>
      <c r="QWJ141" s="34"/>
      <c r="QWK141" s="34"/>
      <c r="QWL141" s="34"/>
      <c r="QWM141" s="34"/>
      <c r="QWN141" s="34"/>
      <c r="QWO141" s="34"/>
      <c r="QWP141" s="34"/>
      <c r="QWQ141" s="34"/>
      <c r="QWR141" s="34"/>
      <c r="QWS141" s="34"/>
      <c r="QWT141" s="34"/>
      <c r="QWU141" s="34"/>
      <c r="QWV141" s="34"/>
      <c r="QWW141" s="34"/>
      <c r="QWX141" s="34"/>
      <c r="QWY141" s="34"/>
      <c r="QWZ141" s="34"/>
      <c r="QXA141" s="34"/>
      <c r="QXB141" s="34"/>
      <c r="QXC141" s="34"/>
      <c r="QXD141" s="34"/>
      <c r="QXE141" s="34"/>
      <c r="QXF141" s="34"/>
      <c r="QXG141" s="34"/>
      <c r="QXH141" s="34"/>
      <c r="QXI141" s="34"/>
      <c r="QXJ141" s="34"/>
      <c r="QXK141" s="34"/>
      <c r="QXL141" s="34"/>
      <c r="QXM141" s="34"/>
      <c r="QXN141" s="34"/>
      <c r="QXO141" s="34"/>
      <c r="QXP141" s="34"/>
      <c r="QXQ141" s="34"/>
      <c r="QXR141" s="34"/>
      <c r="QXS141" s="34"/>
      <c r="QXT141" s="34"/>
      <c r="QXU141" s="34"/>
      <c r="QXV141" s="34"/>
      <c r="QXW141" s="34"/>
      <c r="QXX141" s="34"/>
      <c r="QXY141" s="34"/>
      <c r="QXZ141" s="34"/>
      <c r="QYA141" s="34"/>
      <c r="QYB141" s="34"/>
      <c r="QYC141" s="34"/>
      <c r="QYD141" s="34"/>
      <c r="QYE141" s="34"/>
      <c r="QYF141" s="34"/>
      <c r="QYG141" s="34"/>
      <c r="QYH141" s="34"/>
      <c r="QYI141" s="34"/>
      <c r="QYJ141" s="34"/>
      <c r="QYK141" s="34"/>
      <c r="QYL141" s="34"/>
      <c r="QYM141" s="34"/>
      <c r="QYN141" s="34"/>
      <c r="QYO141" s="34"/>
      <c r="QYP141" s="34"/>
      <c r="QYQ141" s="34"/>
      <c r="QYR141" s="34"/>
      <c r="QYS141" s="34"/>
      <c r="QYT141" s="34"/>
      <c r="QYU141" s="34"/>
      <c r="QYV141" s="34"/>
      <c r="QYW141" s="34"/>
      <c r="QYX141" s="34"/>
      <c r="QYY141" s="34"/>
      <c r="QYZ141" s="34"/>
      <c r="QZA141" s="34"/>
      <c r="QZB141" s="34"/>
      <c r="QZC141" s="34"/>
      <c r="QZD141" s="34"/>
      <c r="QZE141" s="34"/>
      <c r="QZF141" s="34"/>
      <c r="QZG141" s="34"/>
      <c r="QZH141" s="34"/>
      <c r="QZI141" s="34"/>
      <c r="QZJ141" s="34"/>
      <c r="QZK141" s="34"/>
      <c r="QZL141" s="34"/>
      <c r="QZM141" s="34"/>
      <c r="QZN141" s="34"/>
      <c r="QZO141" s="34"/>
      <c r="QZP141" s="34"/>
      <c r="QZQ141" s="34"/>
      <c r="QZR141" s="34"/>
      <c r="QZS141" s="34"/>
      <c r="QZT141" s="34"/>
      <c r="QZU141" s="34"/>
      <c r="QZV141" s="34"/>
      <c r="QZW141" s="34"/>
      <c r="QZX141" s="34"/>
      <c r="QZY141" s="34"/>
      <c r="QZZ141" s="34"/>
      <c r="RAA141" s="34"/>
      <c r="RAB141" s="34"/>
      <c r="RAC141" s="34"/>
      <c r="RAD141" s="34"/>
      <c r="RAE141" s="34"/>
      <c r="RAF141" s="34"/>
      <c r="RAG141" s="34"/>
      <c r="RAH141" s="34"/>
      <c r="RAI141" s="34"/>
      <c r="RAJ141" s="34"/>
      <c r="RAK141" s="34"/>
      <c r="RAL141" s="34"/>
      <c r="RAM141" s="34"/>
      <c r="RAN141" s="34"/>
      <c r="RAO141" s="34"/>
      <c r="RAP141" s="34"/>
      <c r="RAQ141" s="34"/>
      <c r="RAR141" s="34"/>
      <c r="RAS141" s="34"/>
      <c r="RAT141" s="34"/>
      <c r="RAU141" s="34"/>
      <c r="RAV141" s="34"/>
      <c r="RAW141" s="34"/>
      <c r="RAX141" s="34"/>
      <c r="RAY141" s="34"/>
      <c r="RAZ141" s="34"/>
      <c r="RBA141" s="34"/>
      <c r="RBB141" s="34"/>
      <c r="RBC141" s="34"/>
      <c r="RBD141" s="34"/>
      <c r="RBE141" s="34"/>
      <c r="RBF141" s="34"/>
      <c r="RBG141" s="34"/>
      <c r="RBH141" s="34"/>
      <c r="RBI141" s="34"/>
      <c r="RBJ141" s="34"/>
      <c r="RBK141" s="34"/>
      <c r="RBL141" s="34"/>
      <c r="RBM141" s="34"/>
      <c r="RBN141" s="34"/>
      <c r="RBO141" s="34"/>
      <c r="RBP141" s="34"/>
      <c r="RBQ141" s="34"/>
      <c r="RBR141" s="34"/>
      <c r="RBS141" s="34"/>
      <c r="RBT141" s="34"/>
      <c r="RBU141" s="34"/>
      <c r="RBV141" s="34"/>
      <c r="RBW141" s="34"/>
      <c r="RBX141" s="34"/>
      <c r="RBY141" s="34"/>
      <c r="RBZ141" s="34"/>
      <c r="RCA141" s="34"/>
      <c r="RCB141" s="34"/>
      <c r="RCC141" s="34"/>
      <c r="RCD141" s="34"/>
      <c r="RCE141" s="34"/>
      <c r="RCF141" s="34"/>
      <c r="RCG141" s="34"/>
      <c r="RCH141" s="34"/>
      <c r="RCI141" s="34"/>
      <c r="RCJ141" s="34"/>
      <c r="RCK141" s="34"/>
      <c r="RCL141" s="34"/>
      <c r="RCM141" s="34"/>
      <c r="RCN141" s="34"/>
      <c r="RCO141" s="34"/>
      <c r="RCP141" s="34"/>
      <c r="RCQ141" s="34"/>
      <c r="RCR141" s="34"/>
      <c r="RCS141" s="34"/>
      <c r="RCT141" s="34"/>
      <c r="RCU141" s="34"/>
      <c r="RCV141" s="34"/>
      <c r="RCW141" s="34"/>
      <c r="RCX141" s="34"/>
      <c r="RCY141" s="34"/>
      <c r="RCZ141" s="34"/>
      <c r="RDA141" s="34"/>
      <c r="RDB141" s="34"/>
      <c r="RDC141" s="34"/>
      <c r="RDD141" s="34"/>
      <c r="RDE141" s="34"/>
      <c r="RDF141" s="34"/>
      <c r="RDG141" s="34"/>
      <c r="RDH141" s="34"/>
      <c r="RDI141" s="34"/>
      <c r="RDJ141" s="34"/>
      <c r="RDK141" s="34"/>
      <c r="RDL141" s="34"/>
      <c r="RDM141" s="34"/>
      <c r="RDN141" s="34"/>
      <c r="RDO141" s="34"/>
      <c r="RDP141" s="34"/>
      <c r="RDQ141" s="34"/>
      <c r="RDR141" s="34"/>
      <c r="RDS141" s="34"/>
      <c r="RDT141" s="34"/>
      <c r="RDU141" s="34"/>
      <c r="RDV141" s="34"/>
      <c r="RDW141" s="34"/>
      <c r="RDX141" s="34"/>
      <c r="RDY141" s="34"/>
      <c r="RDZ141" s="34"/>
      <c r="REA141" s="34"/>
      <c r="REB141" s="34"/>
      <c r="REC141" s="34"/>
      <c r="RED141" s="34"/>
      <c r="REE141" s="34"/>
      <c r="REF141" s="34"/>
      <c r="REG141" s="34"/>
      <c r="REH141" s="34"/>
      <c r="REI141" s="34"/>
      <c r="REJ141" s="34"/>
      <c r="REK141" s="34"/>
      <c r="REL141" s="34"/>
      <c r="REM141" s="34"/>
      <c r="REN141" s="34"/>
      <c r="REO141" s="34"/>
      <c r="REP141" s="34"/>
      <c r="REQ141" s="34"/>
      <c r="RER141" s="34"/>
      <c r="RES141" s="34"/>
      <c r="RET141" s="34"/>
      <c r="REU141" s="34"/>
      <c r="REV141" s="34"/>
      <c r="REW141" s="34"/>
      <c r="REX141" s="34"/>
      <c r="REY141" s="34"/>
      <c r="REZ141" s="34"/>
      <c r="RFA141" s="34"/>
      <c r="RFB141" s="34"/>
      <c r="RFC141" s="34"/>
      <c r="RFD141" s="34"/>
      <c r="RFE141" s="34"/>
      <c r="RFF141" s="34"/>
      <c r="RFG141" s="34"/>
      <c r="RFH141" s="34"/>
      <c r="RFI141" s="34"/>
      <c r="RFJ141" s="34"/>
      <c r="RFK141" s="34"/>
      <c r="RFL141" s="34"/>
      <c r="RFM141" s="34"/>
      <c r="RFN141" s="34"/>
      <c r="RFO141" s="34"/>
      <c r="RFP141" s="34"/>
      <c r="RFQ141" s="34"/>
      <c r="RFR141" s="34"/>
      <c r="RFS141" s="34"/>
      <c r="RFT141" s="34"/>
      <c r="RFU141" s="34"/>
      <c r="RFV141" s="34"/>
      <c r="RFW141" s="34"/>
      <c r="RFX141" s="34"/>
      <c r="RFY141" s="34"/>
      <c r="RFZ141" s="34"/>
      <c r="RGA141" s="34"/>
      <c r="RGB141" s="34"/>
      <c r="RGC141" s="34"/>
      <c r="RGD141" s="34"/>
      <c r="RGE141" s="34"/>
      <c r="RGF141" s="34"/>
      <c r="RGG141" s="34"/>
      <c r="RGH141" s="34"/>
      <c r="RGI141" s="34"/>
      <c r="RGJ141" s="34"/>
      <c r="RGK141" s="34"/>
      <c r="RGL141" s="34"/>
      <c r="RGM141" s="34"/>
      <c r="RGN141" s="34"/>
      <c r="RGO141" s="34"/>
      <c r="RGP141" s="34"/>
      <c r="RGQ141" s="34"/>
      <c r="RGR141" s="34"/>
      <c r="RGS141" s="34"/>
      <c r="RGT141" s="34"/>
      <c r="RGU141" s="34"/>
      <c r="RGV141" s="34"/>
      <c r="RGW141" s="34"/>
      <c r="RGX141" s="34"/>
      <c r="RGY141" s="34"/>
      <c r="RGZ141" s="34"/>
      <c r="RHA141" s="34"/>
      <c r="RHB141" s="34"/>
      <c r="RHC141" s="34"/>
      <c r="RHD141" s="34"/>
      <c r="RHE141" s="34"/>
      <c r="RHF141" s="34"/>
      <c r="RHG141" s="34"/>
      <c r="RHH141" s="34"/>
      <c r="RHI141" s="34"/>
      <c r="RHJ141" s="34"/>
      <c r="RHK141" s="34"/>
      <c r="RHL141" s="34"/>
      <c r="RHM141" s="34"/>
      <c r="RHN141" s="34"/>
      <c r="RHO141" s="34"/>
      <c r="RHP141" s="34"/>
      <c r="RHQ141" s="34"/>
      <c r="RHR141" s="34"/>
      <c r="RHS141" s="34"/>
      <c r="RHT141" s="34"/>
      <c r="RHU141" s="34"/>
      <c r="RHV141" s="34"/>
      <c r="RHW141" s="34"/>
      <c r="RHX141" s="34"/>
      <c r="RHY141" s="34"/>
      <c r="RHZ141" s="34"/>
      <c r="RIA141" s="34"/>
      <c r="RIB141" s="34"/>
      <c r="RIC141" s="34"/>
      <c r="RID141" s="34"/>
      <c r="RIE141" s="34"/>
      <c r="RIF141" s="34"/>
      <c r="RIG141" s="34"/>
      <c r="RIH141" s="34"/>
      <c r="RII141" s="34"/>
      <c r="RIJ141" s="34"/>
      <c r="RIK141" s="34"/>
      <c r="RIL141" s="34"/>
      <c r="RIM141" s="34"/>
      <c r="RIN141" s="34"/>
      <c r="RIO141" s="34"/>
      <c r="RIP141" s="34"/>
      <c r="RIQ141" s="34"/>
      <c r="RIR141" s="34"/>
      <c r="RIS141" s="34"/>
      <c r="RIT141" s="34"/>
      <c r="RIU141" s="34"/>
      <c r="RIV141" s="34"/>
      <c r="RIW141" s="34"/>
      <c r="RIX141" s="34"/>
      <c r="RIY141" s="34"/>
      <c r="RIZ141" s="34"/>
      <c r="RJA141" s="34"/>
      <c r="RJB141" s="34"/>
      <c r="RJC141" s="34"/>
      <c r="RJD141" s="34"/>
      <c r="RJE141" s="34"/>
      <c r="RJF141" s="34"/>
      <c r="RJG141" s="34"/>
      <c r="RJH141" s="34"/>
      <c r="RJI141" s="34"/>
      <c r="RJJ141" s="34"/>
      <c r="RJK141" s="34"/>
      <c r="RJL141" s="34"/>
      <c r="RJM141" s="34"/>
      <c r="RJN141" s="34"/>
      <c r="RJO141" s="34"/>
      <c r="RJP141" s="34"/>
      <c r="RJQ141" s="34"/>
      <c r="RJR141" s="34"/>
      <c r="RJS141" s="34"/>
      <c r="RJT141" s="34"/>
      <c r="RJU141" s="34"/>
      <c r="RJV141" s="34"/>
      <c r="RJW141" s="34"/>
      <c r="RJX141" s="34"/>
      <c r="RJY141" s="34"/>
      <c r="RJZ141" s="34"/>
      <c r="RKA141" s="34"/>
      <c r="RKB141" s="34"/>
      <c r="RKC141" s="34"/>
      <c r="RKD141" s="34"/>
      <c r="RKE141" s="34"/>
      <c r="RKF141" s="34"/>
      <c r="RKG141" s="34"/>
      <c r="RKH141" s="34"/>
      <c r="RKI141" s="34"/>
      <c r="RKJ141" s="34"/>
      <c r="RKK141" s="34"/>
      <c r="RKL141" s="34"/>
      <c r="RKM141" s="34"/>
      <c r="RKN141" s="34"/>
      <c r="RKO141" s="34"/>
      <c r="RKP141" s="34"/>
      <c r="RKQ141" s="34"/>
      <c r="RKR141" s="34"/>
      <c r="RKS141" s="34"/>
      <c r="RKT141" s="34"/>
      <c r="RKU141" s="34"/>
      <c r="RKV141" s="34"/>
      <c r="RKW141" s="34"/>
      <c r="RKX141" s="34"/>
      <c r="RKY141" s="34"/>
      <c r="RKZ141" s="34"/>
      <c r="RLA141" s="34"/>
      <c r="RLB141" s="34"/>
      <c r="RLC141" s="34"/>
      <c r="RLD141" s="34"/>
      <c r="RLE141" s="34"/>
      <c r="RLF141" s="34"/>
      <c r="RLG141" s="34"/>
      <c r="RLH141" s="34"/>
      <c r="RLI141" s="34"/>
      <c r="RLJ141" s="34"/>
      <c r="RLK141" s="34"/>
      <c r="RLL141" s="34"/>
      <c r="RLM141" s="34"/>
      <c r="RLN141" s="34"/>
      <c r="RLO141" s="34"/>
      <c r="RLP141" s="34"/>
      <c r="RLQ141" s="34"/>
      <c r="RLR141" s="34"/>
      <c r="RLS141" s="34"/>
      <c r="RLT141" s="34"/>
      <c r="RLU141" s="34"/>
      <c r="RLV141" s="34"/>
      <c r="RLW141" s="34"/>
      <c r="RLX141" s="34"/>
      <c r="RLY141" s="34"/>
      <c r="RLZ141" s="34"/>
      <c r="RMA141" s="34"/>
      <c r="RMB141" s="34"/>
      <c r="RMC141" s="34"/>
      <c r="RMD141" s="34"/>
      <c r="RME141" s="34"/>
      <c r="RMF141" s="34"/>
      <c r="RMG141" s="34"/>
      <c r="RMH141" s="34"/>
      <c r="RMI141" s="34"/>
      <c r="RMJ141" s="34"/>
      <c r="RMK141" s="34"/>
      <c r="RML141" s="34"/>
      <c r="RMM141" s="34"/>
      <c r="RMN141" s="34"/>
      <c r="RMO141" s="34"/>
      <c r="RMP141" s="34"/>
      <c r="RMQ141" s="34"/>
      <c r="RMR141" s="34"/>
      <c r="RMS141" s="34"/>
      <c r="RMT141" s="34"/>
      <c r="RMU141" s="34"/>
      <c r="RMV141" s="34"/>
      <c r="RMW141" s="34"/>
      <c r="RMX141" s="34"/>
      <c r="RMY141" s="34"/>
      <c r="RMZ141" s="34"/>
      <c r="RNA141" s="34"/>
      <c r="RNB141" s="34"/>
      <c r="RNC141" s="34"/>
      <c r="RND141" s="34"/>
      <c r="RNE141" s="34"/>
      <c r="RNF141" s="34"/>
      <c r="RNG141" s="34"/>
      <c r="RNH141" s="34"/>
      <c r="RNI141" s="34"/>
      <c r="RNJ141" s="34"/>
      <c r="RNK141" s="34"/>
      <c r="RNL141" s="34"/>
      <c r="RNM141" s="34"/>
      <c r="RNN141" s="34"/>
      <c r="RNO141" s="34"/>
      <c r="RNP141" s="34"/>
      <c r="RNQ141" s="34"/>
      <c r="RNR141" s="34"/>
      <c r="RNS141" s="34"/>
      <c r="RNT141" s="34"/>
      <c r="RNU141" s="34"/>
      <c r="RNV141" s="34"/>
      <c r="RNW141" s="34"/>
      <c r="RNX141" s="34"/>
      <c r="RNY141" s="34"/>
      <c r="RNZ141" s="34"/>
      <c r="ROA141" s="34"/>
      <c r="ROB141" s="34"/>
      <c r="ROC141" s="34"/>
      <c r="ROD141" s="34"/>
      <c r="ROE141" s="34"/>
      <c r="ROF141" s="34"/>
      <c r="ROG141" s="34"/>
      <c r="ROH141" s="34"/>
      <c r="ROI141" s="34"/>
      <c r="ROJ141" s="34"/>
      <c r="ROK141" s="34"/>
      <c r="ROL141" s="34"/>
      <c r="ROM141" s="34"/>
      <c r="RON141" s="34"/>
      <c r="ROO141" s="34"/>
      <c r="ROP141" s="34"/>
      <c r="ROQ141" s="34"/>
      <c r="ROR141" s="34"/>
      <c r="ROS141" s="34"/>
      <c r="ROT141" s="34"/>
      <c r="ROU141" s="34"/>
      <c r="ROV141" s="34"/>
      <c r="ROW141" s="34"/>
      <c r="ROX141" s="34"/>
      <c r="ROY141" s="34"/>
      <c r="ROZ141" s="34"/>
      <c r="RPA141" s="34"/>
      <c r="RPB141" s="34"/>
      <c r="RPC141" s="34"/>
      <c r="RPD141" s="34"/>
      <c r="RPE141" s="34"/>
      <c r="RPF141" s="34"/>
      <c r="RPG141" s="34"/>
      <c r="RPH141" s="34"/>
      <c r="RPI141" s="34"/>
      <c r="RPJ141" s="34"/>
      <c r="RPK141" s="34"/>
      <c r="RPL141" s="34"/>
      <c r="RPM141" s="34"/>
      <c r="RPN141" s="34"/>
      <c r="RPO141" s="34"/>
      <c r="RPP141" s="34"/>
      <c r="RPQ141" s="34"/>
      <c r="RPR141" s="34"/>
      <c r="RPS141" s="34"/>
      <c r="RPT141" s="34"/>
      <c r="RPU141" s="34"/>
      <c r="RPV141" s="34"/>
      <c r="RPW141" s="34"/>
      <c r="RPX141" s="34"/>
      <c r="RPY141" s="34"/>
      <c r="RPZ141" s="34"/>
      <c r="RQA141" s="34"/>
      <c r="RQB141" s="34"/>
      <c r="RQC141" s="34"/>
      <c r="RQD141" s="34"/>
      <c r="RQE141" s="34"/>
      <c r="RQF141" s="34"/>
      <c r="RQG141" s="34"/>
      <c r="RQH141" s="34"/>
      <c r="RQI141" s="34"/>
      <c r="RQJ141" s="34"/>
      <c r="RQK141" s="34"/>
      <c r="RQL141" s="34"/>
      <c r="RQM141" s="34"/>
      <c r="RQN141" s="34"/>
      <c r="RQO141" s="34"/>
      <c r="RQP141" s="34"/>
      <c r="RQQ141" s="34"/>
      <c r="RQR141" s="34"/>
      <c r="RQS141" s="34"/>
      <c r="RQT141" s="34"/>
      <c r="RQU141" s="34"/>
      <c r="RQV141" s="34"/>
      <c r="RQW141" s="34"/>
      <c r="RQX141" s="34"/>
      <c r="RQY141" s="34"/>
      <c r="RQZ141" s="34"/>
      <c r="RRA141" s="34"/>
      <c r="RRB141" s="34"/>
      <c r="RRC141" s="34"/>
      <c r="RRD141" s="34"/>
      <c r="RRE141" s="34"/>
      <c r="RRF141" s="34"/>
      <c r="RRG141" s="34"/>
      <c r="RRH141" s="34"/>
      <c r="RRI141" s="34"/>
      <c r="RRJ141" s="34"/>
      <c r="RRK141" s="34"/>
      <c r="RRL141" s="34"/>
      <c r="RRM141" s="34"/>
      <c r="RRN141" s="34"/>
      <c r="RRO141" s="34"/>
      <c r="RRP141" s="34"/>
      <c r="RRQ141" s="34"/>
      <c r="RRR141" s="34"/>
      <c r="RRS141" s="34"/>
      <c r="RRT141" s="34"/>
      <c r="RRU141" s="34"/>
      <c r="RRV141" s="34"/>
      <c r="RRW141" s="34"/>
      <c r="RRX141" s="34"/>
      <c r="RRY141" s="34"/>
      <c r="RRZ141" s="34"/>
      <c r="RSA141" s="34"/>
      <c r="RSB141" s="34"/>
      <c r="RSC141" s="34"/>
      <c r="RSD141" s="34"/>
      <c r="RSE141" s="34"/>
      <c r="RSF141" s="34"/>
      <c r="RSG141" s="34"/>
      <c r="RSH141" s="34"/>
      <c r="RSI141" s="34"/>
      <c r="RSJ141" s="34"/>
      <c r="RSK141" s="34"/>
      <c r="RSL141" s="34"/>
      <c r="RSM141" s="34"/>
      <c r="RSN141" s="34"/>
      <c r="RSO141" s="34"/>
      <c r="RSP141" s="34"/>
      <c r="RSQ141" s="34"/>
      <c r="RSR141" s="34"/>
      <c r="RSS141" s="34"/>
      <c r="RST141" s="34"/>
      <c r="RSU141" s="34"/>
      <c r="RSV141" s="34"/>
      <c r="RSW141" s="34"/>
      <c r="RSX141" s="34"/>
      <c r="RSY141" s="34"/>
      <c r="RSZ141" s="34"/>
      <c r="RTA141" s="34"/>
      <c r="RTB141" s="34"/>
      <c r="RTC141" s="34"/>
      <c r="RTD141" s="34"/>
      <c r="RTE141" s="34"/>
      <c r="RTF141" s="34"/>
      <c r="RTG141" s="34"/>
      <c r="RTH141" s="34"/>
      <c r="RTI141" s="34"/>
      <c r="RTJ141" s="34"/>
      <c r="RTK141" s="34"/>
      <c r="RTL141" s="34"/>
      <c r="RTM141" s="34"/>
      <c r="RTN141" s="34"/>
      <c r="RTO141" s="34"/>
      <c r="RTP141" s="34"/>
      <c r="RTQ141" s="34"/>
      <c r="RTR141" s="34"/>
      <c r="RTS141" s="34"/>
      <c r="RTT141" s="34"/>
      <c r="RTU141" s="34"/>
      <c r="RTV141" s="34"/>
      <c r="RTW141" s="34"/>
      <c r="RTX141" s="34"/>
      <c r="RTY141" s="34"/>
      <c r="RTZ141" s="34"/>
      <c r="RUA141" s="34"/>
      <c r="RUB141" s="34"/>
      <c r="RUC141" s="34"/>
      <c r="RUD141" s="34"/>
      <c r="RUE141" s="34"/>
      <c r="RUF141" s="34"/>
      <c r="RUG141" s="34"/>
      <c r="RUH141" s="34"/>
      <c r="RUI141" s="34"/>
      <c r="RUJ141" s="34"/>
      <c r="RUK141" s="34"/>
      <c r="RUL141" s="34"/>
      <c r="RUM141" s="34"/>
      <c r="RUN141" s="34"/>
      <c r="RUO141" s="34"/>
      <c r="RUP141" s="34"/>
      <c r="RUQ141" s="34"/>
      <c r="RUR141" s="34"/>
      <c r="RUS141" s="34"/>
      <c r="RUT141" s="34"/>
      <c r="RUU141" s="34"/>
      <c r="RUV141" s="34"/>
      <c r="RUW141" s="34"/>
      <c r="RUX141" s="34"/>
      <c r="RUY141" s="34"/>
      <c r="RUZ141" s="34"/>
      <c r="RVA141" s="34"/>
      <c r="RVB141" s="34"/>
      <c r="RVC141" s="34"/>
      <c r="RVD141" s="34"/>
      <c r="RVE141" s="34"/>
      <c r="RVF141" s="34"/>
      <c r="RVG141" s="34"/>
      <c r="RVH141" s="34"/>
      <c r="RVI141" s="34"/>
      <c r="RVJ141" s="34"/>
      <c r="RVK141" s="34"/>
      <c r="RVL141" s="34"/>
      <c r="RVM141" s="34"/>
      <c r="RVN141" s="34"/>
      <c r="RVO141" s="34"/>
      <c r="RVP141" s="34"/>
      <c r="RVQ141" s="34"/>
      <c r="RVR141" s="34"/>
      <c r="RVS141" s="34"/>
      <c r="RVT141" s="34"/>
      <c r="RVU141" s="34"/>
      <c r="RVV141" s="34"/>
      <c r="RVW141" s="34"/>
      <c r="RVX141" s="34"/>
      <c r="RVY141" s="34"/>
      <c r="RVZ141" s="34"/>
      <c r="RWA141" s="34"/>
      <c r="RWB141" s="34"/>
      <c r="RWC141" s="34"/>
      <c r="RWD141" s="34"/>
      <c r="RWE141" s="34"/>
      <c r="RWF141" s="34"/>
      <c r="RWG141" s="34"/>
      <c r="RWH141" s="34"/>
      <c r="RWI141" s="34"/>
      <c r="RWJ141" s="34"/>
      <c r="RWK141" s="34"/>
      <c r="RWL141" s="34"/>
      <c r="RWM141" s="34"/>
      <c r="RWN141" s="34"/>
      <c r="RWO141" s="34"/>
      <c r="RWP141" s="34"/>
      <c r="RWQ141" s="34"/>
      <c r="RWR141" s="34"/>
      <c r="RWS141" s="34"/>
      <c r="RWT141" s="34"/>
      <c r="RWU141" s="34"/>
      <c r="RWV141" s="34"/>
      <c r="RWW141" s="34"/>
      <c r="RWX141" s="34"/>
      <c r="RWY141" s="34"/>
      <c r="RWZ141" s="34"/>
      <c r="RXA141" s="34"/>
      <c r="RXB141" s="34"/>
      <c r="RXC141" s="34"/>
      <c r="RXD141" s="34"/>
      <c r="RXE141" s="34"/>
      <c r="RXF141" s="34"/>
      <c r="RXG141" s="34"/>
      <c r="RXH141" s="34"/>
      <c r="RXI141" s="34"/>
      <c r="RXJ141" s="34"/>
      <c r="RXK141" s="34"/>
      <c r="RXL141" s="34"/>
      <c r="RXM141" s="34"/>
      <c r="RXN141" s="34"/>
      <c r="RXO141" s="34"/>
      <c r="RXP141" s="34"/>
      <c r="RXQ141" s="34"/>
      <c r="RXR141" s="34"/>
      <c r="RXS141" s="34"/>
      <c r="RXT141" s="34"/>
      <c r="RXU141" s="34"/>
      <c r="RXV141" s="34"/>
      <c r="RXW141" s="34"/>
      <c r="RXX141" s="34"/>
      <c r="RXY141" s="34"/>
      <c r="RXZ141" s="34"/>
      <c r="RYA141" s="34"/>
      <c r="RYB141" s="34"/>
      <c r="RYC141" s="34"/>
      <c r="RYD141" s="34"/>
      <c r="RYE141" s="34"/>
      <c r="RYF141" s="34"/>
      <c r="RYG141" s="34"/>
      <c r="RYH141" s="34"/>
      <c r="RYI141" s="34"/>
      <c r="RYJ141" s="34"/>
      <c r="RYK141" s="34"/>
      <c r="RYL141" s="34"/>
      <c r="RYM141" s="34"/>
      <c r="RYN141" s="34"/>
      <c r="RYO141" s="34"/>
      <c r="RYP141" s="34"/>
      <c r="RYQ141" s="34"/>
      <c r="RYR141" s="34"/>
      <c r="RYS141" s="34"/>
      <c r="RYT141" s="34"/>
      <c r="RYU141" s="34"/>
      <c r="RYV141" s="34"/>
      <c r="RYW141" s="34"/>
      <c r="RYX141" s="34"/>
      <c r="RYY141" s="34"/>
      <c r="RYZ141" s="34"/>
      <c r="RZA141" s="34"/>
      <c r="RZB141" s="34"/>
      <c r="RZC141" s="34"/>
      <c r="RZD141" s="34"/>
      <c r="RZE141" s="34"/>
      <c r="RZF141" s="34"/>
      <c r="RZG141" s="34"/>
      <c r="RZH141" s="34"/>
      <c r="RZI141" s="34"/>
      <c r="RZJ141" s="34"/>
      <c r="RZK141" s="34"/>
      <c r="RZL141" s="34"/>
      <c r="RZM141" s="34"/>
      <c r="RZN141" s="34"/>
      <c r="RZO141" s="34"/>
      <c r="RZP141" s="34"/>
      <c r="RZQ141" s="34"/>
      <c r="RZR141" s="34"/>
      <c r="RZS141" s="34"/>
      <c r="RZT141" s="34"/>
      <c r="RZU141" s="34"/>
      <c r="RZV141" s="34"/>
      <c r="RZW141" s="34"/>
      <c r="RZX141" s="34"/>
      <c r="RZY141" s="34"/>
      <c r="RZZ141" s="34"/>
      <c r="SAA141" s="34"/>
      <c r="SAB141" s="34"/>
      <c r="SAC141" s="34"/>
      <c r="SAD141" s="34"/>
      <c r="SAE141" s="34"/>
      <c r="SAF141" s="34"/>
      <c r="SAG141" s="34"/>
      <c r="SAH141" s="34"/>
      <c r="SAI141" s="34"/>
      <c r="SAJ141" s="34"/>
      <c r="SAK141" s="34"/>
      <c r="SAL141" s="34"/>
      <c r="SAM141" s="34"/>
      <c r="SAN141" s="34"/>
      <c r="SAO141" s="34"/>
      <c r="SAP141" s="34"/>
      <c r="SAQ141" s="34"/>
      <c r="SAR141" s="34"/>
      <c r="SAS141" s="34"/>
      <c r="SAT141" s="34"/>
      <c r="SAU141" s="34"/>
      <c r="SAV141" s="34"/>
      <c r="SAW141" s="34"/>
      <c r="SAX141" s="34"/>
      <c r="SAY141" s="34"/>
      <c r="SAZ141" s="34"/>
      <c r="SBA141" s="34"/>
      <c r="SBB141" s="34"/>
      <c r="SBC141" s="34"/>
      <c r="SBD141" s="34"/>
      <c r="SBE141" s="34"/>
      <c r="SBF141" s="34"/>
      <c r="SBG141" s="34"/>
      <c r="SBH141" s="34"/>
      <c r="SBI141" s="34"/>
      <c r="SBJ141" s="34"/>
      <c r="SBK141" s="34"/>
      <c r="SBL141" s="34"/>
      <c r="SBM141" s="34"/>
      <c r="SBN141" s="34"/>
      <c r="SBO141" s="34"/>
      <c r="SBP141" s="34"/>
      <c r="SBQ141" s="34"/>
      <c r="SBR141" s="34"/>
      <c r="SBS141" s="34"/>
      <c r="SBT141" s="34"/>
      <c r="SBU141" s="34"/>
      <c r="SBV141" s="34"/>
      <c r="SBW141" s="34"/>
      <c r="SBX141" s="34"/>
      <c r="SBY141" s="34"/>
      <c r="SBZ141" s="34"/>
      <c r="SCA141" s="34"/>
      <c r="SCB141" s="34"/>
      <c r="SCC141" s="34"/>
      <c r="SCD141" s="34"/>
      <c r="SCE141" s="34"/>
      <c r="SCF141" s="34"/>
      <c r="SCG141" s="34"/>
      <c r="SCH141" s="34"/>
      <c r="SCI141" s="34"/>
      <c r="SCJ141" s="34"/>
      <c r="SCK141" s="34"/>
      <c r="SCL141" s="34"/>
      <c r="SCM141" s="34"/>
      <c r="SCN141" s="34"/>
      <c r="SCO141" s="34"/>
      <c r="SCP141" s="34"/>
      <c r="SCQ141" s="34"/>
      <c r="SCR141" s="34"/>
      <c r="SCS141" s="34"/>
      <c r="SCT141" s="34"/>
      <c r="SCU141" s="34"/>
      <c r="SCV141" s="34"/>
      <c r="SCW141" s="34"/>
      <c r="SCX141" s="34"/>
      <c r="SCY141" s="34"/>
      <c r="SCZ141" s="34"/>
      <c r="SDA141" s="34"/>
      <c r="SDB141" s="34"/>
      <c r="SDC141" s="34"/>
      <c r="SDD141" s="34"/>
      <c r="SDE141" s="34"/>
      <c r="SDF141" s="34"/>
      <c r="SDG141" s="34"/>
      <c r="SDH141" s="34"/>
      <c r="SDI141" s="34"/>
      <c r="SDJ141" s="34"/>
      <c r="SDK141" s="34"/>
      <c r="SDL141" s="34"/>
      <c r="SDM141" s="34"/>
      <c r="SDN141" s="34"/>
      <c r="SDO141" s="34"/>
      <c r="SDP141" s="34"/>
      <c r="SDQ141" s="34"/>
      <c r="SDR141" s="34"/>
      <c r="SDS141" s="34"/>
      <c r="SDT141" s="34"/>
      <c r="SDU141" s="34"/>
      <c r="SDV141" s="34"/>
      <c r="SDW141" s="34"/>
      <c r="SDX141" s="34"/>
      <c r="SDY141" s="34"/>
      <c r="SDZ141" s="34"/>
      <c r="SEA141" s="34"/>
      <c r="SEB141" s="34"/>
      <c r="SEC141" s="34"/>
      <c r="SED141" s="34"/>
      <c r="SEE141" s="34"/>
      <c r="SEF141" s="34"/>
      <c r="SEG141" s="34"/>
      <c r="SEH141" s="34"/>
      <c r="SEI141" s="34"/>
      <c r="SEJ141" s="34"/>
      <c r="SEK141" s="34"/>
      <c r="SEL141" s="34"/>
      <c r="SEM141" s="34"/>
      <c r="SEN141" s="34"/>
      <c r="SEO141" s="34"/>
      <c r="SEP141" s="34"/>
      <c r="SEQ141" s="34"/>
      <c r="SER141" s="34"/>
      <c r="SES141" s="34"/>
      <c r="SET141" s="34"/>
      <c r="SEU141" s="34"/>
      <c r="SEV141" s="34"/>
      <c r="SEW141" s="34"/>
      <c r="SEX141" s="34"/>
      <c r="SEY141" s="34"/>
      <c r="SEZ141" s="34"/>
      <c r="SFA141" s="34"/>
      <c r="SFB141" s="34"/>
      <c r="SFC141" s="34"/>
      <c r="SFD141" s="34"/>
      <c r="SFE141" s="34"/>
      <c r="SFF141" s="34"/>
      <c r="SFG141" s="34"/>
      <c r="SFH141" s="34"/>
      <c r="SFI141" s="34"/>
      <c r="SFJ141" s="34"/>
      <c r="SFK141" s="34"/>
      <c r="SFL141" s="34"/>
      <c r="SFM141" s="34"/>
      <c r="SFN141" s="34"/>
      <c r="SFO141" s="34"/>
      <c r="SFP141" s="34"/>
      <c r="SFQ141" s="34"/>
      <c r="SFR141" s="34"/>
      <c r="SFS141" s="34"/>
      <c r="SFT141" s="34"/>
      <c r="SFU141" s="34"/>
      <c r="SFV141" s="34"/>
      <c r="SFW141" s="34"/>
      <c r="SFX141" s="34"/>
      <c r="SFY141" s="34"/>
      <c r="SFZ141" s="34"/>
      <c r="SGA141" s="34"/>
      <c r="SGB141" s="34"/>
      <c r="SGC141" s="34"/>
      <c r="SGD141" s="34"/>
      <c r="SGE141" s="34"/>
      <c r="SGF141" s="34"/>
      <c r="SGG141" s="34"/>
      <c r="SGH141" s="34"/>
      <c r="SGI141" s="34"/>
      <c r="SGJ141" s="34"/>
      <c r="SGK141" s="34"/>
      <c r="SGL141" s="34"/>
      <c r="SGM141" s="34"/>
      <c r="SGN141" s="34"/>
      <c r="SGO141" s="34"/>
      <c r="SGP141" s="34"/>
      <c r="SGQ141" s="34"/>
      <c r="SGR141" s="34"/>
      <c r="SGS141" s="34"/>
      <c r="SGT141" s="34"/>
      <c r="SGU141" s="34"/>
      <c r="SGV141" s="34"/>
      <c r="SGW141" s="34"/>
      <c r="SGX141" s="34"/>
      <c r="SGY141" s="34"/>
      <c r="SGZ141" s="34"/>
      <c r="SHA141" s="34"/>
      <c r="SHB141" s="34"/>
      <c r="SHC141" s="34"/>
      <c r="SHD141" s="34"/>
      <c r="SHE141" s="34"/>
      <c r="SHF141" s="34"/>
      <c r="SHG141" s="34"/>
      <c r="SHH141" s="34"/>
      <c r="SHI141" s="34"/>
      <c r="SHJ141" s="34"/>
      <c r="SHK141" s="34"/>
      <c r="SHL141" s="34"/>
      <c r="SHM141" s="34"/>
      <c r="SHN141" s="34"/>
      <c r="SHO141" s="34"/>
      <c r="SHP141" s="34"/>
      <c r="SHQ141" s="34"/>
      <c r="SHR141" s="34"/>
      <c r="SHS141" s="34"/>
      <c r="SHT141" s="34"/>
      <c r="SHU141" s="34"/>
      <c r="SHV141" s="34"/>
      <c r="SHW141" s="34"/>
      <c r="SHX141" s="34"/>
      <c r="SHY141" s="34"/>
      <c r="SHZ141" s="34"/>
      <c r="SIA141" s="34"/>
      <c r="SIB141" s="34"/>
      <c r="SIC141" s="34"/>
      <c r="SID141" s="34"/>
      <c r="SIE141" s="34"/>
      <c r="SIF141" s="34"/>
      <c r="SIG141" s="34"/>
      <c r="SIH141" s="34"/>
      <c r="SII141" s="34"/>
      <c r="SIJ141" s="34"/>
      <c r="SIK141" s="34"/>
      <c r="SIL141" s="34"/>
      <c r="SIM141" s="34"/>
      <c r="SIN141" s="34"/>
      <c r="SIO141" s="34"/>
      <c r="SIP141" s="34"/>
      <c r="SIQ141" s="34"/>
      <c r="SIR141" s="34"/>
      <c r="SIS141" s="34"/>
      <c r="SIT141" s="34"/>
      <c r="SIU141" s="34"/>
      <c r="SIV141" s="34"/>
      <c r="SIW141" s="34"/>
      <c r="SIX141" s="34"/>
      <c r="SIY141" s="34"/>
      <c r="SIZ141" s="34"/>
      <c r="SJA141" s="34"/>
      <c r="SJB141" s="34"/>
      <c r="SJC141" s="34"/>
      <c r="SJD141" s="34"/>
      <c r="SJE141" s="34"/>
      <c r="SJF141" s="34"/>
      <c r="SJG141" s="34"/>
      <c r="SJH141" s="34"/>
      <c r="SJI141" s="34"/>
      <c r="SJJ141" s="34"/>
      <c r="SJK141" s="34"/>
      <c r="SJL141" s="34"/>
      <c r="SJM141" s="34"/>
      <c r="SJN141" s="34"/>
      <c r="SJO141" s="34"/>
      <c r="SJP141" s="34"/>
      <c r="SJQ141" s="34"/>
      <c r="SJR141" s="34"/>
      <c r="SJS141" s="34"/>
      <c r="SJT141" s="34"/>
      <c r="SJU141" s="34"/>
      <c r="SJV141" s="34"/>
      <c r="SJW141" s="34"/>
      <c r="SJX141" s="34"/>
      <c r="SJY141" s="34"/>
      <c r="SJZ141" s="34"/>
      <c r="SKA141" s="34"/>
      <c r="SKB141" s="34"/>
      <c r="SKC141" s="34"/>
      <c r="SKD141" s="34"/>
      <c r="SKE141" s="34"/>
      <c r="SKF141" s="34"/>
      <c r="SKG141" s="34"/>
      <c r="SKH141" s="34"/>
      <c r="SKI141" s="34"/>
      <c r="SKJ141" s="34"/>
      <c r="SKK141" s="34"/>
      <c r="SKL141" s="34"/>
      <c r="SKM141" s="34"/>
      <c r="SKN141" s="34"/>
      <c r="SKO141" s="34"/>
      <c r="SKP141" s="34"/>
      <c r="SKQ141" s="34"/>
      <c r="SKR141" s="34"/>
      <c r="SKS141" s="34"/>
      <c r="SKT141" s="34"/>
      <c r="SKU141" s="34"/>
      <c r="SKV141" s="34"/>
      <c r="SKW141" s="34"/>
      <c r="SKX141" s="34"/>
      <c r="SKY141" s="34"/>
      <c r="SKZ141" s="34"/>
      <c r="SLA141" s="34"/>
      <c r="SLB141" s="34"/>
      <c r="SLC141" s="34"/>
      <c r="SLD141" s="34"/>
      <c r="SLE141" s="34"/>
      <c r="SLF141" s="34"/>
      <c r="SLG141" s="34"/>
      <c r="SLH141" s="34"/>
      <c r="SLI141" s="34"/>
      <c r="SLJ141" s="34"/>
      <c r="SLK141" s="34"/>
      <c r="SLL141" s="34"/>
      <c r="SLM141" s="34"/>
      <c r="SLN141" s="34"/>
      <c r="SLO141" s="34"/>
      <c r="SLP141" s="34"/>
      <c r="SLQ141" s="34"/>
      <c r="SLR141" s="34"/>
      <c r="SLS141" s="34"/>
      <c r="SLT141" s="34"/>
      <c r="SLU141" s="34"/>
      <c r="SLV141" s="34"/>
      <c r="SLW141" s="34"/>
      <c r="SLX141" s="34"/>
      <c r="SLY141" s="34"/>
      <c r="SLZ141" s="34"/>
      <c r="SMA141" s="34"/>
      <c r="SMB141" s="34"/>
      <c r="SMC141" s="34"/>
      <c r="SMD141" s="34"/>
      <c r="SME141" s="34"/>
      <c r="SMF141" s="34"/>
      <c r="SMG141" s="34"/>
      <c r="SMH141" s="34"/>
      <c r="SMI141" s="34"/>
      <c r="SMJ141" s="34"/>
      <c r="SMK141" s="34"/>
      <c r="SML141" s="34"/>
      <c r="SMM141" s="34"/>
      <c r="SMN141" s="34"/>
      <c r="SMO141" s="34"/>
      <c r="SMP141" s="34"/>
      <c r="SMQ141" s="34"/>
      <c r="SMR141" s="34"/>
      <c r="SMS141" s="34"/>
      <c r="SMT141" s="34"/>
      <c r="SMU141" s="34"/>
      <c r="SMV141" s="34"/>
      <c r="SMW141" s="34"/>
      <c r="SMX141" s="34"/>
      <c r="SMY141" s="34"/>
      <c r="SMZ141" s="34"/>
      <c r="SNA141" s="34"/>
      <c r="SNB141" s="34"/>
      <c r="SNC141" s="34"/>
      <c r="SND141" s="34"/>
      <c r="SNE141" s="34"/>
      <c r="SNF141" s="34"/>
      <c r="SNG141" s="34"/>
      <c r="SNH141" s="34"/>
      <c r="SNI141" s="34"/>
      <c r="SNJ141" s="34"/>
      <c r="SNK141" s="34"/>
      <c r="SNL141" s="34"/>
      <c r="SNM141" s="34"/>
      <c r="SNN141" s="34"/>
      <c r="SNO141" s="34"/>
      <c r="SNP141" s="34"/>
      <c r="SNQ141" s="34"/>
      <c r="SNR141" s="34"/>
      <c r="SNS141" s="34"/>
      <c r="SNT141" s="34"/>
      <c r="SNU141" s="34"/>
      <c r="SNV141" s="34"/>
      <c r="SNW141" s="34"/>
      <c r="SNX141" s="34"/>
      <c r="SNY141" s="34"/>
      <c r="SNZ141" s="34"/>
      <c r="SOA141" s="34"/>
      <c r="SOB141" s="34"/>
      <c r="SOC141" s="34"/>
      <c r="SOD141" s="34"/>
      <c r="SOE141" s="34"/>
      <c r="SOF141" s="34"/>
      <c r="SOG141" s="34"/>
      <c r="SOH141" s="34"/>
      <c r="SOI141" s="34"/>
      <c r="SOJ141" s="34"/>
      <c r="SOK141" s="34"/>
      <c r="SOL141" s="34"/>
      <c r="SOM141" s="34"/>
      <c r="SON141" s="34"/>
      <c r="SOO141" s="34"/>
      <c r="SOP141" s="34"/>
      <c r="SOQ141" s="34"/>
      <c r="SOR141" s="34"/>
      <c r="SOS141" s="34"/>
      <c r="SOT141" s="34"/>
      <c r="SOU141" s="34"/>
      <c r="SOV141" s="34"/>
      <c r="SOW141" s="34"/>
      <c r="SOX141" s="34"/>
      <c r="SOY141" s="34"/>
      <c r="SOZ141" s="34"/>
      <c r="SPA141" s="34"/>
      <c r="SPB141" s="34"/>
      <c r="SPC141" s="34"/>
      <c r="SPD141" s="34"/>
      <c r="SPE141" s="34"/>
      <c r="SPF141" s="34"/>
      <c r="SPG141" s="34"/>
      <c r="SPH141" s="34"/>
      <c r="SPI141" s="34"/>
      <c r="SPJ141" s="34"/>
      <c r="SPK141" s="34"/>
      <c r="SPL141" s="34"/>
      <c r="SPM141" s="34"/>
      <c r="SPN141" s="34"/>
      <c r="SPO141" s="34"/>
      <c r="SPP141" s="34"/>
      <c r="SPQ141" s="34"/>
      <c r="SPR141" s="34"/>
      <c r="SPS141" s="34"/>
      <c r="SPT141" s="34"/>
      <c r="SPU141" s="34"/>
      <c r="SPV141" s="34"/>
      <c r="SPW141" s="34"/>
      <c r="SPX141" s="34"/>
      <c r="SPY141" s="34"/>
      <c r="SPZ141" s="34"/>
      <c r="SQA141" s="34"/>
      <c r="SQB141" s="34"/>
      <c r="SQC141" s="34"/>
      <c r="SQD141" s="34"/>
      <c r="SQE141" s="34"/>
      <c r="SQF141" s="34"/>
      <c r="SQG141" s="34"/>
      <c r="SQH141" s="34"/>
      <c r="SQI141" s="34"/>
      <c r="SQJ141" s="34"/>
      <c r="SQK141" s="34"/>
      <c r="SQL141" s="34"/>
      <c r="SQM141" s="34"/>
      <c r="SQN141" s="34"/>
      <c r="SQO141" s="34"/>
      <c r="SQP141" s="34"/>
      <c r="SQQ141" s="34"/>
      <c r="SQR141" s="34"/>
      <c r="SQS141" s="34"/>
      <c r="SQT141" s="34"/>
      <c r="SQU141" s="34"/>
      <c r="SQV141" s="34"/>
      <c r="SQW141" s="34"/>
      <c r="SQX141" s="34"/>
      <c r="SQY141" s="34"/>
      <c r="SQZ141" s="34"/>
      <c r="SRA141" s="34"/>
      <c r="SRB141" s="34"/>
      <c r="SRC141" s="34"/>
      <c r="SRD141" s="34"/>
      <c r="SRE141" s="34"/>
      <c r="SRF141" s="34"/>
      <c r="SRG141" s="34"/>
      <c r="SRH141" s="34"/>
      <c r="SRI141" s="34"/>
      <c r="SRJ141" s="34"/>
      <c r="SRK141" s="34"/>
      <c r="SRL141" s="34"/>
      <c r="SRM141" s="34"/>
      <c r="SRN141" s="34"/>
      <c r="SRO141" s="34"/>
      <c r="SRP141" s="34"/>
      <c r="SRQ141" s="34"/>
      <c r="SRR141" s="34"/>
      <c r="SRS141" s="34"/>
      <c r="SRT141" s="34"/>
      <c r="SRU141" s="34"/>
      <c r="SRV141" s="34"/>
      <c r="SRW141" s="34"/>
      <c r="SRX141" s="34"/>
      <c r="SRY141" s="34"/>
      <c r="SRZ141" s="34"/>
      <c r="SSA141" s="34"/>
      <c r="SSB141" s="34"/>
      <c r="SSC141" s="34"/>
      <c r="SSD141" s="34"/>
      <c r="SSE141" s="34"/>
      <c r="SSF141" s="34"/>
      <c r="SSG141" s="34"/>
      <c r="SSH141" s="34"/>
      <c r="SSI141" s="34"/>
      <c r="SSJ141" s="34"/>
      <c r="SSK141" s="34"/>
      <c r="SSL141" s="34"/>
      <c r="SSM141" s="34"/>
      <c r="SSN141" s="34"/>
      <c r="SSO141" s="34"/>
      <c r="SSP141" s="34"/>
      <c r="SSQ141" s="34"/>
      <c r="SSR141" s="34"/>
      <c r="SSS141" s="34"/>
      <c r="SST141" s="34"/>
      <c r="SSU141" s="34"/>
      <c r="SSV141" s="34"/>
      <c r="SSW141" s="34"/>
      <c r="SSX141" s="34"/>
      <c r="SSY141" s="34"/>
      <c r="SSZ141" s="34"/>
      <c r="STA141" s="34"/>
      <c r="STB141" s="34"/>
      <c r="STC141" s="34"/>
      <c r="STD141" s="34"/>
      <c r="STE141" s="34"/>
      <c r="STF141" s="34"/>
      <c r="STG141" s="34"/>
      <c r="STH141" s="34"/>
      <c r="STI141" s="34"/>
      <c r="STJ141" s="34"/>
      <c r="STK141" s="34"/>
      <c r="STL141" s="34"/>
      <c r="STM141" s="34"/>
      <c r="STN141" s="34"/>
      <c r="STO141" s="34"/>
      <c r="STP141" s="34"/>
      <c r="STQ141" s="34"/>
      <c r="STR141" s="34"/>
      <c r="STS141" s="34"/>
      <c r="STT141" s="34"/>
      <c r="STU141" s="34"/>
      <c r="STV141" s="34"/>
      <c r="STW141" s="34"/>
      <c r="STX141" s="34"/>
      <c r="STY141" s="34"/>
      <c r="STZ141" s="34"/>
      <c r="SUA141" s="34"/>
      <c r="SUB141" s="34"/>
      <c r="SUC141" s="34"/>
      <c r="SUD141" s="34"/>
      <c r="SUE141" s="34"/>
      <c r="SUF141" s="34"/>
      <c r="SUG141" s="34"/>
      <c r="SUH141" s="34"/>
      <c r="SUI141" s="34"/>
      <c r="SUJ141" s="34"/>
      <c r="SUK141" s="34"/>
      <c r="SUL141" s="34"/>
      <c r="SUM141" s="34"/>
      <c r="SUN141" s="34"/>
      <c r="SUO141" s="34"/>
      <c r="SUP141" s="34"/>
      <c r="SUQ141" s="34"/>
      <c r="SUR141" s="34"/>
      <c r="SUS141" s="34"/>
      <c r="SUT141" s="34"/>
      <c r="SUU141" s="34"/>
      <c r="SUV141" s="34"/>
      <c r="SUW141" s="34"/>
      <c r="SUX141" s="34"/>
      <c r="SUY141" s="34"/>
      <c r="SUZ141" s="34"/>
      <c r="SVA141" s="34"/>
      <c r="SVB141" s="34"/>
      <c r="SVC141" s="34"/>
      <c r="SVD141" s="34"/>
      <c r="SVE141" s="34"/>
      <c r="SVF141" s="34"/>
      <c r="SVG141" s="34"/>
      <c r="SVH141" s="34"/>
      <c r="SVI141" s="34"/>
      <c r="SVJ141" s="34"/>
      <c r="SVK141" s="34"/>
      <c r="SVL141" s="34"/>
      <c r="SVM141" s="34"/>
      <c r="SVN141" s="34"/>
      <c r="SVO141" s="34"/>
      <c r="SVP141" s="34"/>
      <c r="SVQ141" s="34"/>
      <c r="SVR141" s="34"/>
      <c r="SVS141" s="34"/>
      <c r="SVT141" s="34"/>
      <c r="SVU141" s="34"/>
      <c r="SVV141" s="34"/>
      <c r="SVW141" s="34"/>
      <c r="SVX141" s="34"/>
      <c r="SVY141" s="34"/>
      <c r="SVZ141" s="34"/>
      <c r="SWA141" s="34"/>
      <c r="SWB141" s="34"/>
      <c r="SWC141" s="34"/>
      <c r="SWD141" s="34"/>
      <c r="SWE141" s="34"/>
      <c r="SWF141" s="34"/>
      <c r="SWG141" s="34"/>
      <c r="SWH141" s="34"/>
      <c r="SWI141" s="34"/>
      <c r="SWJ141" s="34"/>
      <c r="SWK141" s="34"/>
      <c r="SWL141" s="34"/>
      <c r="SWM141" s="34"/>
      <c r="SWN141" s="34"/>
      <c r="SWO141" s="34"/>
      <c r="SWP141" s="34"/>
      <c r="SWQ141" s="34"/>
      <c r="SWR141" s="34"/>
      <c r="SWS141" s="34"/>
      <c r="SWT141" s="34"/>
      <c r="SWU141" s="34"/>
      <c r="SWV141" s="34"/>
      <c r="SWW141" s="34"/>
      <c r="SWX141" s="34"/>
      <c r="SWY141" s="34"/>
      <c r="SWZ141" s="34"/>
      <c r="SXA141" s="34"/>
      <c r="SXB141" s="34"/>
      <c r="SXC141" s="34"/>
      <c r="SXD141" s="34"/>
      <c r="SXE141" s="34"/>
      <c r="SXF141" s="34"/>
      <c r="SXG141" s="34"/>
      <c r="SXH141" s="34"/>
      <c r="SXI141" s="34"/>
      <c r="SXJ141" s="34"/>
      <c r="SXK141" s="34"/>
      <c r="SXL141" s="34"/>
      <c r="SXM141" s="34"/>
      <c r="SXN141" s="34"/>
      <c r="SXO141" s="34"/>
      <c r="SXP141" s="34"/>
      <c r="SXQ141" s="34"/>
      <c r="SXR141" s="34"/>
      <c r="SXS141" s="34"/>
      <c r="SXT141" s="34"/>
      <c r="SXU141" s="34"/>
      <c r="SXV141" s="34"/>
      <c r="SXW141" s="34"/>
      <c r="SXX141" s="34"/>
      <c r="SXY141" s="34"/>
      <c r="SXZ141" s="34"/>
      <c r="SYA141" s="34"/>
      <c r="SYB141" s="34"/>
      <c r="SYC141" s="34"/>
      <c r="SYD141" s="34"/>
      <c r="SYE141" s="34"/>
      <c r="SYF141" s="34"/>
      <c r="SYG141" s="34"/>
      <c r="SYH141" s="34"/>
      <c r="SYI141" s="34"/>
      <c r="SYJ141" s="34"/>
      <c r="SYK141" s="34"/>
      <c r="SYL141" s="34"/>
      <c r="SYM141" s="34"/>
      <c r="SYN141" s="34"/>
      <c r="SYO141" s="34"/>
      <c r="SYP141" s="34"/>
      <c r="SYQ141" s="34"/>
      <c r="SYR141" s="34"/>
      <c r="SYS141" s="34"/>
      <c r="SYT141" s="34"/>
      <c r="SYU141" s="34"/>
      <c r="SYV141" s="34"/>
      <c r="SYW141" s="34"/>
      <c r="SYX141" s="34"/>
      <c r="SYY141" s="34"/>
      <c r="SYZ141" s="34"/>
      <c r="SZA141" s="34"/>
      <c r="SZB141" s="34"/>
      <c r="SZC141" s="34"/>
      <c r="SZD141" s="34"/>
      <c r="SZE141" s="34"/>
      <c r="SZF141" s="34"/>
      <c r="SZG141" s="34"/>
      <c r="SZH141" s="34"/>
      <c r="SZI141" s="34"/>
      <c r="SZJ141" s="34"/>
      <c r="SZK141" s="34"/>
      <c r="SZL141" s="34"/>
      <c r="SZM141" s="34"/>
      <c r="SZN141" s="34"/>
      <c r="SZO141" s="34"/>
      <c r="SZP141" s="34"/>
      <c r="SZQ141" s="34"/>
      <c r="SZR141" s="34"/>
      <c r="SZS141" s="34"/>
      <c r="SZT141" s="34"/>
      <c r="SZU141" s="34"/>
      <c r="SZV141" s="34"/>
      <c r="SZW141" s="34"/>
      <c r="SZX141" s="34"/>
      <c r="SZY141" s="34"/>
      <c r="SZZ141" s="34"/>
      <c r="TAA141" s="34"/>
      <c r="TAB141" s="34"/>
      <c r="TAC141" s="34"/>
      <c r="TAD141" s="34"/>
      <c r="TAE141" s="34"/>
      <c r="TAF141" s="34"/>
      <c r="TAG141" s="34"/>
      <c r="TAH141" s="34"/>
      <c r="TAI141" s="34"/>
      <c r="TAJ141" s="34"/>
      <c r="TAK141" s="34"/>
      <c r="TAL141" s="34"/>
      <c r="TAM141" s="34"/>
      <c r="TAN141" s="34"/>
      <c r="TAO141" s="34"/>
      <c r="TAP141" s="34"/>
      <c r="TAQ141" s="34"/>
      <c r="TAR141" s="34"/>
      <c r="TAS141" s="34"/>
      <c r="TAT141" s="34"/>
      <c r="TAU141" s="34"/>
      <c r="TAV141" s="34"/>
      <c r="TAW141" s="34"/>
      <c r="TAX141" s="34"/>
      <c r="TAY141" s="34"/>
      <c r="TAZ141" s="34"/>
      <c r="TBA141" s="34"/>
      <c r="TBB141" s="34"/>
      <c r="TBC141" s="34"/>
      <c r="TBD141" s="34"/>
      <c r="TBE141" s="34"/>
      <c r="TBF141" s="34"/>
      <c r="TBG141" s="34"/>
      <c r="TBH141" s="34"/>
      <c r="TBI141" s="34"/>
      <c r="TBJ141" s="34"/>
      <c r="TBK141" s="34"/>
      <c r="TBL141" s="34"/>
      <c r="TBM141" s="34"/>
      <c r="TBN141" s="34"/>
      <c r="TBO141" s="34"/>
      <c r="TBP141" s="34"/>
      <c r="TBQ141" s="34"/>
      <c r="TBR141" s="34"/>
      <c r="TBS141" s="34"/>
      <c r="TBT141" s="34"/>
      <c r="TBU141" s="34"/>
      <c r="TBV141" s="34"/>
      <c r="TBW141" s="34"/>
      <c r="TBX141" s="34"/>
      <c r="TBY141" s="34"/>
      <c r="TBZ141" s="34"/>
      <c r="TCA141" s="34"/>
      <c r="TCB141" s="34"/>
      <c r="TCC141" s="34"/>
      <c r="TCD141" s="34"/>
      <c r="TCE141" s="34"/>
      <c r="TCF141" s="34"/>
      <c r="TCG141" s="34"/>
      <c r="TCH141" s="34"/>
      <c r="TCI141" s="34"/>
      <c r="TCJ141" s="34"/>
      <c r="TCK141" s="34"/>
      <c r="TCL141" s="34"/>
      <c r="TCM141" s="34"/>
      <c r="TCN141" s="34"/>
      <c r="TCO141" s="34"/>
      <c r="TCP141" s="34"/>
      <c r="TCQ141" s="34"/>
      <c r="TCR141" s="34"/>
      <c r="TCS141" s="34"/>
      <c r="TCT141" s="34"/>
      <c r="TCU141" s="34"/>
      <c r="TCV141" s="34"/>
      <c r="TCW141" s="34"/>
      <c r="TCX141" s="34"/>
      <c r="TCY141" s="34"/>
      <c r="TCZ141" s="34"/>
      <c r="TDA141" s="34"/>
      <c r="TDB141" s="34"/>
      <c r="TDC141" s="34"/>
      <c r="TDD141" s="34"/>
      <c r="TDE141" s="34"/>
      <c r="TDF141" s="34"/>
      <c r="TDG141" s="34"/>
      <c r="TDH141" s="34"/>
      <c r="TDI141" s="34"/>
      <c r="TDJ141" s="34"/>
      <c r="TDK141" s="34"/>
      <c r="TDL141" s="34"/>
      <c r="TDM141" s="34"/>
      <c r="TDN141" s="34"/>
      <c r="TDO141" s="34"/>
      <c r="TDP141" s="34"/>
      <c r="TDQ141" s="34"/>
      <c r="TDR141" s="34"/>
      <c r="TDS141" s="34"/>
      <c r="TDT141" s="34"/>
      <c r="TDU141" s="34"/>
      <c r="TDV141" s="34"/>
      <c r="TDW141" s="34"/>
      <c r="TDX141" s="34"/>
      <c r="TDY141" s="34"/>
      <c r="TDZ141" s="34"/>
      <c r="TEA141" s="34"/>
      <c r="TEB141" s="34"/>
      <c r="TEC141" s="34"/>
      <c r="TED141" s="34"/>
      <c r="TEE141" s="34"/>
      <c r="TEF141" s="34"/>
      <c r="TEG141" s="34"/>
      <c r="TEH141" s="34"/>
      <c r="TEI141" s="34"/>
      <c r="TEJ141" s="34"/>
      <c r="TEK141" s="34"/>
      <c r="TEL141" s="34"/>
      <c r="TEM141" s="34"/>
      <c r="TEN141" s="34"/>
      <c r="TEO141" s="34"/>
      <c r="TEP141" s="34"/>
      <c r="TEQ141" s="34"/>
      <c r="TER141" s="34"/>
      <c r="TES141" s="34"/>
      <c r="TET141" s="34"/>
      <c r="TEU141" s="34"/>
      <c r="TEV141" s="34"/>
      <c r="TEW141" s="34"/>
      <c r="TEX141" s="34"/>
      <c r="TEY141" s="34"/>
      <c r="TEZ141" s="34"/>
      <c r="TFA141" s="34"/>
      <c r="TFB141" s="34"/>
      <c r="TFC141" s="34"/>
      <c r="TFD141" s="34"/>
      <c r="TFE141" s="34"/>
      <c r="TFF141" s="34"/>
      <c r="TFG141" s="34"/>
      <c r="TFH141" s="34"/>
      <c r="TFI141" s="34"/>
      <c r="TFJ141" s="34"/>
      <c r="TFK141" s="34"/>
      <c r="TFL141" s="34"/>
      <c r="TFM141" s="34"/>
      <c r="TFN141" s="34"/>
      <c r="TFO141" s="34"/>
      <c r="TFP141" s="34"/>
      <c r="TFQ141" s="34"/>
      <c r="TFR141" s="34"/>
      <c r="TFS141" s="34"/>
      <c r="TFT141" s="34"/>
      <c r="TFU141" s="34"/>
      <c r="TFV141" s="34"/>
      <c r="TFW141" s="34"/>
      <c r="TFX141" s="34"/>
      <c r="TFY141" s="34"/>
      <c r="TFZ141" s="34"/>
      <c r="TGA141" s="34"/>
      <c r="TGB141" s="34"/>
      <c r="TGC141" s="34"/>
      <c r="TGD141" s="34"/>
      <c r="TGE141" s="34"/>
      <c r="TGF141" s="34"/>
      <c r="TGG141" s="34"/>
      <c r="TGH141" s="34"/>
      <c r="TGI141" s="34"/>
      <c r="TGJ141" s="34"/>
      <c r="TGK141" s="34"/>
      <c r="TGL141" s="34"/>
      <c r="TGM141" s="34"/>
      <c r="TGN141" s="34"/>
      <c r="TGO141" s="34"/>
      <c r="TGP141" s="34"/>
      <c r="TGQ141" s="34"/>
      <c r="TGR141" s="34"/>
      <c r="TGS141" s="34"/>
      <c r="TGT141" s="34"/>
      <c r="TGU141" s="34"/>
      <c r="TGV141" s="34"/>
      <c r="TGW141" s="34"/>
      <c r="TGX141" s="34"/>
      <c r="TGY141" s="34"/>
      <c r="TGZ141" s="34"/>
      <c r="THA141" s="34"/>
      <c r="THB141" s="34"/>
      <c r="THC141" s="34"/>
      <c r="THD141" s="34"/>
      <c r="THE141" s="34"/>
      <c r="THF141" s="34"/>
      <c r="THG141" s="34"/>
      <c r="THH141" s="34"/>
      <c r="THI141" s="34"/>
      <c r="THJ141" s="34"/>
      <c r="THK141" s="34"/>
      <c r="THL141" s="34"/>
      <c r="THM141" s="34"/>
      <c r="THN141" s="34"/>
      <c r="THO141" s="34"/>
      <c r="THP141" s="34"/>
      <c r="THQ141" s="34"/>
      <c r="THR141" s="34"/>
      <c r="THS141" s="34"/>
      <c r="THT141" s="34"/>
      <c r="THU141" s="34"/>
      <c r="THV141" s="34"/>
      <c r="THW141" s="34"/>
      <c r="THX141" s="34"/>
      <c r="THY141" s="34"/>
      <c r="THZ141" s="34"/>
      <c r="TIA141" s="34"/>
      <c r="TIB141" s="34"/>
      <c r="TIC141" s="34"/>
      <c r="TID141" s="34"/>
      <c r="TIE141" s="34"/>
      <c r="TIF141" s="34"/>
      <c r="TIG141" s="34"/>
      <c r="TIH141" s="34"/>
      <c r="TII141" s="34"/>
      <c r="TIJ141" s="34"/>
      <c r="TIK141" s="34"/>
      <c r="TIL141" s="34"/>
      <c r="TIM141" s="34"/>
      <c r="TIN141" s="34"/>
      <c r="TIO141" s="34"/>
      <c r="TIP141" s="34"/>
      <c r="TIQ141" s="34"/>
      <c r="TIR141" s="34"/>
      <c r="TIS141" s="34"/>
      <c r="TIT141" s="34"/>
      <c r="TIU141" s="34"/>
      <c r="TIV141" s="34"/>
      <c r="TIW141" s="34"/>
      <c r="TIX141" s="34"/>
      <c r="TIY141" s="34"/>
      <c r="TIZ141" s="34"/>
      <c r="TJA141" s="34"/>
      <c r="TJB141" s="34"/>
      <c r="TJC141" s="34"/>
      <c r="TJD141" s="34"/>
      <c r="TJE141" s="34"/>
      <c r="TJF141" s="34"/>
      <c r="TJG141" s="34"/>
      <c r="TJH141" s="34"/>
      <c r="TJI141" s="34"/>
      <c r="TJJ141" s="34"/>
      <c r="TJK141" s="34"/>
      <c r="TJL141" s="34"/>
      <c r="TJM141" s="34"/>
      <c r="TJN141" s="34"/>
      <c r="TJO141" s="34"/>
      <c r="TJP141" s="34"/>
      <c r="TJQ141" s="34"/>
      <c r="TJR141" s="34"/>
      <c r="TJS141" s="34"/>
      <c r="TJT141" s="34"/>
      <c r="TJU141" s="34"/>
      <c r="TJV141" s="34"/>
      <c r="TJW141" s="34"/>
      <c r="TJX141" s="34"/>
      <c r="TJY141" s="34"/>
      <c r="TJZ141" s="34"/>
      <c r="TKA141" s="34"/>
      <c r="TKB141" s="34"/>
      <c r="TKC141" s="34"/>
      <c r="TKD141" s="34"/>
      <c r="TKE141" s="34"/>
      <c r="TKF141" s="34"/>
      <c r="TKG141" s="34"/>
      <c r="TKH141" s="34"/>
      <c r="TKI141" s="34"/>
      <c r="TKJ141" s="34"/>
      <c r="TKK141" s="34"/>
      <c r="TKL141" s="34"/>
      <c r="TKM141" s="34"/>
      <c r="TKN141" s="34"/>
      <c r="TKO141" s="34"/>
      <c r="TKP141" s="34"/>
      <c r="TKQ141" s="34"/>
      <c r="TKR141" s="34"/>
      <c r="TKS141" s="34"/>
      <c r="TKT141" s="34"/>
      <c r="TKU141" s="34"/>
      <c r="TKV141" s="34"/>
      <c r="TKW141" s="34"/>
      <c r="TKX141" s="34"/>
      <c r="TKY141" s="34"/>
      <c r="TKZ141" s="34"/>
      <c r="TLA141" s="34"/>
      <c r="TLB141" s="34"/>
      <c r="TLC141" s="34"/>
      <c r="TLD141" s="34"/>
      <c r="TLE141" s="34"/>
      <c r="TLF141" s="34"/>
      <c r="TLG141" s="34"/>
      <c r="TLH141" s="34"/>
      <c r="TLI141" s="34"/>
      <c r="TLJ141" s="34"/>
      <c r="TLK141" s="34"/>
      <c r="TLL141" s="34"/>
      <c r="TLM141" s="34"/>
      <c r="TLN141" s="34"/>
      <c r="TLO141" s="34"/>
      <c r="TLP141" s="34"/>
      <c r="TLQ141" s="34"/>
      <c r="TLR141" s="34"/>
      <c r="TLS141" s="34"/>
      <c r="TLT141" s="34"/>
      <c r="TLU141" s="34"/>
      <c r="TLV141" s="34"/>
      <c r="TLW141" s="34"/>
      <c r="TLX141" s="34"/>
      <c r="TLY141" s="34"/>
      <c r="TLZ141" s="34"/>
      <c r="TMA141" s="34"/>
      <c r="TMB141" s="34"/>
      <c r="TMC141" s="34"/>
      <c r="TMD141" s="34"/>
      <c r="TME141" s="34"/>
      <c r="TMF141" s="34"/>
      <c r="TMG141" s="34"/>
      <c r="TMH141" s="34"/>
      <c r="TMI141" s="34"/>
      <c r="TMJ141" s="34"/>
      <c r="TMK141" s="34"/>
      <c r="TML141" s="34"/>
      <c r="TMM141" s="34"/>
      <c r="TMN141" s="34"/>
      <c r="TMO141" s="34"/>
      <c r="TMP141" s="34"/>
      <c r="TMQ141" s="34"/>
      <c r="TMR141" s="34"/>
      <c r="TMS141" s="34"/>
      <c r="TMT141" s="34"/>
      <c r="TMU141" s="34"/>
      <c r="TMV141" s="34"/>
      <c r="TMW141" s="34"/>
      <c r="TMX141" s="34"/>
      <c r="TMY141" s="34"/>
      <c r="TMZ141" s="34"/>
      <c r="TNA141" s="34"/>
      <c r="TNB141" s="34"/>
      <c r="TNC141" s="34"/>
      <c r="TND141" s="34"/>
      <c r="TNE141" s="34"/>
      <c r="TNF141" s="34"/>
      <c r="TNG141" s="34"/>
      <c r="TNH141" s="34"/>
      <c r="TNI141" s="34"/>
      <c r="TNJ141" s="34"/>
      <c r="TNK141" s="34"/>
      <c r="TNL141" s="34"/>
      <c r="TNM141" s="34"/>
      <c r="TNN141" s="34"/>
      <c r="TNO141" s="34"/>
      <c r="TNP141" s="34"/>
      <c r="TNQ141" s="34"/>
      <c r="TNR141" s="34"/>
      <c r="TNS141" s="34"/>
      <c r="TNT141" s="34"/>
      <c r="TNU141" s="34"/>
      <c r="TNV141" s="34"/>
      <c r="TNW141" s="34"/>
      <c r="TNX141" s="34"/>
      <c r="TNY141" s="34"/>
      <c r="TNZ141" s="34"/>
      <c r="TOA141" s="34"/>
      <c r="TOB141" s="34"/>
      <c r="TOC141" s="34"/>
      <c r="TOD141" s="34"/>
      <c r="TOE141" s="34"/>
      <c r="TOF141" s="34"/>
      <c r="TOG141" s="34"/>
      <c r="TOH141" s="34"/>
      <c r="TOI141" s="34"/>
      <c r="TOJ141" s="34"/>
      <c r="TOK141" s="34"/>
      <c r="TOL141" s="34"/>
      <c r="TOM141" s="34"/>
      <c r="TON141" s="34"/>
      <c r="TOO141" s="34"/>
      <c r="TOP141" s="34"/>
      <c r="TOQ141" s="34"/>
      <c r="TOR141" s="34"/>
      <c r="TOS141" s="34"/>
      <c r="TOT141" s="34"/>
      <c r="TOU141" s="34"/>
      <c r="TOV141" s="34"/>
      <c r="TOW141" s="34"/>
      <c r="TOX141" s="34"/>
      <c r="TOY141" s="34"/>
      <c r="TOZ141" s="34"/>
      <c r="TPA141" s="34"/>
      <c r="TPB141" s="34"/>
      <c r="TPC141" s="34"/>
      <c r="TPD141" s="34"/>
      <c r="TPE141" s="34"/>
      <c r="TPF141" s="34"/>
      <c r="TPG141" s="34"/>
      <c r="TPH141" s="34"/>
      <c r="TPI141" s="34"/>
      <c r="TPJ141" s="34"/>
      <c r="TPK141" s="34"/>
      <c r="TPL141" s="34"/>
      <c r="TPM141" s="34"/>
      <c r="TPN141" s="34"/>
      <c r="TPO141" s="34"/>
      <c r="TPP141" s="34"/>
      <c r="TPQ141" s="34"/>
      <c r="TPR141" s="34"/>
      <c r="TPS141" s="34"/>
      <c r="TPT141" s="34"/>
      <c r="TPU141" s="34"/>
      <c r="TPV141" s="34"/>
      <c r="TPW141" s="34"/>
      <c r="TPX141" s="34"/>
      <c r="TPY141" s="34"/>
      <c r="TPZ141" s="34"/>
      <c r="TQA141" s="34"/>
      <c r="TQB141" s="34"/>
      <c r="TQC141" s="34"/>
      <c r="TQD141" s="34"/>
      <c r="TQE141" s="34"/>
      <c r="TQF141" s="34"/>
      <c r="TQG141" s="34"/>
      <c r="TQH141" s="34"/>
      <c r="TQI141" s="34"/>
      <c r="TQJ141" s="34"/>
      <c r="TQK141" s="34"/>
      <c r="TQL141" s="34"/>
      <c r="TQM141" s="34"/>
      <c r="TQN141" s="34"/>
      <c r="TQO141" s="34"/>
      <c r="TQP141" s="34"/>
      <c r="TQQ141" s="34"/>
      <c r="TQR141" s="34"/>
      <c r="TQS141" s="34"/>
      <c r="TQT141" s="34"/>
      <c r="TQU141" s="34"/>
      <c r="TQV141" s="34"/>
      <c r="TQW141" s="34"/>
      <c r="TQX141" s="34"/>
      <c r="TQY141" s="34"/>
      <c r="TQZ141" s="34"/>
      <c r="TRA141" s="34"/>
      <c r="TRB141" s="34"/>
      <c r="TRC141" s="34"/>
      <c r="TRD141" s="34"/>
      <c r="TRE141" s="34"/>
      <c r="TRF141" s="34"/>
      <c r="TRG141" s="34"/>
      <c r="TRH141" s="34"/>
      <c r="TRI141" s="34"/>
      <c r="TRJ141" s="34"/>
      <c r="TRK141" s="34"/>
      <c r="TRL141" s="34"/>
      <c r="TRM141" s="34"/>
      <c r="TRN141" s="34"/>
      <c r="TRO141" s="34"/>
      <c r="TRP141" s="34"/>
      <c r="TRQ141" s="34"/>
      <c r="TRR141" s="34"/>
      <c r="TRS141" s="34"/>
      <c r="TRT141" s="34"/>
      <c r="TRU141" s="34"/>
      <c r="TRV141" s="34"/>
      <c r="TRW141" s="34"/>
      <c r="TRX141" s="34"/>
      <c r="TRY141" s="34"/>
      <c r="TRZ141" s="34"/>
      <c r="TSA141" s="34"/>
      <c r="TSB141" s="34"/>
      <c r="TSC141" s="34"/>
      <c r="TSD141" s="34"/>
      <c r="TSE141" s="34"/>
      <c r="TSF141" s="34"/>
      <c r="TSG141" s="34"/>
      <c r="TSH141" s="34"/>
      <c r="TSI141" s="34"/>
      <c r="TSJ141" s="34"/>
      <c r="TSK141" s="34"/>
      <c r="TSL141" s="34"/>
      <c r="TSM141" s="34"/>
      <c r="TSN141" s="34"/>
      <c r="TSO141" s="34"/>
      <c r="TSP141" s="34"/>
      <c r="TSQ141" s="34"/>
      <c r="TSR141" s="34"/>
      <c r="TSS141" s="34"/>
      <c r="TST141" s="34"/>
      <c r="TSU141" s="34"/>
      <c r="TSV141" s="34"/>
      <c r="TSW141" s="34"/>
      <c r="TSX141" s="34"/>
      <c r="TSY141" s="34"/>
      <c r="TSZ141" s="34"/>
      <c r="TTA141" s="34"/>
      <c r="TTB141" s="34"/>
      <c r="TTC141" s="34"/>
      <c r="TTD141" s="34"/>
      <c r="TTE141" s="34"/>
      <c r="TTF141" s="34"/>
      <c r="TTG141" s="34"/>
      <c r="TTH141" s="34"/>
      <c r="TTI141" s="34"/>
      <c r="TTJ141" s="34"/>
      <c r="TTK141" s="34"/>
      <c r="TTL141" s="34"/>
      <c r="TTM141" s="34"/>
      <c r="TTN141" s="34"/>
      <c r="TTO141" s="34"/>
      <c r="TTP141" s="34"/>
      <c r="TTQ141" s="34"/>
      <c r="TTR141" s="34"/>
      <c r="TTS141" s="34"/>
      <c r="TTT141" s="34"/>
      <c r="TTU141" s="34"/>
      <c r="TTV141" s="34"/>
      <c r="TTW141" s="34"/>
      <c r="TTX141" s="34"/>
      <c r="TTY141" s="34"/>
      <c r="TTZ141" s="34"/>
      <c r="TUA141" s="34"/>
      <c r="TUB141" s="34"/>
      <c r="TUC141" s="34"/>
      <c r="TUD141" s="34"/>
      <c r="TUE141" s="34"/>
      <c r="TUF141" s="34"/>
      <c r="TUG141" s="34"/>
      <c r="TUH141" s="34"/>
      <c r="TUI141" s="34"/>
      <c r="TUJ141" s="34"/>
      <c r="TUK141" s="34"/>
      <c r="TUL141" s="34"/>
      <c r="TUM141" s="34"/>
      <c r="TUN141" s="34"/>
      <c r="TUO141" s="34"/>
      <c r="TUP141" s="34"/>
      <c r="TUQ141" s="34"/>
      <c r="TUR141" s="34"/>
      <c r="TUS141" s="34"/>
      <c r="TUT141" s="34"/>
      <c r="TUU141" s="34"/>
      <c r="TUV141" s="34"/>
      <c r="TUW141" s="34"/>
      <c r="TUX141" s="34"/>
      <c r="TUY141" s="34"/>
      <c r="TUZ141" s="34"/>
      <c r="TVA141" s="34"/>
      <c r="TVB141" s="34"/>
      <c r="TVC141" s="34"/>
      <c r="TVD141" s="34"/>
      <c r="TVE141" s="34"/>
      <c r="TVF141" s="34"/>
      <c r="TVG141" s="34"/>
      <c r="TVH141" s="34"/>
      <c r="TVI141" s="34"/>
      <c r="TVJ141" s="34"/>
      <c r="TVK141" s="34"/>
      <c r="TVL141" s="34"/>
      <c r="TVM141" s="34"/>
      <c r="TVN141" s="34"/>
      <c r="TVO141" s="34"/>
      <c r="TVP141" s="34"/>
      <c r="TVQ141" s="34"/>
      <c r="TVR141" s="34"/>
      <c r="TVS141" s="34"/>
      <c r="TVT141" s="34"/>
      <c r="TVU141" s="34"/>
      <c r="TVV141" s="34"/>
      <c r="TVW141" s="34"/>
      <c r="TVX141" s="34"/>
      <c r="TVY141" s="34"/>
      <c r="TVZ141" s="34"/>
      <c r="TWA141" s="34"/>
      <c r="TWB141" s="34"/>
      <c r="TWC141" s="34"/>
      <c r="TWD141" s="34"/>
      <c r="TWE141" s="34"/>
      <c r="TWF141" s="34"/>
      <c r="TWG141" s="34"/>
      <c r="TWH141" s="34"/>
      <c r="TWI141" s="34"/>
      <c r="TWJ141" s="34"/>
      <c r="TWK141" s="34"/>
      <c r="TWL141" s="34"/>
      <c r="TWM141" s="34"/>
      <c r="TWN141" s="34"/>
      <c r="TWO141" s="34"/>
      <c r="TWP141" s="34"/>
      <c r="TWQ141" s="34"/>
      <c r="TWR141" s="34"/>
      <c r="TWS141" s="34"/>
      <c r="TWT141" s="34"/>
      <c r="TWU141" s="34"/>
      <c r="TWV141" s="34"/>
      <c r="TWW141" s="34"/>
      <c r="TWX141" s="34"/>
      <c r="TWY141" s="34"/>
      <c r="TWZ141" s="34"/>
      <c r="TXA141" s="34"/>
      <c r="TXB141" s="34"/>
      <c r="TXC141" s="34"/>
      <c r="TXD141" s="34"/>
      <c r="TXE141" s="34"/>
      <c r="TXF141" s="34"/>
      <c r="TXG141" s="34"/>
      <c r="TXH141" s="34"/>
      <c r="TXI141" s="34"/>
      <c r="TXJ141" s="34"/>
      <c r="TXK141" s="34"/>
      <c r="TXL141" s="34"/>
      <c r="TXM141" s="34"/>
      <c r="TXN141" s="34"/>
      <c r="TXO141" s="34"/>
      <c r="TXP141" s="34"/>
      <c r="TXQ141" s="34"/>
      <c r="TXR141" s="34"/>
      <c r="TXS141" s="34"/>
      <c r="TXT141" s="34"/>
      <c r="TXU141" s="34"/>
      <c r="TXV141" s="34"/>
      <c r="TXW141" s="34"/>
      <c r="TXX141" s="34"/>
      <c r="TXY141" s="34"/>
      <c r="TXZ141" s="34"/>
      <c r="TYA141" s="34"/>
      <c r="TYB141" s="34"/>
      <c r="TYC141" s="34"/>
      <c r="TYD141" s="34"/>
      <c r="TYE141" s="34"/>
      <c r="TYF141" s="34"/>
      <c r="TYG141" s="34"/>
      <c r="TYH141" s="34"/>
      <c r="TYI141" s="34"/>
      <c r="TYJ141" s="34"/>
      <c r="TYK141" s="34"/>
      <c r="TYL141" s="34"/>
      <c r="TYM141" s="34"/>
      <c r="TYN141" s="34"/>
      <c r="TYO141" s="34"/>
      <c r="TYP141" s="34"/>
      <c r="TYQ141" s="34"/>
      <c r="TYR141" s="34"/>
      <c r="TYS141" s="34"/>
      <c r="TYT141" s="34"/>
      <c r="TYU141" s="34"/>
      <c r="TYV141" s="34"/>
      <c r="TYW141" s="34"/>
      <c r="TYX141" s="34"/>
      <c r="TYY141" s="34"/>
      <c r="TYZ141" s="34"/>
      <c r="TZA141" s="34"/>
      <c r="TZB141" s="34"/>
      <c r="TZC141" s="34"/>
      <c r="TZD141" s="34"/>
      <c r="TZE141" s="34"/>
      <c r="TZF141" s="34"/>
      <c r="TZG141" s="34"/>
      <c r="TZH141" s="34"/>
      <c r="TZI141" s="34"/>
      <c r="TZJ141" s="34"/>
      <c r="TZK141" s="34"/>
      <c r="TZL141" s="34"/>
      <c r="TZM141" s="34"/>
      <c r="TZN141" s="34"/>
      <c r="TZO141" s="34"/>
      <c r="TZP141" s="34"/>
      <c r="TZQ141" s="34"/>
      <c r="TZR141" s="34"/>
      <c r="TZS141" s="34"/>
      <c r="TZT141" s="34"/>
      <c r="TZU141" s="34"/>
      <c r="TZV141" s="34"/>
      <c r="TZW141" s="34"/>
      <c r="TZX141" s="34"/>
      <c r="TZY141" s="34"/>
      <c r="TZZ141" s="34"/>
      <c r="UAA141" s="34"/>
      <c r="UAB141" s="34"/>
      <c r="UAC141" s="34"/>
      <c r="UAD141" s="34"/>
      <c r="UAE141" s="34"/>
      <c r="UAF141" s="34"/>
      <c r="UAG141" s="34"/>
      <c r="UAH141" s="34"/>
      <c r="UAI141" s="34"/>
      <c r="UAJ141" s="34"/>
      <c r="UAK141" s="34"/>
      <c r="UAL141" s="34"/>
      <c r="UAM141" s="34"/>
      <c r="UAN141" s="34"/>
      <c r="UAO141" s="34"/>
      <c r="UAP141" s="34"/>
      <c r="UAQ141" s="34"/>
      <c r="UAR141" s="34"/>
      <c r="UAS141" s="34"/>
      <c r="UAT141" s="34"/>
      <c r="UAU141" s="34"/>
      <c r="UAV141" s="34"/>
      <c r="UAW141" s="34"/>
      <c r="UAX141" s="34"/>
      <c r="UAY141" s="34"/>
      <c r="UAZ141" s="34"/>
      <c r="UBA141" s="34"/>
      <c r="UBB141" s="34"/>
      <c r="UBC141" s="34"/>
      <c r="UBD141" s="34"/>
      <c r="UBE141" s="34"/>
      <c r="UBF141" s="34"/>
      <c r="UBG141" s="34"/>
      <c r="UBH141" s="34"/>
      <c r="UBI141" s="34"/>
      <c r="UBJ141" s="34"/>
      <c r="UBK141" s="34"/>
      <c r="UBL141" s="34"/>
      <c r="UBM141" s="34"/>
      <c r="UBN141" s="34"/>
      <c r="UBO141" s="34"/>
      <c r="UBP141" s="34"/>
      <c r="UBQ141" s="34"/>
      <c r="UBR141" s="34"/>
      <c r="UBS141" s="34"/>
      <c r="UBT141" s="34"/>
      <c r="UBU141" s="34"/>
      <c r="UBV141" s="34"/>
      <c r="UBW141" s="34"/>
      <c r="UBX141" s="34"/>
      <c r="UBY141" s="34"/>
      <c r="UBZ141" s="34"/>
      <c r="UCA141" s="34"/>
      <c r="UCB141" s="34"/>
      <c r="UCC141" s="34"/>
      <c r="UCD141" s="34"/>
      <c r="UCE141" s="34"/>
      <c r="UCF141" s="34"/>
      <c r="UCG141" s="34"/>
      <c r="UCH141" s="34"/>
      <c r="UCI141" s="34"/>
      <c r="UCJ141" s="34"/>
      <c r="UCK141" s="34"/>
      <c r="UCL141" s="34"/>
      <c r="UCM141" s="34"/>
      <c r="UCN141" s="34"/>
      <c r="UCO141" s="34"/>
      <c r="UCP141" s="34"/>
      <c r="UCQ141" s="34"/>
      <c r="UCR141" s="34"/>
      <c r="UCS141" s="34"/>
      <c r="UCT141" s="34"/>
      <c r="UCU141" s="34"/>
      <c r="UCV141" s="34"/>
      <c r="UCW141" s="34"/>
      <c r="UCX141" s="34"/>
      <c r="UCY141" s="34"/>
      <c r="UCZ141" s="34"/>
      <c r="UDA141" s="34"/>
      <c r="UDB141" s="34"/>
      <c r="UDC141" s="34"/>
      <c r="UDD141" s="34"/>
      <c r="UDE141" s="34"/>
      <c r="UDF141" s="34"/>
      <c r="UDG141" s="34"/>
      <c r="UDH141" s="34"/>
      <c r="UDI141" s="34"/>
      <c r="UDJ141" s="34"/>
      <c r="UDK141" s="34"/>
      <c r="UDL141" s="34"/>
      <c r="UDM141" s="34"/>
      <c r="UDN141" s="34"/>
      <c r="UDO141" s="34"/>
      <c r="UDP141" s="34"/>
      <c r="UDQ141" s="34"/>
      <c r="UDR141" s="34"/>
      <c r="UDS141" s="34"/>
      <c r="UDT141" s="34"/>
      <c r="UDU141" s="34"/>
      <c r="UDV141" s="34"/>
      <c r="UDW141" s="34"/>
      <c r="UDX141" s="34"/>
      <c r="UDY141" s="34"/>
      <c r="UDZ141" s="34"/>
      <c r="UEA141" s="34"/>
      <c r="UEB141" s="34"/>
      <c r="UEC141" s="34"/>
      <c r="UED141" s="34"/>
      <c r="UEE141" s="34"/>
      <c r="UEF141" s="34"/>
      <c r="UEG141" s="34"/>
      <c r="UEH141" s="34"/>
      <c r="UEI141" s="34"/>
      <c r="UEJ141" s="34"/>
      <c r="UEK141" s="34"/>
      <c r="UEL141" s="34"/>
      <c r="UEM141" s="34"/>
      <c r="UEN141" s="34"/>
      <c r="UEO141" s="34"/>
      <c r="UEP141" s="34"/>
      <c r="UEQ141" s="34"/>
      <c r="UER141" s="34"/>
      <c r="UES141" s="34"/>
      <c r="UET141" s="34"/>
      <c r="UEU141" s="34"/>
      <c r="UEV141" s="34"/>
      <c r="UEW141" s="34"/>
      <c r="UEX141" s="34"/>
      <c r="UEY141" s="34"/>
      <c r="UEZ141" s="34"/>
      <c r="UFA141" s="34"/>
      <c r="UFB141" s="34"/>
      <c r="UFC141" s="34"/>
      <c r="UFD141" s="34"/>
      <c r="UFE141" s="34"/>
      <c r="UFF141" s="34"/>
      <c r="UFG141" s="34"/>
      <c r="UFH141" s="34"/>
      <c r="UFI141" s="34"/>
      <c r="UFJ141" s="34"/>
      <c r="UFK141" s="34"/>
      <c r="UFL141" s="34"/>
      <c r="UFM141" s="34"/>
      <c r="UFN141" s="34"/>
      <c r="UFO141" s="34"/>
      <c r="UFP141" s="34"/>
      <c r="UFQ141" s="34"/>
      <c r="UFR141" s="34"/>
      <c r="UFS141" s="34"/>
      <c r="UFT141" s="34"/>
      <c r="UFU141" s="34"/>
      <c r="UFV141" s="34"/>
      <c r="UFW141" s="34"/>
      <c r="UFX141" s="34"/>
      <c r="UFY141" s="34"/>
      <c r="UFZ141" s="34"/>
      <c r="UGA141" s="34"/>
      <c r="UGB141" s="34"/>
      <c r="UGC141" s="34"/>
      <c r="UGD141" s="34"/>
      <c r="UGE141" s="34"/>
      <c r="UGF141" s="34"/>
      <c r="UGG141" s="34"/>
      <c r="UGH141" s="34"/>
      <c r="UGI141" s="34"/>
      <c r="UGJ141" s="34"/>
      <c r="UGK141" s="34"/>
      <c r="UGL141" s="34"/>
      <c r="UGM141" s="34"/>
      <c r="UGN141" s="34"/>
      <c r="UGO141" s="34"/>
      <c r="UGP141" s="34"/>
      <c r="UGQ141" s="34"/>
      <c r="UGR141" s="34"/>
      <c r="UGS141" s="34"/>
      <c r="UGT141" s="34"/>
      <c r="UGU141" s="34"/>
      <c r="UGV141" s="34"/>
      <c r="UGW141" s="34"/>
      <c r="UGX141" s="34"/>
      <c r="UGY141" s="34"/>
      <c r="UGZ141" s="34"/>
      <c r="UHA141" s="34"/>
      <c r="UHB141" s="34"/>
      <c r="UHC141" s="34"/>
      <c r="UHD141" s="34"/>
      <c r="UHE141" s="34"/>
      <c r="UHF141" s="34"/>
      <c r="UHG141" s="34"/>
      <c r="UHH141" s="34"/>
      <c r="UHI141" s="34"/>
      <c r="UHJ141" s="34"/>
      <c r="UHK141" s="34"/>
      <c r="UHL141" s="34"/>
      <c r="UHM141" s="34"/>
      <c r="UHN141" s="34"/>
      <c r="UHO141" s="34"/>
      <c r="UHP141" s="34"/>
      <c r="UHQ141" s="34"/>
      <c r="UHR141" s="34"/>
      <c r="UHS141" s="34"/>
      <c r="UHT141" s="34"/>
      <c r="UHU141" s="34"/>
      <c r="UHV141" s="34"/>
      <c r="UHW141" s="34"/>
      <c r="UHX141" s="34"/>
      <c r="UHY141" s="34"/>
      <c r="UHZ141" s="34"/>
      <c r="UIA141" s="34"/>
      <c r="UIB141" s="34"/>
      <c r="UIC141" s="34"/>
      <c r="UID141" s="34"/>
      <c r="UIE141" s="34"/>
      <c r="UIF141" s="34"/>
      <c r="UIG141" s="34"/>
      <c r="UIH141" s="34"/>
      <c r="UII141" s="34"/>
      <c r="UIJ141" s="34"/>
      <c r="UIK141" s="34"/>
      <c r="UIL141" s="34"/>
      <c r="UIM141" s="34"/>
      <c r="UIN141" s="34"/>
      <c r="UIO141" s="34"/>
      <c r="UIP141" s="34"/>
      <c r="UIQ141" s="34"/>
      <c r="UIR141" s="34"/>
      <c r="UIS141" s="34"/>
      <c r="UIT141" s="34"/>
      <c r="UIU141" s="34"/>
      <c r="UIV141" s="34"/>
      <c r="UIW141" s="34"/>
      <c r="UIX141" s="34"/>
      <c r="UIY141" s="34"/>
      <c r="UIZ141" s="34"/>
      <c r="UJA141" s="34"/>
      <c r="UJB141" s="34"/>
      <c r="UJC141" s="34"/>
      <c r="UJD141" s="34"/>
      <c r="UJE141" s="34"/>
      <c r="UJF141" s="34"/>
      <c r="UJG141" s="34"/>
      <c r="UJH141" s="34"/>
      <c r="UJI141" s="34"/>
      <c r="UJJ141" s="34"/>
      <c r="UJK141" s="34"/>
      <c r="UJL141" s="34"/>
      <c r="UJM141" s="34"/>
      <c r="UJN141" s="34"/>
      <c r="UJO141" s="34"/>
      <c r="UJP141" s="34"/>
      <c r="UJQ141" s="34"/>
      <c r="UJR141" s="34"/>
      <c r="UJS141" s="34"/>
      <c r="UJT141" s="34"/>
      <c r="UJU141" s="34"/>
      <c r="UJV141" s="34"/>
      <c r="UJW141" s="34"/>
      <c r="UJX141" s="34"/>
      <c r="UJY141" s="34"/>
      <c r="UJZ141" s="34"/>
      <c r="UKA141" s="34"/>
      <c r="UKB141" s="34"/>
      <c r="UKC141" s="34"/>
      <c r="UKD141" s="34"/>
      <c r="UKE141" s="34"/>
      <c r="UKF141" s="34"/>
      <c r="UKG141" s="34"/>
      <c r="UKH141" s="34"/>
      <c r="UKI141" s="34"/>
      <c r="UKJ141" s="34"/>
      <c r="UKK141" s="34"/>
      <c r="UKL141" s="34"/>
      <c r="UKM141" s="34"/>
      <c r="UKN141" s="34"/>
      <c r="UKO141" s="34"/>
      <c r="UKP141" s="34"/>
      <c r="UKQ141" s="34"/>
      <c r="UKR141" s="34"/>
      <c r="UKS141" s="34"/>
      <c r="UKT141" s="34"/>
      <c r="UKU141" s="34"/>
      <c r="UKV141" s="34"/>
      <c r="UKW141" s="34"/>
      <c r="UKX141" s="34"/>
      <c r="UKY141" s="34"/>
      <c r="UKZ141" s="34"/>
      <c r="ULA141" s="34"/>
      <c r="ULB141" s="34"/>
      <c r="ULC141" s="34"/>
      <c r="ULD141" s="34"/>
      <c r="ULE141" s="34"/>
      <c r="ULF141" s="34"/>
      <c r="ULG141" s="34"/>
      <c r="ULH141" s="34"/>
      <c r="ULI141" s="34"/>
      <c r="ULJ141" s="34"/>
      <c r="ULK141" s="34"/>
      <c r="ULL141" s="34"/>
      <c r="ULM141" s="34"/>
      <c r="ULN141" s="34"/>
      <c r="ULO141" s="34"/>
      <c r="ULP141" s="34"/>
      <c r="ULQ141" s="34"/>
      <c r="ULR141" s="34"/>
      <c r="ULS141" s="34"/>
      <c r="ULT141" s="34"/>
      <c r="ULU141" s="34"/>
      <c r="ULV141" s="34"/>
      <c r="ULW141" s="34"/>
      <c r="ULX141" s="34"/>
      <c r="ULY141" s="34"/>
      <c r="ULZ141" s="34"/>
      <c r="UMA141" s="34"/>
      <c r="UMB141" s="34"/>
      <c r="UMC141" s="34"/>
      <c r="UMD141" s="34"/>
      <c r="UME141" s="34"/>
      <c r="UMF141" s="34"/>
      <c r="UMG141" s="34"/>
      <c r="UMH141" s="34"/>
      <c r="UMI141" s="34"/>
      <c r="UMJ141" s="34"/>
      <c r="UMK141" s="34"/>
      <c r="UML141" s="34"/>
      <c r="UMM141" s="34"/>
      <c r="UMN141" s="34"/>
      <c r="UMO141" s="34"/>
      <c r="UMP141" s="34"/>
      <c r="UMQ141" s="34"/>
      <c r="UMR141" s="34"/>
      <c r="UMS141" s="34"/>
      <c r="UMT141" s="34"/>
      <c r="UMU141" s="34"/>
      <c r="UMV141" s="34"/>
      <c r="UMW141" s="34"/>
      <c r="UMX141" s="34"/>
      <c r="UMY141" s="34"/>
      <c r="UMZ141" s="34"/>
      <c r="UNA141" s="34"/>
      <c r="UNB141" s="34"/>
      <c r="UNC141" s="34"/>
      <c r="UND141" s="34"/>
      <c r="UNE141" s="34"/>
      <c r="UNF141" s="34"/>
      <c r="UNG141" s="34"/>
      <c r="UNH141" s="34"/>
      <c r="UNI141" s="34"/>
      <c r="UNJ141" s="34"/>
      <c r="UNK141" s="34"/>
      <c r="UNL141" s="34"/>
      <c r="UNM141" s="34"/>
      <c r="UNN141" s="34"/>
      <c r="UNO141" s="34"/>
      <c r="UNP141" s="34"/>
      <c r="UNQ141" s="34"/>
      <c r="UNR141" s="34"/>
      <c r="UNS141" s="34"/>
      <c r="UNT141" s="34"/>
      <c r="UNU141" s="34"/>
      <c r="UNV141" s="34"/>
      <c r="UNW141" s="34"/>
      <c r="UNX141" s="34"/>
      <c r="UNY141" s="34"/>
      <c r="UNZ141" s="34"/>
      <c r="UOA141" s="34"/>
      <c r="UOB141" s="34"/>
      <c r="UOC141" s="34"/>
      <c r="UOD141" s="34"/>
      <c r="UOE141" s="34"/>
      <c r="UOF141" s="34"/>
      <c r="UOG141" s="34"/>
      <c r="UOH141" s="34"/>
      <c r="UOI141" s="34"/>
      <c r="UOJ141" s="34"/>
      <c r="UOK141" s="34"/>
      <c r="UOL141" s="34"/>
      <c r="UOM141" s="34"/>
      <c r="UON141" s="34"/>
      <c r="UOO141" s="34"/>
      <c r="UOP141" s="34"/>
      <c r="UOQ141" s="34"/>
      <c r="UOR141" s="34"/>
      <c r="UOS141" s="34"/>
      <c r="UOT141" s="34"/>
      <c r="UOU141" s="34"/>
      <c r="UOV141" s="34"/>
      <c r="UOW141" s="34"/>
      <c r="UOX141" s="34"/>
      <c r="UOY141" s="34"/>
      <c r="UOZ141" s="34"/>
      <c r="UPA141" s="34"/>
      <c r="UPB141" s="34"/>
      <c r="UPC141" s="34"/>
      <c r="UPD141" s="34"/>
      <c r="UPE141" s="34"/>
      <c r="UPF141" s="34"/>
      <c r="UPG141" s="34"/>
      <c r="UPH141" s="34"/>
      <c r="UPI141" s="34"/>
      <c r="UPJ141" s="34"/>
      <c r="UPK141" s="34"/>
      <c r="UPL141" s="34"/>
      <c r="UPM141" s="34"/>
      <c r="UPN141" s="34"/>
      <c r="UPO141" s="34"/>
      <c r="UPP141" s="34"/>
      <c r="UPQ141" s="34"/>
      <c r="UPR141" s="34"/>
      <c r="UPS141" s="34"/>
      <c r="UPT141" s="34"/>
      <c r="UPU141" s="34"/>
      <c r="UPV141" s="34"/>
      <c r="UPW141" s="34"/>
      <c r="UPX141" s="34"/>
      <c r="UPY141" s="34"/>
      <c r="UPZ141" s="34"/>
      <c r="UQA141" s="34"/>
      <c r="UQB141" s="34"/>
      <c r="UQC141" s="34"/>
      <c r="UQD141" s="34"/>
      <c r="UQE141" s="34"/>
      <c r="UQF141" s="34"/>
      <c r="UQG141" s="34"/>
      <c r="UQH141" s="34"/>
      <c r="UQI141" s="34"/>
      <c r="UQJ141" s="34"/>
      <c r="UQK141" s="34"/>
      <c r="UQL141" s="34"/>
      <c r="UQM141" s="34"/>
      <c r="UQN141" s="34"/>
      <c r="UQO141" s="34"/>
      <c r="UQP141" s="34"/>
      <c r="UQQ141" s="34"/>
      <c r="UQR141" s="34"/>
      <c r="UQS141" s="34"/>
      <c r="UQT141" s="34"/>
      <c r="UQU141" s="34"/>
      <c r="UQV141" s="34"/>
      <c r="UQW141" s="34"/>
      <c r="UQX141" s="34"/>
      <c r="UQY141" s="34"/>
      <c r="UQZ141" s="34"/>
      <c r="URA141" s="34"/>
      <c r="URB141" s="34"/>
      <c r="URC141" s="34"/>
      <c r="URD141" s="34"/>
      <c r="URE141" s="34"/>
      <c r="URF141" s="34"/>
      <c r="URG141" s="34"/>
      <c r="URH141" s="34"/>
      <c r="URI141" s="34"/>
      <c r="URJ141" s="34"/>
      <c r="URK141" s="34"/>
      <c r="URL141" s="34"/>
      <c r="URM141" s="34"/>
      <c r="URN141" s="34"/>
      <c r="URO141" s="34"/>
      <c r="URP141" s="34"/>
      <c r="URQ141" s="34"/>
      <c r="URR141" s="34"/>
      <c r="URS141" s="34"/>
      <c r="URT141" s="34"/>
      <c r="URU141" s="34"/>
      <c r="URV141" s="34"/>
      <c r="URW141" s="34"/>
      <c r="URX141" s="34"/>
      <c r="URY141" s="34"/>
      <c r="URZ141" s="34"/>
      <c r="USA141" s="34"/>
      <c r="USB141" s="34"/>
      <c r="USC141" s="34"/>
      <c r="USD141" s="34"/>
      <c r="USE141" s="34"/>
      <c r="USF141" s="34"/>
      <c r="USG141" s="34"/>
      <c r="USH141" s="34"/>
      <c r="USI141" s="34"/>
      <c r="USJ141" s="34"/>
      <c r="USK141" s="34"/>
      <c r="USL141" s="34"/>
      <c r="USM141" s="34"/>
      <c r="USN141" s="34"/>
      <c r="USO141" s="34"/>
      <c r="USP141" s="34"/>
      <c r="USQ141" s="34"/>
      <c r="USR141" s="34"/>
      <c r="USS141" s="34"/>
      <c r="UST141" s="34"/>
      <c r="USU141" s="34"/>
      <c r="USV141" s="34"/>
      <c r="USW141" s="34"/>
      <c r="USX141" s="34"/>
      <c r="USY141" s="34"/>
      <c r="USZ141" s="34"/>
      <c r="UTA141" s="34"/>
      <c r="UTB141" s="34"/>
      <c r="UTC141" s="34"/>
      <c r="UTD141" s="34"/>
      <c r="UTE141" s="34"/>
      <c r="UTF141" s="34"/>
      <c r="UTG141" s="34"/>
      <c r="UTH141" s="34"/>
      <c r="UTI141" s="34"/>
      <c r="UTJ141" s="34"/>
      <c r="UTK141" s="34"/>
      <c r="UTL141" s="34"/>
      <c r="UTM141" s="34"/>
      <c r="UTN141" s="34"/>
      <c r="UTO141" s="34"/>
      <c r="UTP141" s="34"/>
      <c r="UTQ141" s="34"/>
      <c r="UTR141" s="34"/>
      <c r="UTS141" s="34"/>
      <c r="UTT141" s="34"/>
      <c r="UTU141" s="34"/>
      <c r="UTV141" s="34"/>
      <c r="UTW141" s="34"/>
      <c r="UTX141" s="34"/>
      <c r="UTY141" s="34"/>
      <c r="UTZ141" s="34"/>
      <c r="UUA141" s="34"/>
      <c r="UUB141" s="34"/>
      <c r="UUC141" s="34"/>
      <c r="UUD141" s="34"/>
      <c r="UUE141" s="34"/>
      <c r="UUF141" s="34"/>
      <c r="UUG141" s="34"/>
      <c r="UUH141" s="34"/>
      <c r="UUI141" s="34"/>
      <c r="UUJ141" s="34"/>
      <c r="UUK141" s="34"/>
      <c r="UUL141" s="34"/>
      <c r="UUM141" s="34"/>
      <c r="UUN141" s="34"/>
      <c r="UUO141" s="34"/>
      <c r="UUP141" s="34"/>
      <c r="UUQ141" s="34"/>
      <c r="UUR141" s="34"/>
      <c r="UUS141" s="34"/>
      <c r="UUT141" s="34"/>
      <c r="UUU141" s="34"/>
      <c r="UUV141" s="34"/>
      <c r="UUW141" s="34"/>
      <c r="UUX141" s="34"/>
      <c r="UUY141" s="34"/>
      <c r="UUZ141" s="34"/>
      <c r="UVA141" s="34"/>
      <c r="UVB141" s="34"/>
      <c r="UVC141" s="34"/>
      <c r="UVD141" s="34"/>
      <c r="UVE141" s="34"/>
      <c r="UVF141" s="34"/>
      <c r="UVG141" s="34"/>
      <c r="UVH141" s="34"/>
      <c r="UVI141" s="34"/>
      <c r="UVJ141" s="34"/>
      <c r="UVK141" s="34"/>
      <c r="UVL141" s="34"/>
      <c r="UVM141" s="34"/>
      <c r="UVN141" s="34"/>
      <c r="UVO141" s="34"/>
      <c r="UVP141" s="34"/>
      <c r="UVQ141" s="34"/>
      <c r="UVR141" s="34"/>
      <c r="UVS141" s="34"/>
      <c r="UVT141" s="34"/>
      <c r="UVU141" s="34"/>
      <c r="UVV141" s="34"/>
      <c r="UVW141" s="34"/>
      <c r="UVX141" s="34"/>
      <c r="UVY141" s="34"/>
      <c r="UVZ141" s="34"/>
      <c r="UWA141" s="34"/>
      <c r="UWB141" s="34"/>
      <c r="UWC141" s="34"/>
      <c r="UWD141" s="34"/>
      <c r="UWE141" s="34"/>
      <c r="UWF141" s="34"/>
      <c r="UWG141" s="34"/>
      <c r="UWH141" s="34"/>
      <c r="UWI141" s="34"/>
      <c r="UWJ141" s="34"/>
      <c r="UWK141" s="34"/>
      <c r="UWL141" s="34"/>
      <c r="UWM141" s="34"/>
      <c r="UWN141" s="34"/>
      <c r="UWO141" s="34"/>
      <c r="UWP141" s="34"/>
      <c r="UWQ141" s="34"/>
      <c r="UWR141" s="34"/>
      <c r="UWS141" s="34"/>
      <c r="UWT141" s="34"/>
      <c r="UWU141" s="34"/>
      <c r="UWV141" s="34"/>
      <c r="UWW141" s="34"/>
      <c r="UWX141" s="34"/>
      <c r="UWY141" s="34"/>
      <c r="UWZ141" s="34"/>
      <c r="UXA141" s="34"/>
      <c r="UXB141" s="34"/>
      <c r="UXC141" s="34"/>
      <c r="UXD141" s="34"/>
      <c r="UXE141" s="34"/>
      <c r="UXF141" s="34"/>
      <c r="UXG141" s="34"/>
      <c r="UXH141" s="34"/>
      <c r="UXI141" s="34"/>
      <c r="UXJ141" s="34"/>
      <c r="UXK141" s="34"/>
      <c r="UXL141" s="34"/>
      <c r="UXM141" s="34"/>
      <c r="UXN141" s="34"/>
      <c r="UXO141" s="34"/>
      <c r="UXP141" s="34"/>
      <c r="UXQ141" s="34"/>
      <c r="UXR141" s="34"/>
      <c r="UXS141" s="34"/>
      <c r="UXT141" s="34"/>
      <c r="UXU141" s="34"/>
      <c r="UXV141" s="34"/>
      <c r="UXW141" s="34"/>
      <c r="UXX141" s="34"/>
      <c r="UXY141" s="34"/>
      <c r="UXZ141" s="34"/>
      <c r="UYA141" s="34"/>
      <c r="UYB141" s="34"/>
      <c r="UYC141" s="34"/>
      <c r="UYD141" s="34"/>
      <c r="UYE141" s="34"/>
      <c r="UYF141" s="34"/>
      <c r="UYG141" s="34"/>
      <c r="UYH141" s="34"/>
      <c r="UYI141" s="34"/>
      <c r="UYJ141" s="34"/>
      <c r="UYK141" s="34"/>
      <c r="UYL141" s="34"/>
      <c r="UYM141" s="34"/>
      <c r="UYN141" s="34"/>
      <c r="UYO141" s="34"/>
      <c r="UYP141" s="34"/>
      <c r="UYQ141" s="34"/>
      <c r="UYR141" s="34"/>
      <c r="UYS141" s="34"/>
      <c r="UYT141" s="34"/>
      <c r="UYU141" s="34"/>
      <c r="UYV141" s="34"/>
      <c r="UYW141" s="34"/>
      <c r="UYX141" s="34"/>
      <c r="UYY141" s="34"/>
      <c r="UYZ141" s="34"/>
      <c r="UZA141" s="34"/>
      <c r="UZB141" s="34"/>
      <c r="UZC141" s="34"/>
      <c r="UZD141" s="34"/>
      <c r="UZE141" s="34"/>
      <c r="UZF141" s="34"/>
      <c r="UZG141" s="34"/>
      <c r="UZH141" s="34"/>
      <c r="UZI141" s="34"/>
      <c r="UZJ141" s="34"/>
      <c r="UZK141" s="34"/>
      <c r="UZL141" s="34"/>
      <c r="UZM141" s="34"/>
      <c r="UZN141" s="34"/>
      <c r="UZO141" s="34"/>
      <c r="UZP141" s="34"/>
      <c r="UZQ141" s="34"/>
      <c r="UZR141" s="34"/>
      <c r="UZS141" s="34"/>
      <c r="UZT141" s="34"/>
      <c r="UZU141" s="34"/>
      <c r="UZV141" s="34"/>
      <c r="UZW141" s="34"/>
      <c r="UZX141" s="34"/>
      <c r="UZY141" s="34"/>
      <c r="UZZ141" s="34"/>
      <c r="VAA141" s="34"/>
      <c r="VAB141" s="34"/>
      <c r="VAC141" s="34"/>
      <c r="VAD141" s="34"/>
      <c r="VAE141" s="34"/>
      <c r="VAF141" s="34"/>
      <c r="VAG141" s="34"/>
      <c r="VAH141" s="34"/>
      <c r="VAI141" s="34"/>
      <c r="VAJ141" s="34"/>
      <c r="VAK141" s="34"/>
      <c r="VAL141" s="34"/>
      <c r="VAM141" s="34"/>
      <c r="VAN141" s="34"/>
      <c r="VAO141" s="34"/>
      <c r="VAP141" s="34"/>
      <c r="VAQ141" s="34"/>
      <c r="VAR141" s="34"/>
      <c r="VAS141" s="34"/>
      <c r="VAT141" s="34"/>
      <c r="VAU141" s="34"/>
      <c r="VAV141" s="34"/>
      <c r="VAW141" s="34"/>
      <c r="VAX141" s="34"/>
      <c r="VAY141" s="34"/>
      <c r="VAZ141" s="34"/>
      <c r="VBA141" s="34"/>
      <c r="VBB141" s="34"/>
      <c r="VBC141" s="34"/>
      <c r="VBD141" s="34"/>
      <c r="VBE141" s="34"/>
      <c r="VBF141" s="34"/>
      <c r="VBG141" s="34"/>
      <c r="VBH141" s="34"/>
      <c r="VBI141" s="34"/>
      <c r="VBJ141" s="34"/>
      <c r="VBK141" s="34"/>
      <c r="VBL141" s="34"/>
      <c r="VBM141" s="34"/>
      <c r="VBN141" s="34"/>
      <c r="VBO141" s="34"/>
      <c r="VBP141" s="34"/>
      <c r="VBQ141" s="34"/>
      <c r="VBR141" s="34"/>
      <c r="VBS141" s="34"/>
      <c r="VBT141" s="34"/>
      <c r="VBU141" s="34"/>
      <c r="VBV141" s="34"/>
      <c r="VBW141" s="34"/>
      <c r="VBX141" s="34"/>
      <c r="VBY141" s="34"/>
      <c r="VBZ141" s="34"/>
      <c r="VCA141" s="34"/>
      <c r="VCB141" s="34"/>
      <c r="VCC141" s="34"/>
      <c r="VCD141" s="34"/>
      <c r="VCE141" s="34"/>
      <c r="VCF141" s="34"/>
      <c r="VCG141" s="34"/>
      <c r="VCH141" s="34"/>
      <c r="VCI141" s="34"/>
      <c r="VCJ141" s="34"/>
      <c r="VCK141" s="34"/>
      <c r="VCL141" s="34"/>
      <c r="VCM141" s="34"/>
      <c r="VCN141" s="34"/>
      <c r="VCO141" s="34"/>
      <c r="VCP141" s="34"/>
      <c r="VCQ141" s="34"/>
      <c r="VCR141" s="34"/>
      <c r="VCS141" s="34"/>
      <c r="VCT141" s="34"/>
      <c r="VCU141" s="34"/>
      <c r="VCV141" s="34"/>
      <c r="VCW141" s="34"/>
      <c r="VCX141" s="34"/>
      <c r="VCY141" s="34"/>
      <c r="VCZ141" s="34"/>
      <c r="VDA141" s="34"/>
      <c r="VDB141" s="34"/>
      <c r="VDC141" s="34"/>
      <c r="VDD141" s="34"/>
      <c r="VDE141" s="34"/>
      <c r="VDF141" s="34"/>
      <c r="VDG141" s="34"/>
      <c r="VDH141" s="34"/>
      <c r="VDI141" s="34"/>
      <c r="VDJ141" s="34"/>
      <c r="VDK141" s="34"/>
      <c r="VDL141" s="34"/>
      <c r="VDM141" s="34"/>
      <c r="VDN141" s="34"/>
      <c r="VDO141" s="34"/>
      <c r="VDP141" s="34"/>
      <c r="VDQ141" s="34"/>
      <c r="VDR141" s="34"/>
      <c r="VDS141" s="34"/>
      <c r="VDT141" s="34"/>
      <c r="VDU141" s="34"/>
      <c r="VDV141" s="34"/>
      <c r="VDW141" s="34"/>
      <c r="VDX141" s="34"/>
      <c r="VDY141" s="34"/>
      <c r="VDZ141" s="34"/>
      <c r="VEA141" s="34"/>
      <c r="VEB141" s="34"/>
      <c r="VEC141" s="34"/>
      <c r="VED141" s="34"/>
      <c r="VEE141" s="34"/>
      <c r="VEF141" s="34"/>
      <c r="VEG141" s="34"/>
      <c r="VEH141" s="34"/>
      <c r="VEI141" s="34"/>
      <c r="VEJ141" s="34"/>
      <c r="VEK141" s="34"/>
      <c r="VEL141" s="34"/>
      <c r="VEM141" s="34"/>
      <c r="VEN141" s="34"/>
      <c r="VEO141" s="34"/>
      <c r="VEP141" s="34"/>
      <c r="VEQ141" s="34"/>
      <c r="VER141" s="34"/>
      <c r="VES141" s="34"/>
      <c r="VET141" s="34"/>
      <c r="VEU141" s="34"/>
      <c r="VEV141" s="34"/>
      <c r="VEW141" s="34"/>
      <c r="VEX141" s="34"/>
      <c r="VEY141" s="34"/>
      <c r="VEZ141" s="34"/>
      <c r="VFA141" s="34"/>
      <c r="VFB141" s="34"/>
      <c r="VFC141" s="34"/>
      <c r="VFD141" s="34"/>
      <c r="VFE141" s="34"/>
      <c r="VFF141" s="34"/>
      <c r="VFG141" s="34"/>
      <c r="VFH141" s="34"/>
      <c r="VFI141" s="34"/>
      <c r="VFJ141" s="34"/>
      <c r="VFK141" s="34"/>
      <c r="VFL141" s="34"/>
      <c r="VFM141" s="34"/>
      <c r="VFN141" s="34"/>
      <c r="VFO141" s="34"/>
      <c r="VFP141" s="34"/>
      <c r="VFQ141" s="34"/>
      <c r="VFR141" s="34"/>
      <c r="VFS141" s="34"/>
      <c r="VFT141" s="34"/>
      <c r="VFU141" s="34"/>
      <c r="VFV141" s="34"/>
      <c r="VFW141" s="34"/>
      <c r="VFX141" s="34"/>
      <c r="VFY141" s="34"/>
      <c r="VFZ141" s="34"/>
      <c r="VGA141" s="34"/>
      <c r="VGB141" s="34"/>
      <c r="VGC141" s="34"/>
      <c r="VGD141" s="34"/>
      <c r="VGE141" s="34"/>
      <c r="VGF141" s="34"/>
      <c r="VGG141" s="34"/>
      <c r="VGH141" s="34"/>
      <c r="VGI141" s="34"/>
      <c r="VGJ141" s="34"/>
      <c r="VGK141" s="34"/>
      <c r="VGL141" s="34"/>
      <c r="VGM141" s="34"/>
      <c r="VGN141" s="34"/>
      <c r="VGO141" s="34"/>
      <c r="VGP141" s="34"/>
      <c r="VGQ141" s="34"/>
      <c r="VGR141" s="34"/>
      <c r="VGS141" s="34"/>
      <c r="VGT141" s="34"/>
      <c r="VGU141" s="34"/>
      <c r="VGV141" s="34"/>
      <c r="VGW141" s="34"/>
      <c r="VGX141" s="34"/>
      <c r="VGY141" s="34"/>
      <c r="VGZ141" s="34"/>
      <c r="VHA141" s="34"/>
      <c r="VHB141" s="34"/>
      <c r="VHC141" s="34"/>
      <c r="VHD141" s="34"/>
      <c r="VHE141" s="34"/>
      <c r="VHF141" s="34"/>
      <c r="VHG141" s="34"/>
      <c r="VHH141" s="34"/>
      <c r="VHI141" s="34"/>
      <c r="VHJ141" s="34"/>
      <c r="VHK141" s="34"/>
      <c r="VHL141" s="34"/>
      <c r="VHM141" s="34"/>
      <c r="VHN141" s="34"/>
      <c r="VHO141" s="34"/>
      <c r="VHP141" s="34"/>
      <c r="VHQ141" s="34"/>
      <c r="VHR141" s="34"/>
      <c r="VHS141" s="34"/>
      <c r="VHT141" s="34"/>
      <c r="VHU141" s="34"/>
      <c r="VHV141" s="34"/>
      <c r="VHW141" s="34"/>
      <c r="VHX141" s="34"/>
      <c r="VHY141" s="34"/>
      <c r="VHZ141" s="34"/>
      <c r="VIA141" s="34"/>
      <c r="VIB141" s="34"/>
      <c r="VIC141" s="34"/>
      <c r="VID141" s="34"/>
      <c r="VIE141" s="34"/>
      <c r="VIF141" s="34"/>
      <c r="VIG141" s="34"/>
      <c r="VIH141" s="34"/>
      <c r="VII141" s="34"/>
      <c r="VIJ141" s="34"/>
      <c r="VIK141" s="34"/>
      <c r="VIL141" s="34"/>
      <c r="VIM141" s="34"/>
      <c r="VIN141" s="34"/>
      <c r="VIO141" s="34"/>
      <c r="VIP141" s="34"/>
      <c r="VIQ141" s="34"/>
      <c r="VIR141" s="34"/>
      <c r="VIS141" s="34"/>
      <c r="VIT141" s="34"/>
      <c r="VIU141" s="34"/>
      <c r="VIV141" s="34"/>
      <c r="VIW141" s="34"/>
      <c r="VIX141" s="34"/>
      <c r="VIY141" s="34"/>
      <c r="VIZ141" s="34"/>
      <c r="VJA141" s="34"/>
      <c r="VJB141" s="34"/>
      <c r="VJC141" s="34"/>
      <c r="VJD141" s="34"/>
      <c r="VJE141" s="34"/>
      <c r="VJF141" s="34"/>
      <c r="VJG141" s="34"/>
      <c r="VJH141" s="34"/>
      <c r="VJI141" s="34"/>
      <c r="VJJ141" s="34"/>
      <c r="VJK141" s="34"/>
      <c r="VJL141" s="34"/>
      <c r="VJM141" s="34"/>
      <c r="VJN141" s="34"/>
      <c r="VJO141" s="34"/>
      <c r="VJP141" s="34"/>
      <c r="VJQ141" s="34"/>
      <c r="VJR141" s="34"/>
      <c r="VJS141" s="34"/>
      <c r="VJT141" s="34"/>
      <c r="VJU141" s="34"/>
      <c r="VJV141" s="34"/>
      <c r="VJW141" s="34"/>
      <c r="VJX141" s="34"/>
      <c r="VJY141" s="34"/>
      <c r="VJZ141" s="34"/>
      <c r="VKA141" s="34"/>
      <c r="VKB141" s="34"/>
      <c r="VKC141" s="34"/>
      <c r="VKD141" s="34"/>
      <c r="VKE141" s="34"/>
      <c r="VKF141" s="34"/>
      <c r="VKG141" s="34"/>
      <c r="VKH141" s="34"/>
      <c r="VKI141" s="34"/>
      <c r="VKJ141" s="34"/>
      <c r="VKK141" s="34"/>
      <c r="VKL141" s="34"/>
      <c r="VKM141" s="34"/>
      <c r="VKN141" s="34"/>
      <c r="VKO141" s="34"/>
      <c r="VKP141" s="34"/>
      <c r="VKQ141" s="34"/>
      <c r="VKR141" s="34"/>
      <c r="VKS141" s="34"/>
      <c r="VKT141" s="34"/>
      <c r="VKU141" s="34"/>
      <c r="VKV141" s="34"/>
      <c r="VKW141" s="34"/>
      <c r="VKX141" s="34"/>
      <c r="VKY141" s="34"/>
      <c r="VKZ141" s="34"/>
      <c r="VLA141" s="34"/>
      <c r="VLB141" s="34"/>
      <c r="VLC141" s="34"/>
      <c r="VLD141" s="34"/>
      <c r="VLE141" s="34"/>
      <c r="VLF141" s="34"/>
      <c r="VLG141" s="34"/>
      <c r="VLH141" s="34"/>
      <c r="VLI141" s="34"/>
      <c r="VLJ141" s="34"/>
      <c r="VLK141" s="34"/>
      <c r="VLL141" s="34"/>
      <c r="VLM141" s="34"/>
      <c r="VLN141" s="34"/>
      <c r="VLO141" s="34"/>
      <c r="VLP141" s="34"/>
      <c r="VLQ141" s="34"/>
      <c r="VLR141" s="34"/>
      <c r="VLS141" s="34"/>
      <c r="VLT141" s="34"/>
      <c r="VLU141" s="34"/>
      <c r="VLV141" s="34"/>
      <c r="VLW141" s="34"/>
      <c r="VLX141" s="34"/>
      <c r="VLY141" s="34"/>
      <c r="VLZ141" s="34"/>
      <c r="VMA141" s="34"/>
      <c r="VMB141" s="34"/>
      <c r="VMC141" s="34"/>
      <c r="VMD141" s="34"/>
      <c r="VME141" s="34"/>
      <c r="VMF141" s="34"/>
      <c r="VMG141" s="34"/>
      <c r="VMH141" s="34"/>
      <c r="VMI141" s="34"/>
      <c r="VMJ141" s="34"/>
      <c r="VMK141" s="34"/>
      <c r="VML141" s="34"/>
      <c r="VMM141" s="34"/>
      <c r="VMN141" s="34"/>
      <c r="VMO141" s="34"/>
      <c r="VMP141" s="34"/>
      <c r="VMQ141" s="34"/>
      <c r="VMR141" s="34"/>
      <c r="VMS141" s="34"/>
      <c r="VMT141" s="34"/>
      <c r="VMU141" s="34"/>
      <c r="VMV141" s="34"/>
      <c r="VMW141" s="34"/>
      <c r="VMX141" s="34"/>
      <c r="VMY141" s="34"/>
      <c r="VMZ141" s="34"/>
      <c r="VNA141" s="34"/>
      <c r="VNB141" s="34"/>
      <c r="VNC141" s="34"/>
      <c r="VND141" s="34"/>
      <c r="VNE141" s="34"/>
      <c r="VNF141" s="34"/>
      <c r="VNG141" s="34"/>
      <c r="VNH141" s="34"/>
      <c r="VNI141" s="34"/>
      <c r="VNJ141" s="34"/>
      <c r="VNK141" s="34"/>
      <c r="VNL141" s="34"/>
      <c r="VNM141" s="34"/>
      <c r="VNN141" s="34"/>
      <c r="VNO141" s="34"/>
      <c r="VNP141" s="34"/>
      <c r="VNQ141" s="34"/>
      <c r="VNR141" s="34"/>
      <c r="VNS141" s="34"/>
      <c r="VNT141" s="34"/>
      <c r="VNU141" s="34"/>
      <c r="VNV141" s="34"/>
      <c r="VNW141" s="34"/>
      <c r="VNX141" s="34"/>
      <c r="VNY141" s="34"/>
      <c r="VNZ141" s="34"/>
      <c r="VOA141" s="34"/>
      <c r="VOB141" s="34"/>
      <c r="VOC141" s="34"/>
      <c r="VOD141" s="34"/>
      <c r="VOE141" s="34"/>
      <c r="VOF141" s="34"/>
      <c r="VOG141" s="34"/>
      <c r="VOH141" s="34"/>
      <c r="VOI141" s="34"/>
      <c r="VOJ141" s="34"/>
      <c r="VOK141" s="34"/>
      <c r="VOL141" s="34"/>
      <c r="VOM141" s="34"/>
      <c r="VON141" s="34"/>
      <c r="VOO141" s="34"/>
      <c r="VOP141" s="34"/>
      <c r="VOQ141" s="34"/>
      <c r="VOR141" s="34"/>
      <c r="VOS141" s="34"/>
      <c r="VOT141" s="34"/>
      <c r="VOU141" s="34"/>
      <c r="VOV141" s="34"/>
      <c r="VOW141" s="34"/>
      <c r="VOX141" s="34"/>
      <c r="VOY141" s="34"/>
      <c r="VOZ141" s="34"/>
      <c r="VPA141" s="34"/>
      <c r="VPB141" s="34"/>
      <c r="VPC141" s="34"/>
      <c r="VPD141" s="34"/>
      <c r="VPE141" s="34"/>
      <c r="VPF141" s="34"/>
      <c r="VPG141" s="34"/>
      <c r="VPH141" s="34"/>
      <c r="VPI141" s="34"/>
      <c r="VPJ141" s="34"/>
      <c r="VPK141" s="34"/>
      <c r="VPL141" s="34"/>
      <c r="VPM141" s="34"/>
      <c r="VPN141" s="34"/>
      <c r="VPO141" s="34"/>
      <c r="VPP141" s="34"/>
      <c r="VPQ141" s="34"/>
      <c r="VPR141" s="34"/>
      <c r="VPS141" s="34"/>
      <c r="VPT141" s="34"/>
      <c r="VPU141" s="34"/>
      <c r="VPV141" s="34"/>
      <c r="VPW141" s="34"/>
      <c r="VPX141" s="34"/>
      <c r="VPY141" s="34"/>
      <c r="VPZ141" s="34"/>
      <c r="VQA141" s="34"/>
      <c r="VQB141" s="34"/>
      <c r="VQC141" s="34"/>
      <c r="VQD141" s="34"/>
      <c r="VQE141" s="34"/>
      <c r="VQF141" s="34"/>
      <c r="VQG141" s="34"/>
      <c r="VQH141" s="34"/>
      <c r="VQI141" s="34"/>
      <c r="VQJ141" s="34"/>
      <c r="VQK141" s="34"/>
      <c r="VQL141" s="34"/>
      <c r="VQM141" s="34"/>
      <c r="VQN141" s="34"/>
      <c r="VQO141" s="34"/>
      <c r="VQP141" s="34"/>
      <c r="VQQ141" s="34"/>
      <c r="VQR141" s="34"/>
      <c r="VQS141" s="34"/>
      <c r="VQT141" s="34"/>
      <c r="VQU141" s="34"/>
      <c r="VQV141" s="34"/>
      <c r="VQW141" s="34"/>
      <c r="VQX141" s="34"/>
      <c r="VQY141" s="34"/>
      <c r="VQZ141" s="34"/>
      <c r="VRA141" s="34"/>
      <c r="VRB141" s="34"/>
      <c r="VRC141" s="34"/>
      <c r="VRD141" s="34"/>
      <c r="VRE141" s="34"/>
      <c r="VRF141" s="34"/>
      <c r="VRG141" s="34"/>
      <c r="VRH141" s="34"/>
      <c r="VRI141" s="34"/>
      <c r="VRJ141" s="34"/>
      <c r="VRK141" s="34"/>
      <c r="VRL141" s="34"/>
      <c r="VRM141" s="34"/>
      <c r="VRN141" s="34"/>
      <c r="VRO141" s="34"/>
      <c r="VRP141" s="34"/>
      <c r="VRQ141" s="34"/>
      <c r="VRR141" s="34"/>
      <c r="VRS141" s="34"/>
      <c r="VRT141" s="34"/>
      <c r="VRU141" s="34"/>
      <c r="VRV141" s="34"/>
      <c r="VRW141" s="34"/>
      <c r="VRX141" s="34"/>
      <c r="VRY141" s="34"/>
      <c r="VRZ141" s="34"/>
      <c r="VSA141" s="34"/>
      <c r="VSB141" s="34"/>
      <c r="VSC141" s="34"/>
      <c r="VSD141" s="34"/>
      <c r="VSE141" s="34"/>
      <c r="VSF141" s="34"/>
      <c r="VSG141" s="34"/>
      <c r="VSH141" s="34"/>
      <c r="VSI141" s="34"/>
      <c r="VSJ141" s="34"/>
      <c r="VSK141" s="34"/>
      <c r="VSL141" s="34"/>
      <c r="VSM141" s="34"/>
      <c r="VSN141" s="34"/>
      <c r="VSO141" s="34"/>
      <c r="VSP141" s="34"/>
      <c r="VSQ141" s="34"/>
      <c r="VSR141" s="34"/>
      <c r="VSS141" s="34"/>
      <c r="VST141" s="34"/>
      <c r="VSU141" s="34"/>
      <c r="VSV141" s="34"/>
      <c r="VSW141" s="34"/>
      <c r="VSX141" s="34"/>
      <c r="VSY141" s="34"/>
      <c r="VSZ141" s="34"/>
      <c r="VTA141" s="34"/>
      <c r="VTB141" s="34"/>
      <c r="VTC141" s="34"/>
      <c r="VTD141" s="34"/>
      <c r="VTE141" s="34"/>
      <c r="VTF141" s="34"/>
      <c r="VTG141" s="34"/>
      <c r="VTH141" s="34"/>
      <c r="VTI141" s="34"/>
      <c r="VTJ141" s="34"/>
      <c r="VTK141" s="34"/>
      <c r="VTL141" s="34"/>
      <c r="VTM141" s="34"/>
      <c r="VTN141" s="34"/>
      <c r="VTO141" s="34"/>
      <c r="VTP141" s="34"/>
      <c r="VTQ141" s="34"/>
      <c r="VTR141" s="34"/>
      <c r="VTS141" s="34"/>
      <c r="VTT141" s="34"/>
      <c r="VTU141" s="34"/>
      <c r="VTV141" s="34"/>
      <c r="VTW141" s="34"/>
      <c r="VTX141" s="34"/>
      <c r="VTY141" s="34"/>
      <c r="VTZ141" s="34"/>
      <c r="VUA141" s="34"/>
      <c r="VUB141" s="34"/>
      <c r="VUC141" s="34"/>
      <c r="VUD141" s="34"/>
      <c r="VUE141" s="34"/>
      <c r="VUF141" s="34"/>
      <c r="VUG141" s="34"/>
      <c r="VUH141" s="34"/>
      <c r="VUI141" s="34"/>
      <c r="VUJ141" s="34"/>
      <c r="VUK141" s="34"/>
      <c r="VUL141" s="34"/>
      <c r="VUM141" s="34"/>
      <c r="VUN141" s="34"/>
      <c r="VUO141" s="34"/>
      <c r="VUP141" s="34"/>
      <c r="VUQ141" s="34"/>
      <c r="VUR141" s="34"/>
      <c r="VUS141" s="34"/>
      <c r="VUT141" s="34"/>
      <c r="VUU141" s="34"/>
      <c r="VUV141" s="34"/>
      <c r="VUW141" s="34"/>
      <c r="VUX141" s="34"/>
      <c r="VUY141" s="34"/>
      <c r="VUZ141" s="34"/>
      <c r="VVA141" s="34"/>
      <c r="VVB141" s="34"/>
      <c r="VVC141" s="34"/>
      <c r="VVD141" s="34"/>
      <c r="VVE141" s="34"/>
      <c r="VVF141" s="34"/>
      <c r="VVG141" s="34"/>
      <c r="VVH141" s="34"/>
      <c r="VVI141" s="34"/>
      <c r="VVJ141" s="34"/>
      <c r="VVK141" s="34"/>
      <c r="VVL141" s="34"/>
      <c r="VVM141" s="34"/>
      <c r="VVN141" s="34"/>
      <c r="VVO141" s="34"/>
      <c r="VVP141" s="34"/>
      <c r="VVQ141" s="34"/>
      <c r="VVR141" s="34"/>
      <c r="VVS141" s="34"/>
      <c r="VVT141" s="34"/>
      <c r="VVU141" s="34"/>
      <c r="VVV141" s="34"/>
      <c r="VVW141" s="34"/>
      <c r="VVX141" s="34"/>
      <c r="VVY141" s="34"/>
      <c r="VVZ141" s="34"/>
      <c r="VWA141" s="34"/>
      <c r="VWB141" s="34"/>
      <c r="VWC141" s="34"/>
      <c r="VWD141" s="34"/>
      <c r="VWE141" s="34"/>
      <c r="VWF141" s="34"/>
      <c r="VWG141" s="34"/>
      <c r="VWH141" s="34"/>
      <c r="VWI141" s="34"/>
      <c r="VWJ141" s="34"/>
      <c r="VWK141" s="34"/>
      <c r="VWL141" s="34"/>
      <c r="VWM141" s="34"/>
      <c r="VWN141" s="34"/>
      <c r="VWO141" s="34"/>
      <c r="VWP141" s="34"/>
      <c r="VWQ141" s="34"/>
      <c r="VWR141" s="34"/>
      <c r="VWS141" s="34"/>
      <c r="VWT141" s="34"/>
      <c r="VWU141" s="34"/>
      <c r="VWV141" s="34"/>
      <c r="VWW141" s="34"/>
      <c r="VWX141" s="34"/>
      <c r="VWY141" s="34"/>
      <c r="VWZ141" s="34"/>
      <c r="VXA141" s="34"/>
      <c r="VXB141" s="34"/>
      <c r="VXC141" s="34"/>
      <c r="VXD141" s="34"/>
      <c r="VXE141" s="34"/>
      <c r="VXF141" s="34"/>
      <c r="VXG141" s="34"/>
      <c r="VXH141" s="34"/>
      <c r="VXI141" s="34"/>
      <c r="VXJ141" s="34"/>
      <c r="VXK141" s="34"/>
      <c r="VXL141" s="34"/>
      <c r="VXM141" s="34"/>
      <c r="VXN141" s="34"/>
      <c r="VXO141" s="34"/>
      <c r="VXP141" s="34"/>
      <c r="VXQ141" s="34"/>
      <c r="VXR141" s="34"/>
      <c r="VXS141" s="34"/>
      <c r="VXT141" s="34"/>
      <c r="VXU141" s="34"/>
      <c r="VXV141" s="34"/>
      <c r="VXW141" s="34"/>
      <c r="VXX141" s="34"/>
      <c r="VXY141" s="34"/>
      <c r="VXZ141" s="34"/>
      <c r="VYA141" s="34"/>
      <c r="VYB141" s="34"/>
      <c r="VYC141" s="34"/>
      <c r="VYD141" s="34"/>
      <c r="VYE141" s="34"/>
      <c r="VYF141" s="34"/>
      <c r="VYG141" s="34"/>
      <c r="VYH141" s="34"/>
      <c r="VYI141" s="34"/>
      <c r="VYJ141" s="34"/>
      <c r="VYK141" s="34"/>
      <c r="VYL141" s="34"/>
      <c r="VYM141" s="34"/>
      <c r="VYN141" s="34"/>
      <c r="VYO141" s="34"/>
      <c r="VYP141" s="34"/>
      <c r="VYQ141" s="34"/>
      <c r="VYR141" s="34"/>
      <c r="VYS141" s="34"/>
      <c r="VYT141" s="34"/>
      <c r="VYU141" s="34"/>
      <c r="VYV141" s="34"/>
      <c r="VYW141" s="34"/>
      <c r="VYX141" s="34"/>
      <c r="VYY141" s="34"/>
      <c r="VYZ141" s="34"/>
      <c r="VZA141" s="34"/>
      <c r="VZB141" s="34"/>
      <c r="VZC141" s="34"/>
      <c r="VZD141" s="34"/>
      <c r="VZE141" s="34"/>
      <c r="VZF141" s="34"/>
      <c r="VZG141" s="34"/>
      <c r="VZH141" s="34"/>
      <c r="VZI141" s="34"/>
      <c r="VZJ141" s="34"/>
      <c r="VZK141" s="34"/>
      <c r="VZL141" s="34"/>
      <c r="VZM141" s="34"/>
      <c r="VZN141" s="34"/>
      <c r="VZO141" s="34"/>
      <c r="VZP141" s="34"/>
      <c r="VZQ141" s="34"/>
      <c r="VZR141" s="34"/>
      <c r="VZS141" s="34"/>
      <c r="VZT141" s="34"/>
      <c r="VZU141" s="34"/>
      <c r="VZV141" s="34"/>
      <c r="VZW141" s="34"/>
      <c r="VZX141" s="34"/>
      <c r="VZY141" s="34"/>
      <c r="VZZ141" s="34"/>
      <c r="WAA141" s="34"/>
      <c r="WAB141" s="34"/>
      <c r="WAC141" s="34"/>
      <c r="WAD141" s="34"/>
      <c r="WAE141" s="34"/>
      <c r="WAF141" s="34"/>
      <c r="WAG141" s="34"/>
      <c r="WAH141" s="34"/>
      <c r="WAI141" s="34"/>
      <c r="WAJ141" s="34"/>
      <c r="WAK141" s="34"/>
      <c r="WAL141" s="34"/>
      <c r="WAM141" s="34"/>
      <c r="WAN141" s="34"/>
      <c r="WAO141" s="34"/>
      <c r="WAP141" s="34"/>
      <c r="WAQ141" s="34"/>
      <c r="WAR141" s="34"/>
      <c r="WAS141" s="34"/>
      <c r="WAT141" s="34"/>
      <c r="WAU141" s="34"/>
      <c r="WAV141" s="34"/>
      <c r="WAW141" s="34"/>
      <c r="WAX141" s="34"/>
      <c r="WAY141" s="34"/>
      <c r="WAZ141" s="34"/>
      <c r="WBA141" s="34"/>
      <c r="WBB141" s="34"/>
      <c r="WBC141" s="34"/>
      <c r="WBD141" s="34"/>
      <c r="WBE141" s="34"/>
      <c r="WBF141" s="34"/>
      <c r="WBG141" s="34"/>
      <c r="WBH141" s="34"/>
      <c r="WBI141" s="34"/>
      <c r="WBJ141" s="34"/>
      <c r="WBK141" s="34"/>
      <c r="WBL141" s="34"/>
      <c r="WBM141" s="34"/>
      <c r="WBN141" s="34"/>
      <c r="WBO141" s="34"/>
      <c r="WBP141" s="34"/>
      <c r="WBQ141" s="34"/>
      <c r="WBR141" s="34"/>
      <c r="WBS141" s="34"/>
      <c r="WBT141" s="34"/>
      <c r="WBU141" s="34"/>
      <c r="WBV141" s="34"/>
      <c r="WBW141" s="34"/>
      <c r="WBX141" s="34"/>
      <c r="WBY141" s="34"/>
      <c r="WBZ141" s="34"/>
      <c r="WCA141" s="34"/>
      <c r="WCB141" s="34"/>
      <c r="WCC141" s="34"/>
      <c r="WCD141" s="34"/>
      <c r="WCE141" s="34"/>
      <c r="WCF141" s="34"/>
      <c r="WCG141" s="34"/>
      <c r="WCH141" s="34"/>
      <c r="WCI141" s="34"/>
      <c r="WCJ141" s="34"/>
      <c r="WCK141" s="34"/>
      <c r="WCL141" s="34"/>
      <c r="WCM141" s="34"/>
      <c r="WCN141" s="34"/>
      <c r="WCO141" s="34"/>
      <c r="WCP141" s="34"/>
      <c r="WCQ141" s="34"/>
      <c r="WCR141" s="34"/>
      <c r="WCS141" s="34"/>
      <c r="WCT141" s="34"/>
      <c r="WCU141" s="34"/>
      <c r="WCV141" s="34"/>
      <c r="WCW141" s="34"/>
      <c r="WCX141" s="34"/>
      <c r="WCY141" s="34"/>
      <c r="WCZ141" s="34"/>
      <c r="WDA141" s="34"/>
      <c r="WDB141" s="34"/>
      <c r="WDC141" s="34"/>
      <c r="WDD141" s="34"/>
      <c r="WDE141" s="34"/>
      <c r="WDF141" s="34"/>
      <c r="WDG141" s="34"/>
      <c r="WDH141" s="34"/>
      <c r="WDI141" s="34"/>
      <c r="WDJ141" s="34"/>
      <c r="WDK141" s="34"/>
      <c r="WDL141" s="34"/>
      <c r="WDM141" s="34"/>
      <c r="WDN141" s="34"/>
      <c r="WDO141" s="34"/>
      <c r="WDP141" s="34"/>
      <c r="WDQ141" s="34"/>
      <c r="WDR141" s="34"/>
      <c r="WDS141" s="34"/>
      <c r="WDT141" s="34"/>
      <c r="WDU141" s="34"/>
      <c r="WDV141" s="34"/>
      <c r="WDW141" s="34"/>
      <c r="WDX141" s="34"/>
      <c r="WDY141" s="34"/>
      <c r="WDZ141" s="34"/>
      <c r="WEA141" s="34"/>
      <c r="WEB141" s="34"/>
      <c r="WEC141" s="34"/>
      <c r="WED141" s="34"/>
      <c r="WEE141" s="34"/>
      <c r="WEF141" s="34"/>
      <c r="WEG141" s="34"/>
      <c r="WEH141" s="34"/>
      <c r="WEI141" s="34"/>
      <c r="WEJ141" s="34"/>
      <c r="WEK141" s="34"/>
      <c r="WEL141" s="34"/>
      <c r="WEM141" s="34"/>
      <c r="WEN141" s="34"/>
      <c r="WEO141" s="34"/>
      <c r="WEP141" s="34"/>
      <c r="WEQ141" s="34"/>
      <c r="WER141" s="34"/>
      <c r="WES141" s="34"/>
      <c r="WET141" s="34"/>
      <c r="WEU141" s="34"/>
      <c r="WEV141" s="34"/>
      <c r="WEW141" s="34"/>
      <c r="WEX141" s="34"/>
      <c r="WEY141" s="34"/>
      <c r="WEZ141" s="34"/>
      <c r="WFA141" s="34"/>
      <c r="WFB141" s="34"/>
      <c r="WFC141" s="34"/>
      <c r="WFD141" s="34"/>
      <c r="WFE141" s="34"/>
      <c r="WFF141" s="34"/>
      <c r="WFG141" s="34"/>
      <c r="WFH141" s="34"/>
      <c r="WFI141" s="34"/>
      <c r="WFJ141" s="34"/>
      <c r="WFK141" s="34"/>
      <c r="WFL141" s="34"/>
      <c r="WFM141" s="34"/>
      <c r="WFN141" s="34"/>
      <c r="WFO141" s="34"/>
      <c r="WFP141" s="34"/>
      <c r="WFQ141" s="34"/>
      <c r="WFR141" s="34"/>
      <c r="WFS141" s="34"/>
      <c r="WFT141" s="34"/>
      <c r="WFU141" s="34"/>
      <c r="WFV141" s="34"/>
      <c r="WFW141" s="34"/>
      <c r="WFX141" s="34"/>
      <c r="WFY141" s="34"/>
      <c r="WFZ141" s="34"/>
      <c r="WGA141" s="34"/>
      <c r="WGB141" s="34"/>
      <c r="WGC141" s="34"/>
      <c r="WGD141" s="34"/>
      <c r="WGE141" s="34"/>
      <c r="WGF141" s="34"/>
      <c r="WGG141" s="34"/>
      <c r="WGH141" s="34"/>
      <c r="WGI141" s="34"/>
      <c r="WGJ141" s="34"/>
      <c r="WGK141" s="34"/>
      <c r="WGL141" s="34"/>
      <c r="WGM141" s="34"/>
      <c r="WGN141" s="34"/>
      <c r="WGO141" s="34"/>
      <c r="WGP141" s="34"/>
      <c r="WGQ141" s="34"/>
      <c r="WGR141" s="34"/>
      <c r="WGS141" s="34"/>
      <c r="WGT141" s="34"/>
      <c r="WGU141" s="34"/>
      <c r="WGV141" s="34"/>
      <c r="WGW141" s="34"/>
      <c r="WGX141" s="34"/>
      <c r="WGY141" s="34"/>
      <c r="WGZ141" s="34"/>
      <c r="WHA141" s="34"/>
      <c r="WHB141" s="34"/>
      <c r="WHC141" s="34"/>
      <c r="WHD141" s="34"/>
      <c r="WHE141" s="34"/>
      <c r="WHF141" s="34"/>
      <c r="WHG141" s="34"/>
      <c r="WHH141" s="34"/>
      <c r="WHI141" s="34"/>
      <c r="WHJ141" s="34"/>
      <c r="WHK141" s="34"/>
      <c r="WHL141" s="34"/>
      <c r="WHM141" s="34"/>
      <c r="WHN141" s="34"/>
      <c r="WHO141" s="34"/>
      <c r="WHP141" s="34"/>
      <c r="WHQ141" s="34"/>
      <c r="WHR141" s="34"/>
      <c r="WHS141" s="34"/>
      <c r="WHT141" s="34"/>
      <c r="WHU141" s="34"/>
      <c r="WHV141" s="34"/>
      <c r="WHW141" s="34"/>
      <c r="WHX141" s="34"/>
      <c r="WHY141" s="34"/>
      <c r="WHZ141" s="34"/>
      <c r="WIA141" s="34"/>
      <c r="WIB141" s="34"/>
      <c r="WIC141" s="34"/>
      <c r="WID141" s="34"/>
      <c r="WIE141" s="34"/>
      <c r="WIF141" s="34"/>
      <c r="WIG141" s="34"/>
      <c r="WIH141" s="34"/>
      <c r="WII141" s="34"/>
      <c r="WIJ141" s="34"/>
      <c r="WIK141" s="34"/>
      <c r="WIL141" s="34"/>
      <c r="WIM141" s="34"/>
      <c r="WIN141" s="34"/>
      <c r="WIO141" s="34"/>
      <c r="WIP141" s="34"/>
      <c r="WIQ141" s="34"/>
      <c r="WIR141" s="34"/>
      <c r="WIS141" s="34"/>
      <c r="WIT141" s="34"/>
      <c r="WIU141" s="34"/>
      <c r="WIV141" s="34"/>
      <c r="WIW141" s="34"/>
      <c r="WIX141" s="34"/>
      <c r="WIY141" s="34"/>
      <c r="WIZ141" s="34"/>
      <c r="WJA141" s="34"/>
      <c r="WJB141" s="34"/>
      <c r="WJC141" s="34"/>
      <c r="WJD141" s="34"/>
      <c r="WJE141" s="34"/>
      <c r="WJF141" s="34"/>
      <c r="WJG141" s="34"/>
      <c r="WJH141" s="34"/>
      <c r="WJI141" s="34"/>
      <c r="WJJ141" s="34"/>
      <c r="WJK141" s="34"/>
      <c r="WJL141" s="34"/>
      <c r="WJM141" s="34"/>
      <c r="WJN141" s="34"/>
      <c r="WJO141" s="34"/>
      <c r="WJP141" s="34"/>
      <c r="WJQ141" s="34"/>
      <c r="WJR141" s="34"/>
      <c r="WJS141" s="34"/>
      <c r="WJT141" s="34"/>
      <c r="WJU141" s="34"/>
      <c r="WJV141" s="34"/>
      <c r="WJW141" s="34"/>
      <c r="WJX141" s="34"/>
      <c r="WJY141" s="34"/>
      <c r="WJZ141" s="34"/>
      <c r="WKA141" s="34"/>
      <c r="WKB141" s="34"/>
      <c r="WKC141" s="34"/>
      <c r="WKD141" s="34"/>
      <c r="WKE141" s="34"/>
      <c r="WKF141" s="34"/>
      <c r="WKG141" s="34"/>
      <c r="WKH141" s="34"/>
      <c r="WKI141" s="34"/>
      <c r="WKJ141" s="34"/>
      <c r="WKK141" s="34"/>
      <c r="WKL141" s="34"/>
      <c r="WKM141" s="34"/>
      <c r="WKN141" s="34"/>
      <c r="WKO141" s="34"/>
      <c r="WKP141" s="34"/>
      <c r="WKQ141" s="34"/>
      <c r="WKR141" s="34"/>
      <c r="WKS141" s="34"/>
      <c r="WKT141" s="34"/>
      <c r="WKU141" s="34"/>
      <c r="WKV141" s="34"/>
      <c r="WKW141" s="34"/>
      <c r="WKX141" s="34"/>
      <c r="WKY141" s="34"/>
      <c r="WKZ141" s="34"/>
      <c r="WLA141" s="34"/>
      <c r="WLB141" s="34"/>
      <c r="WLC141" s="34"/>
      <c r="WLD141" s="34"/>
      <c r="WLE141" s="34"/>
      <c r="WLF141" s="34"/>
      <c r="WLG141" s="34"/>
      <c r="WLH141" s="34"/>
      <c r="WLI141" s="34"/>
      <c r="WLJ141" s="34"/>
      <c r="WLK141" s="34"/>
      <c r="WLL141" s="34"/>
      <c r="WLM141" s="34"/>
      <c r="WLN141" s="34"/>
      <c r="WLO141" s="34"/>
      <c r="WLP141" s="34"/>
      <c r="WLQ141" s="34"/>
      <c r="WLR141" s="34"/>
      <c r="WLS141" s="34"/>
      <c r="WLT141" s="34"/>
      <c r="WLU141" s="34"/>
      <c r="WLV141" s="34"/>
      <c r="WLW141" s="34"/>
      <c r="WLX141" s="34"/>
      <c r="WLY141" s="34"/>
      <c r="WLZ141" s="34"/>
      <c r="WMA141" s="34"/>
      <c r="WMB141" s="34"/>
      <c r="WMC141" s="34"/>
      <c r="WMD141" s="34"/>
      <c r="WME141" s="34"/>
      <c r="WMF141" s="34"/>
      <c r="WMG141" s="34"/>
      <c r="WMH141" s="34"/>
      <c r="WMI141" s="34"/>
      <c r="WMJ141" s="34"/>
      <c r="WMK141" s="34"/>
      <c r="WML141" s="34"/>
      <c r="WMM141" s="34"/>
      <c r="WMN141" s="34"/>
      <c r="WMO141" s="34"/>
      <c r="WMP141" s="34"/>
      <c r="WMQ141" s="34"/>
      <c r="WMR141" s="34"/>
      <c r="WMS141" s="34"/>
      <c r="WMT141" s="34"/>
      <c r="WMU141" s="34"/>
      <c r="WMV141" s="34"/>
      <c r="WMW141" s="34"/>
      <c r="WMX141" s="34"/>
      <c r="WMY141" s="34"/>
      <c r="WMZ141" s="34"/>
      <c r="WNA141" s="34"/>
      <c r="WNB141" s="34"/>
      <c r="WNC141" s="34"/>
      <c r="WND141" s="34"/>
      <c r="WNE141" s="34"/>
      <c r="WNF141" s="34"/>
      <c r="WNG141" s="34"/>
      <c r="WNH141" s="34"/>
      <c r="WNI141" s="34"/>
      <c r="WNJ141" s="34"/>
      <c r="WNK141" s="34"/>
      <c r="WNL141" s="34"/>
      <c r="WNM141" s="34"/>
      <c r="WNN141" s="34"/>
      <c r="WNO141" s="34"/>
      <c r="WNP141" s="34"/>
      <c r="WNQ141" s="34"/>
      <c r="WNR141" s="34"/>
      <c r="WNS141" s="34"/>
      <c r="WNT141" s="34"/>
      <c r="WNU141" s="34"/>
      <c r="WNV141" s="34"/>
      <c r="WNW141" s="34"/>
      <c r="WNX141" s="34"/>
      <c r="WNY141" s="34"/>
      <c r="WNZ141" s="34"/>
      <c r="WOA141" s="34"/>
      <c r="WOB141" s="34"/>
      <c r="WOC141" s="34"/>
      <c r="WOD141" s="34"/>
      <c r="WOE141" s="34"/>
      <c r="WOF141" s="34"/>
      <c r="WOG141" s="34"/>
      <c r="WOH141" s="34"/>
      <c r="WOI141" s="34"/>
      <c r="WOJ141" s="34"/>
      <c r="WOK141" s="34"/>
      <c r="WOL141" s="34"/>
      <c r="WOM141" s="34"/>
      <c r="WON141" s="34"/>
      <c r="WOO141" s="34"/>
      <c r="WOP141" s="34"/>
      <c r="WOQ141" s="34"/>
      <c r="WOR141" s="34"/>
      <c r="WOS141" s="34"/>
      <c r="WOT141" s="34"/>
      <c r="WOU141" s="34"/>
      <c r="WOV141" s="34"/>
      <c r="WOW141" s="34"/>
      <c r="WOX141" s="34"/>
      <c r="WOY141" s="34"/>
      <c r="WOZ141" s="34"/>
      <c r="WPA141" s="34"/>
      <c r="WPB141" s="34"/>
      <c r="WPC141" s="34"/>
      <c r="WPD141" s="34"/>
      <c r="WPE141" s="34"/>
      <c r="WPF141" s="34"/>
      <c r="WPG141" s="34"/>
      <c r="WPH141" s="34"/>
      <c r="WPI141" s="34"/>
      <c r="WPJ141" s="34"/>
      <c r="WPK141" s="34"/>
      <c r="WPL141" s="34"/>
      <c r="WPM141" s="34"/>
      <c r="WPN141" s="34"/>
      <c r="WPO141" s="34"/>
      <c r="WPP141" s="34"/>
      <c r="WPQ141" s="34"/>
      <c r="WPR141" s="34"/>
      <c r="WPS141" s="34"/>
      <c r="WPT141" s="34"/>
      <c r="WPU141" s="34"/>
      <c r="WPV141" s="34"/>
      <c r="WPW141" s="34"/>
      <c r="WPX141" s="34"/>
      <c r="WPY141" s="34"/>
      <c r="WPZ141" s="34"/>
      <c r="WQA141" s="34"/>
      <c r="WQB141" s="34"/>
      <c r="WQC141" s="34"/>
      <c r="WQD141" s="34"/>
      <c r="WQE141" s="34"/>
      <c r="WQF141" s="34"/>
      <c r="WQG141" s="34"/>
      <c r="WQH141" s="34"/>
      <c r="WQI141" s="34"/>
      <c r="WQJ141" s="34"/>
      <c r="WQK141" s="34"/>
      <c r="WQL141" s="34"/>
      <c r="WQM141" s="34"/>
      <c r="WQN141" s="34"/>
      <c r="WQO141" s="34"/>
      <c r="WQP141" s="34"/>
      <c r="WQQ141" s="34"/>
      <c r="WQR141" s="34"/>
      <c r="WQS141" s="34"/>
      <c r="WQT141" s="34"/>
      <c r="WQU141" s="34"/>
      <c r="WQV141" s="34"/>
      <c r="WQW141" s="34"/>
      <c r="WQX141" s="34"/>
      <c r="WQY141" s="34"/>
      <c r="WQZ141" s="34"/>
      <c r="WRA141" s="34"/>
      <c r="WRB141" s="34"/>
      <c r="WRC141" s="34"/>
      <c r="WRD141" s="34"/>
      <c r="WRE141" s="34"/>
      <c r="WRF141" s="34"/>
      <c r="WRG141" s="34"/>
      <c r="WRH141" s="34"/>
      <c r="WRI141" s="34"/>
      <c r="WRJ141" s="34"/>
      <c r="WRK141" s="34"/>
      <c r="WRL141" s="34"/>
      <c r="WRM141" s="34"/>
      <c r="WRN141" s="34"/>
      <c r="WRO141" s="34"/>
      <c r="WRP141" s="34"/>
      <c r="WRQ141" s="34"/>
      <c r="WRR141" s="34"/>
      <c r="WRS141" s="34"/>
      <c r="WRT141" s="34"/>
      <c r="WRU141" s="34"/>
      <c r="WRV141" s="34"/>
      <c r="WRW141" s="34"/>
      <c r="WRX141" s="34"/>
      <c r="WRY141" s="34"/>
      <c r="WRZ141" s="34"/>
      <c r="WSA141" s="34"/>
      <c r="WSB141" s="34"/>
      <c r="WSC141" s="34"/>
      <c r="WSD141" s="34"/>
      <c r="WSE141" s="34"/>
      <c r="WSF141" s="34"/>
      <c r="WSG141" s="34"/>
      <c r="WSH141" s="34"/>
      <c r="WSI141" s="34"/>
      <c r="WSJ141" s="34"/>
      <c r="WSK141" s="34"/>
      <c r="WSL141" s="34"/>
      <c r="WSM141" s="34"/>
      <c r="WSN141" s="34"/>
      <c r="WSO141" s="34"/>
      <c r="WSP141" s="34"/>
      <c r="WSQ141" s="34"/>
      <c r="WSR141" s="34"/>
      <c r="WSS141" s="34"/>
      <c r="WST141" s="34"/>
      <c r="WSU141" s="34"/>
      <c r="WSV141" s="34"/>
      <c r="WSW141" s="34"/>
      <c r="WSX141" s="34"/>
      <c r="WSY141" s="34"/>
      <c r="WSZ141" s="34"/>
      <c r="WTA141" s="34"/>
      <c r="WTB141" s="34"/>
      <c r="WTC141" s="34"/>
      <c r="WTD141" s="34"/>
      <c r="WTE141" s="34"/>
      <c r="WTF141" s="34"/>
      <c r="WTG141" s="34"/>
      <c r="WTH141" s="34"/>
      <c r="WTI141" s="34"/>
      <c r="WTJ141" s="34"/>
      <c r="WTK141" s="34"/>
      <c r="WTL141" s="34"/>
      <c r="WTM141" s="34"/>
      <c r="WTN141" s="34"/>
      <c r="WTO141" s="34"/>
      <c r="WTP141" s="34"/>
      <c r="WTQ141" s="34"/>
      <c r="WTR141" s="34"/>
      <c r="WTS141" s="34"/>
      <c r="WTT141" s="34"/>
      <c r="WTU141" s="34"/>
      <c r="WTV141" s="34"/>
      <c r="WTW141" s="34"/>
      <c r="WTX141" s="34"/>
      <c r="WTY141" s="34"/>
      <c r="WTZ141" s="34"/>
      <c r="WUA141" s="34"/>
      <c r="WUB141" s="34"/>
      <c r="WUC141" s="34"/>
      <c r="WUD141" s="34"/>
      <c r="WUE141" s="34"/>
      <c r="WUF141" s="34"/>
      <c r="WUG141" s="34"/>
      <c r="WUH141" s="34"/>
      <c r="WUI141" s="34"/>
      <c r="WUJ141" s="34"/>
      <c r="WUK141" s="34"/>
      <c r="WUL141" s="34"/>
      <c r="WUM141" s="34"/>
      <c r="WUN141" s="34"/>
      <c r="WUO141" s="34"/>
      <c r="WUP141" s="34"/>
      <c r="WUQ141" s="34"/>
      <c r="WUR141" s="34"/>
      <c r="WUS141" s="34"/>
      <c r="WUT141" s="34"/>
      <c r="WUU141" s="34"/>
      <c r="WUV141" s="34"/>
      <c r="WUW141" s="34"/>
      <c r="WUX141" s="34"/>
      <c r="WUY141" s="34"/>
      <c r="WUZ141" s="34"/>
      <c r="WVA141" s="34"/>
      <c r="WVB141" s="34"/>
      <c r="WVC141" s="34"/>
      <c r="WVD141" s="34"/>
      <c r="WVE141" s="34"/>
      <c r="WVF141" s="34"/>
      <c r="WVG141" s="34"/>
      <c r="WVH141" s="34"/>
      <c r="WVI141" s="34"/>
      <c r="WVJ141" s="34"/>
      <c r="WVK141" s="34"/>
      <c r="WVL141" s="34"/>
      <c r="WVM141" s="34"/>
      <c r="WVN141" s="34"/>
      <c r="WVO141" s="34"/>
      <c r="WVP141" s="34"/>
      <c r="WVQ141" s="34"/>
      <c r="WVR141" s="34"/>
      <c r="WVS141" s="34"/>
      <c r="WVT141" s="34"/>
      <c r="WVU141" s="34"/>
      <c r="WVV141" s="34"/>
      <c r="WVW141" s="34"/>
      <c r="WVX141" s="34"/>
      <c r="WVY141" s="34"/>
      <c r="WVZ141" s="34"/>
      <c r="WWA141" s="34"/>
      <c r="WWB141" s="34"/>
      <c r="WWC141" s="34"/>
      <c r="WWD141" s="34"/>
      <c r="WWE141" s="34"/>
      <c r="WWF141" s="34"/>
      <c r="WWG141" s="34"/>
      <c r="WWH141" s="34"/>
      <c r="WWI141" s="34"/>
      <c r="WWJ141" s="34"/>
      <c r="WWK141" s="34"/>
      <c r="WWL141" s="34"/>
      <c r="WWM141" s="34"/>
      <c r="WWN141" s="34"/>
      <c r="WWO141" s="34"/>
      <c r="WWP141" s="34"/>
      <c r="WWQ141" s="34"/>
      <c r="WWR141" s="34"/>
      <c r="WWS141" s="34"/>
      <c r="WWT141" s="34"/>
      <c r="WWU141" s="34"/>
      <c r="WWV141" s="34"/>
      <c r="WWW141" s="34"/>
      <c r="WWX141" s="34"/>
      <c r="WWY141" s="34"/>
      <c r="WWZ141" s="34"/>
      <c r="WXA141" s="34"/>
      <c r="WXB141" s="34"/>
      <c r="WXC141" s="34"/>
      <c r="WXD141" s="34"/>
      <c r="WXE141" s="34"/>
      <c r="WXF141" s="34"/>
      <c r="WXG141" s="34"/>
      <c r="WXH141" s="34"/>
      <c r="WXI141" s="34"/>
      <c r="WXJ141" s="34"/>
      <c r="WXK141" s="34"/>
      <c r="WXL141" s="34"/>
      <c r="WXM141" s="34"/>
      <c r="WXN141" s="34"/>
      <c r="WXO141" s="34"/>
      <c r="WXP141" s="34"/>
      <c r="WXQ141" s="34"/>
      <c r="WXR141" s="34"/>
      <c r="WXS141" s="34"/>
      <c r="WXT141" s="34"/>
      <c r="WXU141" s="34"/>
      <c r="WXV141" s="34"/>
      <c r="WXW141" s="34"/>
      <c r="WXX141" s="34"/>
      <c r="WXY141" s="34"/>
      <c r="WXZ141" s="34"/>
      <c r="WYA141" s="34"/>
      <c r="WYB141" s="34"/>
      <c r="WYC141" s="34"/>
      <c r="WYD141" s="34"/>
      <c r="WYE141" s="34"/>
      <c r="WYF141" s="34"/>
      <c r="WYG141" s="34"/>
      <c r="WYH141" s="34"/>
      <c r="WYI141" s="34"/>
      <c r="WYJ141" s="34"/>
      <c r="WYK141" s="34"/>
      <c r="WYL141" s="34"/>
      <c r="WYM141" s="34"/>
      <c r="WYN141" s="34"/>
      <c r="WYO141" s="34"/>
      <c r="WYP141" s="34"/>
      <c r="WYQ141" s="34"/>
      <c r="WYR141" s="34"/>
      <c r="WYS141" s="34"/>
      <c r="WYT141" s="34"/>
      <c r="WYU141" s="34"/>
      <c r="WYV141" s="34"/>
      <c r="WYW141" s="34"/>
      <c r="WYX141" s="34"/>
      <c r="WYY141" s="34"/>
      <c r="WYZ141" s="34"/>
      <c r="WZA141" s="34"/>
      <c r="WZB141" s="34"/>
      <c r="WZC141" s="34"/>
      <c r="WZD141" s="34"/>
      <c r="WZE141" s="34"/>
      <c r="WZF141" s="34"/>
      <c r="WZG141" s="34"/>
      <c r="WZH141" s="34"/>
      <c r="WZI141" s="34"/>
      <c r="WZJ141" s="34"/>
      <c r="WZK141" s="34"/>
      <c r="WZL141" s="34"/>
      <c r="WZM141" s="34"/>
      <c r="WZN141" s="34"/>
      <c r="WZO141" s="34"/>
      <c r="WZP141" s="34"/>
      <c r="WZQ141" s="34"/>
      <c r="WZR141" s="34"/>
      <c r="WZS141" s="34"/>
      <c r="WZT141" s="34"/>
      <c r="WZU141" s="34"/>
      <c r="WZV141" s="34"/>
      <c r="WZW141" s="34"/>
      <c r="WZX141" s="34"/>
      <c r="WZY141" s="34"/>
      <c r="WZZ141" s="34"/>
      <c r="XAA141" s="34"/>
      <c r="XAB141" s="34"/>
      <c r="XAC141" s="34"/>
      <c r="XAD141" s="34"/>
      <c r="XAE141" s="34"/>
      <c r="XAF141" s="34"/>
      <c r="XAG141" s="34"/>
      <c r="XAH141" s="34"/>
      <c r="XAI141" s="34"/>
      <c r="XAJ141" s="34"/>
      <c r="XAK141" s="34"/>
      <c r="XAL141" s="34"/>
      <c r="XAM141" s="34"/>
      <c r="XAN141" s="34"/>
      <c r="XAO141" s="34"/>
      <c r="XAP141" s="34"/>
      <c r="XAQ141" s="34"/>
      <c r="XAR141" s="34"/>
      <c r="XAS141" s="34"/>
      <c r="XAT141" s="34"/>
      <c r="XAU141" s="34"/>
      <c r="XAV141" s="34"/>
      <c r="XAW141" s="34"/>
      <c r="XAX141" s="34"/>
      <c r="XAY141" s="34"/>
      <c r="XAZ141" s="34"/>
      <c r="XBA141" s="34"/>
      <c r="XBB141" s="34"/>
      <c r="XBC141" s="34"/>
      <c r="XBD141" s="34"/>
      <c r="XBE141" s="34"/>
      <c r="XBF141" s="34"/>
      <c r="XBG141" s="34"/>
      <c r="XBH141" s="34"/>
      <c r="XBI141" s="34"/>
      <c r="XBJ141" s="34"/>
      <c r="XBK141" s="34"/>
      <c r="XBL141" s="34"/>
      <c r="XBM141" s="34"/>
      <c r="XBN141" s="34"/>
      <c r="XBO141" s="34"/>
      <c r="XBP141" s="34"/>
      <c r="XBQ141" s="34"/>
      <c r="XBR141" s="34"/>
      <c r="XBS141" s="34"/>
      <c r="XBT141" s="34"/>
      <c r="XBU141" s="34"/>
      <c r="XBV141" s="34"/>
      <c r="XBW141" s="34"/>
      <c r="XBX141" s="34"/>
      <c r="XBY141" s="34"/>
      <c r="XBZ141" s="34"/>
      <c r="XCA141" s="34"/>
      <c r="XCB141" s="34"/>
      <c r="XCC141" s="34"/>
      <c r="XCD141" s="34"/>
      <c r="XCE141" s="34"/>
      <c r="XCF141" s="34"/>
      <c r="XCG141" s="34"/>
      <c r="XCH141" s="34"/>
      <c r="XCI141" s="34"/>
      <c r="XCJ141" s="34"/>
      <c r="XCK141" s="34"/>
      <c r="XCL141" s="34"/>
      <c r="XCM141" s="34"/>
      <c r="XCN141" s="34"/>
      <c r="XCO141" s="34"/>
      <c r="XCP141" s="34"/>
      <c r="XCQ141" s="34"/>
      <c r="XCR141" s="34"/>
      <c r="XCS141" s="34"/>
      <c r="XCT141" s="34"/>
      <c r="XCU141" s="34"/>
      <c r="XCV141" s="34"/>
      <c r="XCW141" s="34"/>
      <c r="XCX141" s="34"/>
      <c r="XCY141" s="34"/>
      <c r="XCZ141" s="34"/>
      <c r="XDA141" s="34"/>
      <c r="XDB141" s="34"/>
      <c r="XDC141" s="34"/>
      <c r="XDD141" s="34"/>
      <c r="XDE141" s="34"/>
      <c r="XDF141" s="34"/>
      <c r="XDG141" s="34"/>
      <c r="XDH141" s="34"/>
      <c r="XDI141" s="34"/>
      <c r="XDJ141" s="34"/>
      <c r="XDK141" s="34"/>
      <c r="XDL141" s="34"/>
      <c r="XDM141" s="34"/>
      <c r="XDN141" s="34"/>
      <c r="XDO141" s="34"/>
      <c r="XDP141" s="34"/>
      <c r="XDQ141" s="34"/>
      <c r="XDR141" s="34"/>
      <c r="XDS141" s="34"/>
      <c r="XDT141" s="34"/>
      <c r="XDU141" s="34"/>
      <c r="XDV141" s="34"/>
      <c r="XDW141" s="34"/>
      <c r="XDX141" s="34"/>
      <c r="XDY141" s="34"/>
      <c r="XDZ141" s="34"/>
      <c r="XEA141" s="34"/>
      <c r="XEB141" s="34"/>
      <c r="XEC141" s="34"/>
      <c r="XED141" s="34"/>
      <c r="XEE141" s="34"/>
      <c r="XEF141" s="34"/>
      <c r="XEG141" s="34"/>
      <c r="XEH141" s="34"/>
      <c r="XEI141" s="34"/>
      <c r="XEJ141" s="34"/>
      <c r="XEK141" s="34"/>
      <c r="XEL141" s="34"/>
      <c r="XEM141" s="34"/>
      <c r="XEN141" s="34"/>
      <c r="XEO141" s="34"/>
      <c r="XEP141" s="34"/>
      <c r="XEQ141" s="34"/>
      <c r="XER141" s="34"/>
      <c r="XES141" s="34"/>
      <c r="XET141" s="34"/>
      <c r="XEU141" s="34"/>
      <c r="XEV141" s="34"/>
      <c r="XEW141" s="34"/>
      <c r="XEX141" s="34"/>
      <c r="XEY141" s="34"/>
      <c r="XEZ141" s="34"/>
      <c r="XFA141" s="34"/>
      <c r="XFB141" s="34"/>
      <c r="XFC141" s="34"/>
      <c r="XFD141" s="34"/>
    </row>
    <row r="142" spans="1:16384" s="1041" customFormat="1" ht="21" customHeight="1" thickBot="1">
      <c r="A142" s="2238"/>
      <c r="B142" s="2219"/>
      <c r="C142" s="2220"/>
      <c r="D142" s="2220"/>
      <c r="E142" s="1095" t="s">
        <v>1304</v>
      </c>
      <c r="F142" s="2067">
        <f>F141/12</f>
        <v>0</v>
      </c>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c r="IW142" s="34"/>
      <c r="IX142" s="34"/>
      <c r="IY142" s="34"/>
      <c r="IZ142" s="34"/>
      <c r="JA142" s="34"/>
      <c r="JB142" s="34"/>
      <c r="JC142" s="34"/>
      <c r="JD142" s="34"/>
      <c r="JE142" s="34"/>
      <c r="JF142" s="34"/>
      <c r="JG142" s="34"/>
      <c r="JH142" s="34"/>
      <c r="JI142" s="34"/>
      <c r="JJ142" s="34"/>
      <c r="JK142" s="34"/>
      <c r="JL142" s="34"/>
      <c r="JM142" s="34"/>
      <c r="JN142" s="34"/>
      <c r="JO142" s="34"/>
      <c r="JP142" s="34"/>
      <c r="JQ142" s="34"/>
      <c r="JR142" s="34"/>
      <c r="JS142" s="34"/>
      <c r="JT142" s="34"/>
      <c r="JU142" s="34"/>
      <c r="JV142" s="34"/>
      <c r="JW142" s="34"/>
      <c r="JX142" s="34"/>
      <c r="JY142" s="34"/>
      <c r="JZ142" s="34"/>
      <c r="KA142" s="34"/>
      <c r="KB142" s="34"/>
      <c r="KC142" s="34"/>
      <c r="KD142" s="34"/>
      <c r="KE142" s="34"/>
      <c r="KF142" s="34"/>
      <c r="KG142" s="34"/>
      <c r="KH142" s="34"/>
      <c r="KI142" s="34"/>
      <c r="KJ142" s="34"/>
      <c r="KK142" s="34"/>
      <c r="KL142" s="34"/>
      <c r="KM142" s="34"/>
      <c r="KN142" s="34"/>
      <c r="KO142" s="34"/>
      <c r="KP142" s="34"/>
      <c r="KQ142" s="34"/>
      <c r="KR142" s="34"/>
      <c r="KS142" s="34"/>
      <c r="KT142" s="34"/>
      <c r="KU142" s="34"/>
      <c r="KV142" s="34"/>
      <c r="KW142" s="34"/>
      <c r="KX142" s="34"/>
      <c r="KY142" s="34"/>
      <c r="KZ142" s="34"/>
      <c r="LA142" s="34"/>
      <c r="LB142" s="34"/>
      <c r="LC142" s="34"/>
      <c r="LD142" s="34"/>
      <c r="LE142" s="34"/>
      <c r="LF142" s="34"/>
      <c r="LG142" s="34"/>
      <c r="LH142" s="34"/>
      <c r="LI142" s="34"/>
      <c r="LJ142" s="34"/>
      <c r="LK142" s="34"/>
      <c r="LL142" s="34"/>
      <c r="LM142" s="34"/>
      <c r="LN142" s="34"/>
      <c r="LO142" s="34"/>
      <c r="LP142" s="34"/>
      <c r="LQ142" s="34"/>
      <c r="LR142" s="34"/>
      <c r="LS142" s="34"/>
      <c r="LT142" s="34"/>
      <c r="LU142" s="34"/>
      <c r="LV142" s="34"/>
      <c r="LW142" s="34"/>
      <c r="LX142" s="34"/>
      <c r="LY142" s="34"/>
      <c r="LZ142" s="34"/>
      <c r="MA142" s="34"/>
      <c r="MB142" s="34"/>
      <c r="MC142" s="34"/>
      <c r="MD142" s="34"/>
      <c r="ME142" s="34"/>
      <c r="MF142" s="34"/>
      <c r="MG142" s="34"/>
      <c r="MH142" s="34"/>
      <c r="MI142" s="34"/>
      <c r="MJ142" s="34"/>
      <c r="MK142" s="34"/>
      <c r="ML142" s="34"/>
      <c r="MM142" s="34"/>
      <c r="MN142" s="34"/>
      <c r="MO142" s="34"/>
      <c r="MP142" s="34"/>
      <c r="MQ142" s="34"/>
      <c r="MR142" s="34"/>
      <c r="MS142" s="34"/>
      <c r="MT142" s="34"/>
      <c r="MU142" s="34"/>
      <c r="MV142" s="34"/>
      <c r="MW142" s="34"/>
      <c r="MX142" s="34"/>
      <c r="MY142" s="34"/>
      <c r="MZ142" s="34"/>
      <c r="NA142" s="34"/>
      <c r="NB142" s="34"/>
      <c r="NC142" s="34"/>
      <c r="ND142" s="34"/>
      <c r="NE142" s="34"/>
      <c r="NF142" s="34"/>
      <c r="NG142" s="34"/>
      <c r="NH142" s="34"/>
      <c r="NI142" s="34"/>
      <c r="NJ142" s="34"/>
      <c r="NK142" s="34"/>
      <c r="NL142" s="34"/>
      <c r="NM142" s="34"/>
      <c r="NN142" s="34"/>
      <c r="NO142" s="34"/>
      <c r="NP142" s="34"/>
      <c r="NQ142" s="34"/>
      <c r="NR142" s="34"/>
      <c r="NS142" s="34"/>
      <c r="NT142" s="34"/>
      <c r="NU142" s="34"/>
      <c r="NV142" s="34"/>
      <c r="NW142" s="34"/>
      <c r="NX142" s="34"/>
      <c r="NY142" s="34"/>
      <c r="NZ142" s="34"/>
      <c r="OA142" s="34"/>
      <c r="OB142" s="34"/>
      <c r="OC142" s="34"/>
      <c r="OD142" s="34"/>
      <c r="OE142" s="34"/>
      <c r="OF142" s="34"/>
      <c r="OG142" s="34"/>
      <c r="OH142" s="34"/>
      <c r="OI142" s="34"/>
      <c r="OJ142" s="34"/>
      <c r="OK142" s="34"/>
      <c r="OL142" s="34"/>
      <c r="OM142" s="34"/>
      <c r="ON142" s="34"/>
      <c r="OO142" s="34"/>
      <c r="OP142" s="34"/>
      <c r="OQ142" s="34"/>
      <c r="OR142" s="34"/>
      <c r="OS142" s="34"/>
      <c r="OT142" s="34"/>
      <c r="OU142" s="34"/>
      <c r="OV142" s="34"/>
      <c r="OW142" s="34"/>
      <c r="OX142" s="34"/>
      <c r="OY142" s="34"/>
      <c r="OZ142" s="34"/>
      <c r="PA142" s="34"/>
      <c r="PB142" s="34"/>
      <c r="PC142" s="34"/>
      <c r="PD142" s="34"/>
      <c r="PE142" s="34"/>
      <c r="PF142" s="34"/>
      <c r="PG142" s="34"/>
      <c r="PH142" s="34"/>
      <c r="PI142" s="34"/>
      <c r="PJ142" s="34"/>
      <c r="PK142" s="34"/>
      <c r="PL142" s="34"/>
      <c r="PM142" s="34"/>
      <c r="PN142" s="34"/>
      <c r="PO142" s="34"/>
      <c r="PP142" s="34"/>
      <c r="PQ142" s="34"/>
      <c r="PR142" s="34"/>
      <c r="PS142" s="34"/>
      <c r="PT142" s="34"/>
      <c r="PU142" s="34"/>
      <c r="PV142" s="34"/>
      <c r="PW142" s="34"/>
      <c r="PX142" s="34"/>
      <c r="PY142" s="34"/>
      <c r="PZ142" s="34"/>
      <c r="QA142" s="34"/>
      <c r="QB142" s="34"/>
      <c r="QC142" s="34"/>
      <c r="QD142" s="34"/>
      <c r="QE142" s="34"/>
      <c r="QF142" s="34"/>
      <c r="QG142" s="34"/>
      <c r="QH142" s="34"/>
      <c r="QI142" s="34"/>
      <c r="QJ142" s="34"/>
      <c r="QK142" s="34"/>
      <c r="QL142" s="34"/>
      <c r="QM142" s="34"/>
      <c r="QN142" s="34"/>
      <c r="QO142" s="34"/>
      <c r="QP142" s="34"/>
      <c r="QQ142" s="34"/>
      <c r="QR142" s="34"/>
      <c r="QS142" s="34"/>
      <c r="QT142" s="34"/>
      <c r="QU142" s="34"/>
      <c r="QV142" s="34"/>
      <c r="QW142" s="34"/>
      <c r="QX142" s="34"/>
      <c r="QY142" s="34"/>
      <c r="QZ142" s="34"/>
      <c r="RA142" s="34"/>
      <c r="RB142" s="34"/>
      <c r="RC142" s="34"/>
      <c r="RD142" s="34"/>
      <c r="RE142" s="34"/>
      <c r="RF142" s="34"/>
      <c r="RG142" s="34"/>
      <c r="RH142" s="34"/>
      <c r="RI142" s="34"/>
      <c r="RJ142" s="34"/>
      <c r="RK142" s="34"/>
      <c r="RL142" s="34"/>
      <c r="RM142" s="34"/>
      <c r="RN142" s="34"/>
      <c r="RO142" s="34"/>
      <c r="RP142" s="34"/>
      <c r="RQ142" s="34"/>
      <c r="RR142" s="34"/>
      <c r="RS142" s="34"/>
      <c r="RT142" s="34"/>
      <c r="RU142" s="34"/>
      <c r="RV142" s="34"/>
      <c r="RW142" s="34"/>
      <c r="RX142" s="34"/>
      <c r="RY142" s="34"/>
      <c r="RZ142" s="34"/>
      <c r="SA142" s="34"/>
      <c r="SB142" s="34"/>
      <c r="SC142" s="34"/>
      <c r="SD142" s="34"/>
      <c r="SE142" s="34"/>
      <c r="SF142" s="34"/>
      <c r="SG142" s="34"/>
      <c r="SH142" s="34"/>
      <c r="SI142" s="34"/>
      <c r="SJ142" s="34"/>
      <c r="SK142" s="34"/>
      <c r="SL142" s="34"/>
      <c r="SM142" s="34"/>
      <c r="SN142" s="34"/>
      <c r="SO142" s="34"/>
      <c r="SP142" s="34"/>
      <c r="SQ142" s="34"/>
      <c r="SR142" s="34"/>
      <c r="SS142" s="34"/>
      <c r="ST142" s="34"/>
      <c r="SU142" s="34"/>
      <c r="SV142" s="34"/>
      <c r="SW142" s="34"/>
      <c r="SX142" s="34"/>
      <c r="SY142" s="34"/>
      <c r="SZ142" s="34"/>
      <c r="TA142" s="34"/>
      <c r="TB142" s="34"/>
      <c r="TC142" s="34"/>
      <c r="TD142" s="34"/>
      <c r="TE142" s="34"/>
      <c r="TF142" s="34"/>
      <c r="TG142" s="34"/>
      <c r="TH142" s="34"/>
      <c r="TI142" s="34"/>
      <c r="TJ142" s="34"/>
      <c r="TK142" s="34"/>
      <c r="TL142" s="34"/>
      <c r="TM142" s="34"/>
      <c r="TN142" s="34"/>
      <c r="TO142" s="34"/>
      <c r="TP142" s="34"/>
      <c r="TQ142" s="34"/>
      <c r="TR142" s="34"/>
      <c r="TS142" s="34"/>
      <c r="TT142" s="34"/>
      <c r="TU142" s="34"/>
      <c r="TV142" s="34"/>
      <c r="TW142" s="34"/>
      <c r="TX142" s="34"/>
      <c r="TY142" s="34"/>
      <c r="TZ142" s="34"/>
      <c r="UA142" s="34"/>
      <c r="UB142" s="34"/>
      <c r="UC142" s="34"/>
      <c r="UD142" s="34"/>
      <c r="UE142" s="34"/>
      <c r="UF142" s="34"/>
      <c r="UG142" s="34"/>
      <c r="UH142" s="34"/>
      <c r="UI142" s="34"/>
      <c r="UJ142" s="34"/>
      <c r="UK142" s="34"/>
      <c r="UL142" s="34"/>
      <c r="UM142" s="34"/>
      <c r="UN142" s="34"/>
      <c r="UO142" s="34"/>
      <c r="UP142" s="34"/>
      <c r="UQ142" s="34"/>
      <c r="UR142" s="34"/>
      <c r="US142" s="34"/>
      <c r="UT142" s="34"/>
      <c r="UU142" s="34"/>
      <c r="UV142" s="34"/>
      <c r="UW142" s="34"/>
      <c r="UX142" s="34"/>
      <c r="UY142" s="34"/>
      <c r="UZ142" s="34"/>
      <c r="VA142" s="34"/>
      <c r="VB142" s="34"/>
      <c r="VC142" s="34"/>
      <c r="VD142" s="34"/>
      <c r="VE142" s="34"/>
      <c r="VF142" s="34"/>
      <c r="VG142" s="34"/>
      <c r="VH142" s="34"/>
      <c r="VI142" s="34"/>
      <c r="VJ142" s="34"/>
      <c r="VK142" s="34"/>
      <c r="VL142" s="34"/>
      <c r="VM142" s="34"/>
      <c r="VN142" s="34"/>
      <c r="VO142" s="34"/>
      <c r="VP142" s="34"/>
      <c r="VQ142" s="34"/>
      <c r="VR142" s="34"/>
      <c r="VS142" s="34"/>
      <c r="VT142" s="34"/>
      <c r="VU142" s="34"/>
      <c r="VV142" s="34"/>
      <c r="VW142" s="34"/>
      <c r="VX142" s="34"/>
      <c r="VY142" s="34"/>
      <c r="VZ142" s="34"/>
      <c r="WA142" s="34"/>
      <c r="WB142" s="34"/>
      <c r="WC142" s="34"/>
      <c r="WD142" s="34"/>
      <c r="WE142" s="34"/>
      <c r="WF142" s="34"/>
      <c r="WG142" s="34"/>
      <c r="WH142" s="34"/>
      <c r="WI142" s="34"/>
      <c r="WJ142" s="34"/>
      <c r="WK142" s="34"/>
      <c r="WL142" s="34"/>
      <c r="WM142" s="34"/>
      <c r="WN142" s="34"/>
      <c r="WO142" s="34"/>
      <c r="WP142" s="34"/>
      <c r="WQ142" s="34"/>
      <c r="WR142" s="34"/>
      <c r="WS142" s="34"/>
      <c r="WT142" s="34"/>
      <c r="WU142" s="34"/>
      <c r="WV142" s="34"/>
      <c r="WW142" s="34"/>
      <c r="WX142" s="34"/>
      <c r="WY142" s="34"/>
      <c r="WZ142" s="34"/>
      <c r="XA142" s="34"/>
      <c r="XB142" s="34"/>
      <c r="XC142" s="34"/>
      <c r="XD142" s="34"/>
      <c r="XE142" s="34"/>
      <c r="XF142" s="34"/>
      <c r="XG142" s="34"/>
      <c r="XH142" s="34"/>
      <c r="XI142" s="34"/>
      <c r="XJ142" s="34"/>
      <c r="XK142" s="34"/>
      <c r="XL142" s="34"/>
      <c r="XM142" s="34"/>
      <c r="XN142" s="34"/>
      <c r="XO142" s="34"/>
      <c r="XP142" s="34"/>
      <c r="XQ142" s="34"/>
      <c r="XR142" s="34"/>
      <c r="XS142" s="34"/>
      <c r="XT142" s="34"/>
      <c r="XU142" s="34"/>
      <c r="XV142" s="34"/>
      <c r="XW142" s="34"/>
      <c r="XX142" s="34"/>
      <c r="XY142" s="34"/>
      <c r="XZ142" s="34"/>
      <c r="YA142" s="34"/>
      <c r="YB142" s="34"/>
      <c r="YC142" s="34"/>
      <c r="YD142" s="34"/>
      <c r="YE142" s="34"/>
      <c r="YF142" s="34"/>
      <c r="YG142" s="34"/>
      <c r="YH142" s="34"/>
      <c r="YI142" s="34"/>
      <c r="YJ142" s="34"/>
      <c r="YK142" s="34"/>
      <c r="YL142" s="34"/>
      <c r="YM142" s="34"/>
      <c r="YN142" s="34"/>
      <c r="YO142" s="34"/>
      <c r="YP142" s="34"/>
      <c r="YQ142" s="34"/>
      <c r="YR142" s="34"/>
      <c r="YS142" s="34"/>
      <c r="YT142" s="34"/>
      <c r="YU142" s="34"/>
      <c r="YV142" s="34"/>
      <c r="YW142" s="34"/>
      <c r="YX142" s="34"/>
      <c r="YY142" s="34"/>
      <c r="YZ142" s="34"/>
      <c r="ZA142" s="34"/>
      <c r="ZB142" s="34"/>
      <c r="ZC142" s="34"/>
      <c r="ZD142" s="34"/>
      <c r="ZE142" s="34"/>
      <c r="ZF142" s="34"/>
      <c r="ZG142" s="34"/>
      <c r="ZH142" s="34"/>
      <c r="ZI142" s="34"/>
      <c r="ZJ142" s="34"/>
      <c r="ZK142" s="34"/>
      <c r="ZL142" s="34"/>
      <c r="ZM142" s="34"/>
      <c r="ZN142" s="34"/>
      <c r="ZO142" s="34"/>
      <c r="ZP142" s="34"/>
      <c r="ZQ142" s="34"/>
      <c r="ZR142" s="34"/>
      <c r="ZS142" s="34"/>
      <c r="ZT142" s="34"/>
      <c r="ZU142" s="34"/>
      <c r="ZV142" s="34"/>
      <c r="ZW142" s="34"/>
      <c r="ZX142" s="34"/>
      <c r="ZY142" s="34"/>
      <c r="ZZ142" s="34"/>
      <c r="AAA142" s="34"/>
      <c r="AAB142" s="34"/>
      <c r="AAC142" s="34"/>
      <c r="AAD142" s="34"/>
      <c r="AAE142" s="34"/>
      <c r="AAF142" s="34"/>
      <c r="AAG142" s="34"/>
      <c r="AAH142" s="34"/>
      <c r="AAI142" s="34"/>
      <c r="AAJ142" s="34"/>
      <c r="AAK142" s="34"/>
      <c r="AAL142" s="34"/>
      <c r="AAM142" s="34"/>
      <c r="AAN142" s="34"/>
      <c r="AAO142" s="34"/>
      <c r="AAP142" s="34"/>
      <c r="AAQ142" s="34"/>
      <c r="AAR142" s="34"/>
      <c r="AAS142" s="34"/>
      <c r="AAT142" s="34"/>
      <c r="AAU142" s="34"/>
      <c r="AAV142" s="34"/>
      <c r="AAW142" s="34"/>
      <c r="AAX142" s="34"/>
      <c r="AAY142" s="34"/>
      <c r="AAZ142" s="34"/>
      <c r="ABA142" s="34"/>
      <c r="ABB142" s="34"/>
      <c r="ABC142" s="34"/>
      <c r="ABD142" s="34"/>
      <c r="ABE142" s="34"/>
      <c r="ABF142" s="34"/>
      <c r="ABG142" s="34"/>
      <c r="ABH142" s="34"/>
      <c r="ABI142" s="34"/>
      <c r="ABJ142" s="34"/>
      <c r="ABK142" s="34"/>
      <c r="ABL142" s="34"/>
      <c r="ABM142" s="34"/>
      <c r="ABN142" s="34"/>
      <c r="ABO142" s="34"/>
      <c r="ABP142" s="34"/>
      <c r="ABQ142" s="34"/>
      <c r="ABR142" s="34"/>
      <c r="ABS142" s="34"/>
      <c r="ABT142" s="34"/>
      <c r="ABU142" s="34"/>
      <c r="ABV142" s="34"/>
      <c r="ABW142" s="34"/>
      <c r="ABX142" s="34"/>
      <c r="ABY142" s="34"/>
      <c r="ABZ142" s="34"/>
      <c r="ACA142" s="34"/>
      <c r="ACB142" s="34"/>
      <c r="ACC142" s="34"/>
      <c r="ACD142" s="34"/>
      <c r="ACE142" s="34"/>
      <c r="ACF142" s="34"/>
      <c r="ACG142" s="34"/>
      <c r="ACH142" s="34"/>
      <c r="ACI142" s="34"/>
      <c r="ACJ142" s="34"/>
      <c r="ACK142" s="34"/>
      <c r="ACL142" s="34"/>
      <c r="ACM142" s="34"/>
      <c r="ACN142" s="34"/>
      <c r="ACO142" s="34"/>
      <c r="ACP142" s="34"/>
      <c r="ACQ142" s="34"/>
      <c r="ACR142" s="34"/>
      <c r="ACS142" s="34"/>
      <c r="ACT142" s="34"/>
      <c r="ACU142" s="34"/>
      <c r="ACV142" s="34"/>
      <c r="ACW142" s="34"/>
      <c r="ACX142" s="34"/>
      <c r="ACY142" s="34"/>
      <c r="ACZ142" s="34"/>
      <c r="ADA142" s="34"/>
      <c r="ADB142" s="34"/>
      <c r="ADC142" s="34"/>
      <c r="ADD142" s="34"/>
      <c r="ADE142" s="34"/>
      <c r="ADF142" s="34"/>
      <c r="ADG142" s="34"/>
      <c r="ADH142" s="34"/>
      <c r="ADI142" s="34"/>
      <c r="ADJ142" s="34"/>
      <c r="ADK142" s="34"/>
      <c r="ADL142" s="34"/>
      <c r="ADM142" s="34"/>
      <c r="ADN142" s="34"/>
      <c r="ADO142" s="34"/>
      <c r="ADP142" s="34"/>
      <c r="ADQ142" s="34"/>
      <c r="ADR142" s="34"/>
      <c r="ADS142" s="34"/>
      <c r="ADT142" s="34"/>
      <c r="ADU142" s="34"/>
      <c r="ADV142" s="34"/>
      <c r="ADW142" s="34"/>
      <c r="ADX142" s="34"/>
      <c r="ADY142" s="34"/>
      <c r="ADZ142" s="34"/>
      <c r="AEA142" s="34"/>
      <c r="AEB142" s="34"/>
      <c r="AEC142" s="34"/>
      <c r="AED142" s="34"/>
      <c r="AEE142" s="34"/>
      <c r="AEF142" s="34"/>
      <c r="AEG142" s="34"/>
      <c r="AEH142" s="34"/>
      <c r="AEI142" s="34"/>
      <c r="AEJ142" s="34"/>
      <c r="AEK142" s="34"/>
      <c r="AEL142" s="34"/>
      <c r="AEM142" s="34"/>
      <c r="AEN142" s="34"/>
      <c r="AEO142" s="34"/>
      <c r="AEP142" s="34"/>
      <c r="AEQ142" s="34"/>
      <c r="AER142" s="34"/>
      <c r="AES142" s="34"/>
      <c r="AET142" s="34"/>
      <c r="AEU142" s="34"/>
      <c r="AEV142" s="34"/>
      <c r="AEW142" s="34"/>
      <c r="AEX142" s="34"/>
      <c r="AEY142" s="34"/>
      <c r="AEZ142" s="34"/>
      <c r="AFA142" s="34"/>
      <c r="AFB142" s="34"/>
      <c r="AFC142" s="34"/>
      <c r="AFD142" s="34"/>
      <c r="AFE142" s="34"/>
      <c r="AFF142" s="34"/>
      <c r="AFG142" s="34"/>
      <c r="AFH142" s="34"/>
      <c r="AFI142" s="34"/>
      <c r="AFJ142" s="34"/>
      <c r="AFK142" s="34"/>
      <c r="AFL142" s="34"/>
      <c r="AFM142" s="34"/>
      <c r="AFN142" s="34"/>
      <c r="AFO142" s="34"/>
      <c r="AFP142" s="34"/>
      <c r="AFQ142" s="34"/>
      <c r="AFR142" s="34"/>
      <c r="AFS142" s="34"/>
      <c r="AFT142" s="34"/>
      <c r="AFU142" s="34"/>
      <c r="AFV142" s="34"/>
      <c r="AFW142" s="34"/>
      <c r="AFX142" s="34"/>
      <c r="AFY142" s="34"/>
      <c r="AFZ142" s="34"/>
      <c r="AGA142" s="34"/>
      <c r="AGB142" s="34"/>
      <c r="AGC142" s="34"/>
      <c r="AGD142" s="34"/>
      <c r="AGE142" s="34"/>
      <c r="AGF142" s="34"/>
      <c r="AGG142" s="34"/>
      <c r="AGH142" s="34"/>
      <c r="AGI142" s="34"/>
      <c r="AGJ142" s="34"/>
      <c r="AGK142" s="34"/>
      <c r="AGL142" s="34"/>
      <c r="AGM142" s="34"/>
      <c r="AGN142" s="34"/>
      <c r="AGO142" s="34"/>
      <c r="AGP142" s="34"/>
      <c r="AGQ142" s="34"/>
      <c r="AGR142" s="34"/>
      <c r="AGS142" s="34"/>
      <c r="AGT142" s="34"/>
      <c r="AGU142" s="34"/>
      <c r="AGV142" s="34"/>
      <c r="AGW142" s="34"/>
      <c r="AGX142" s="34"/>
      <c r="AGY142" s="34"/>
      <c r="AGZ142" s="34"/>
      <c r="AHA142" s="34"/>
      <c r="AHB142" s="34"/>
      <c r="AHC142" s="34"/>
      <c r="AHD142" s="34"/>
      <c r="AHE142" s="34"/>
      <c r="AHF142" s="34"/>
      <c r="AHG142" s="34"/>
      <c r="AHH142" s="34"/>
      <c r="AHI142" s="34"/>
      <c r="AHJ142" s="34"/>
      <c r="AHK142" s="34"/>
      <c r="AHL142" s="34"/>
      <c r="AHM142" s="34"/>
      <c r="AHN142" s="34"/>
      <c r="AHO142" s="34"/>
      <c r="AHP142" s="34"/>
      <c r="AHQ142" s="34"/>
      <c r="AHR142" s="34"/>
      <c r="AHS142" s="34"/>
      <c r="AHT142" s="34"/>
      <c r="AHU142" s="34"/>
      <c r="AHV142" s="34"/>
      <c r="AHW142" s="34"/>
      <c r="AHX142" s="34"/>
      <c r="AHY142" s="34"/>
      <c r="AHZ142" s="34"/>
      <c r="AIA142" s="34"/>
      <c r="AIB142" s="34"/>
      <c r="AIC142" s="34"/>
      <c r="AID142" s="34"/>
      <c r="AIE142" s="34"/>
      <c r="AIF142" s="34"/>
      <c r="AIG142" s="34"/>
      <c r="AIH142" s="34"/>
      <c r="AII142" s="34"/>
      <c r="AIJ142" s="34"/>
      <c r="AIK142" s="34"/>
      <c r="AIL142" s="34"/>
      <c r="AIM142" s="34"/>
      <c r="AIN142" s="34"/>
      <c r="AIO142" s="34"/>
      <c r="AIP142" s="34"/>
      <c r="AIQ142" s="34"/>
      <c r="AIR142" s="34"/>
      <c r="AIS142" s="34"/>
      <c r="AIT142" s="34"/>
      <c r="AIU142" s="34"/>
      <c r="AIV142" s="34"/>
      <c r="AIW142" s="34"/>
      <c r="AIX142" s="34"/>
      <c r="AIY142" s="34"/>
      <c r="AIZ142" s="34"/>
      <c r="AJA142" s="34"/>
      <c r="AJB142" s="34"/>
      <c r="AJC142" s="34"/>
      <c r="AJD142" s="34"/>
      <c r="AJE142" s="34"/>
      <c r="AJF142" s="34"/>
      <c r="AJG142" s="34"/>
      <c r="AJH142" s="34"/>
      <c r="AJI142" s="34"/>
      <c r="AJJ142" s="34"/>
      <c r="AJK142" s="34"/>
      <c r="AJL142" s="34"/>
      <c r="AJM142" s="34"/>
      <c r="AJN142" s="34"/>
      <c r="AJO142" s="34"/>
      <c r="AJP142" s="34"/>
      <c r="AJQ142" s="34"/>
      <c r="AJR142" s="34"/>
      <c r="AJS142" s="34"/>
      <c r="AJT142" s="34"/>
      <c r="AJU142" s="34"/>
      <c r="AJV142" s="34"/>
      <c r="AJW142" s="34"/>
      <c r="AJX142" s="34"/>
      <c r="AJY142" s="34"/>
      <c r="AJZ142" s="34"/>
      <c r="AKA142" s="34"/>
      <c r="AKB142" s="34"/>
      <c r="AKC142" s="34"/>
      <c r="AKD142" s="34"/>
      <c r="AKE142" s="34"/>
      <c r="AKF142" s="34"/>
      <c r="AKG142" s="34"/>
      <c r="AKH142" s="34"/>
      <c r="AKI142" s="34"/>
      <c r="AKJ142" s="34"/>
      <c r="AKK142" s="34"/>
      <c r="AKL142" s="34"/>
      <c r="AKM142" s="34"/>
      <c r="AKN142" s="34"/>
      <c r="AKO142" s="34"/>
      <c r="AKP142" s="34"/>
      <c r="AKQ142" s="34"/>
      <c r="AKR142" s="34"/>
      <c r="AKS142" s="34"/>
      <c r="AKT142" s="34"/>
      <c r="AKU142" s="34"/>
      <c r="AKV142" s="34"/>
      <c r="AKW142" s="34"/>
      <c r="AKX142" s="34"/>
      <c r="AKY142" s="34"/>
      <c r="AKZ142" s="34"/>
      <c r="ALA142" s="34"/>
      <c r="ALB142" s="34"/>
      <c r="ALC142" s="34"/>
      <c r="ALD142" s="34"/>
      <c r="ALE142" s="34"/>
      <c r="ALF142" s="34"/>
      <c r="ALG142" s="34"/>
      <c r="ALH142" s="34"/>
      <c r="ALI142" s="34"/>
      <c r="ALJ142" s="34"/>
      <c r="ALK142" s="34"/>
      <c r="ALL142" s="34"/>
      <c r="ALM142" s="34"/>
      <c r="ALN142" s="34"/>
      <c r="ALO142" s="34"/>
      <c r="ALP142" s="34"/>
      <c r="ALQ142" s="34"/>
      <c r="ALR142" s="34"/>
      <c r="ALS142" s="34"/>
      <c r="ALT142" s="34"/>
      <c r="ALU142" s="34"/>
      <c r="ALV142" s="34"/>
      <c r="ALW142" s="34"/>
      <c r="ALX142" s="34"/>
      <c r="ALY142" s="34"/>
      <c r="ALZ142" s="34"/>
      <c r="AMA142" s="34"/>
      <c r="AMB142" s="34"/>
      <c r="AMC142" s="34"/>
      <c r="AMD142" s="34"/>
      <c r="AME142" s="34"/>
      <c r="AMF142" s="34"/>
      <c r="AMG142" s="34"/>
      <c r="AMH142" s="34"/>
      <c r="AMI142" s="34"/>
      <c r="AMJ142" s="34"/>
      <c r="AMK142" s="34"/>
      <c r="AML142" s="34"/>
      <c r="AMM142" s="34"/>
      <c r="AMN142" s="34"/>
      <c r="AMO142" s="34"/>
      <c r="AMP142" s="34"/>
      <c r="AMQ142" s="34"/>
      <c r="AMR142" s="34"/>
      <c r="AMS142" s="34"/>
      <c r="AMT142" s="34"/>
      <c r="AMU142" s="34"/>
      <c r="AMV142" s="34"/>
      <c r="AMW142" s="34"/>
      <c r="AMX142" s="34"/>
      <c r="AMY142" s="34"/>
      <c r="AMZ142" s="34"/>
      <c r="ANA142" s="34"/>
      <c r="ANB142" s="34"/>
      <c r="ANC142" s="34"/>
      <c r="AND142" s="34"/>
      <c r="ANE142" s="34"/>
      <c r="ANF142" s="34"/>
      <c r="ANG142" s="34"/>
      <c r="ANH142" s="34"/>
      <c r="ANI142" s="34"/>
      <c r="ANJ142" s="34"/>
      <c r="ANK142" s="34"/>
      <c r="ANL142" s="34"/>
      <c r="ANM142" s="34"/>
      <c r="ANN142" s="34"/>
      <c r="ANO142" s="34"/>
      <c r="ANP142" s="34"/>
      <c r="ANQ142" s="34"/>
      <c r="ANR142" s="34"/>
      <c r="ANS142" s="34"/>
      <c r="ANT142" s="34"/>
      <c r="ANU142" s="34"/>
      <c r="ANV142" s="34"/>
      <c r="ANW142" s="34"/>
      <c r="ANX142" s="34"/>
      <c r="ANY142" s="34"/>
      <c r="ANZ142" s="34"/>
      <c r="AOA142" s="34"/>
      <c r="AOB142" s="34"/>
      <c r="AOC142" s="34"/>
      <c r="AOD142" s="34"/>
      <c r="AOE142" s="34"/>
      <c r="AOF142" s="34"/>
      <c r="AOG142" s="34"/>
      <c r="AOH142" s="34"/>
      <c r="AOI142" s="34"/>
      <c r="AOJ142" s="34"/>
      <c r="AOK142" s="34"/>
      <c r="AOL142" s="34"/>
      <c r="AOM142" s="34"/>
      <c r="AON142" s="34"/>
      <c r="AOO142" s="34"/>
      <c r="AOP142" s="34"/>
      <c r="AOQ142" s="34"/>
      <c r="AOR142" s="34"/>
      <c r="AOS142" s="34"/>
      <c r="AOT142" s="34"/>
      <c r="AOU142" s="34"/>
      <c r="AOV142" s="34"/>
      <c r="AOW142" s="34"/>
      <c r="AOX142" s="34"/>
      <c r="AOY142" s="34"/>
      <c r="AOZ142" s="34"/>
      <c r="APA142" s="34"/>
      <c r="APB142" s="34"/>
      <c r="APC142" s="34"/>
      <c r="APD142" s="34"/>
      <c r="APE142" s="34"/>
      <c r="APF142" s="34"/>
      <c r="APG142" s="34"/>
      <c r="APH142" s="34"/>
      <c r="API142" s="34"/>
      <c r="APJ142" s="34"/>
      <c r="APK142" s="34"/>
      <c r="APL142" s="34"/>
      <c r="APM142" s="34"/>
      <c r="APN142" s="34"/>
      <c r="APO142" s="34"/>
      <c r="APP142" s="34"/>
      <c r="APQ142" s="34"/>
      <c r="APR142" s="34"/>
      <c r="APS142" s="34"/>
      <c r="APT142" s="34"/>
      <c r="APU142" s="34"/>
      <c r="APV142" s="34"/>
      <c r="APW142" s="34"/>
      <c r="APX142" s="34"/>
      <c r="APY142" s="34"/>
      <c r="APZ142" s="34"/>
      <c r="AQA142" s="34"/>
      <c r="AQB142" s="34"/>
      <c r="AQC142" s="34"/>
      <c r="AQD142" s="34"/>
      <c r="AQE142" s="34"/>
      <c r="AQF142" s="34"/>
      <c r="AQG142" s="34"/>
      <c r="AQH142" s="34"/>
      <c r="AQI142" s="34"/>
      <c r="AQJ142" s="34"/>
      <c r="AQK142" s="34"/>
      <c r="AQL142" s="34"/>
      <c r="AQM142" s="34"/>
      <c r="AQN142" s="34"/>
      <c r="AQO142" s="34"/>
      <c r="AQP142" s="34"/>
      <c r="AQQ142" s="34"/>
      <c r="AQR142" s="34"/>
      <c r="AQS142" s="34"/>
      <c r="AQT142" s="34"/>
      <c r="AQU142" s="34"/>
      <c r="AQV142" s="34"/>
      <c r="AQW142" s="34"/>
      <c r="AQX142" s="34"/>
      <c r="AQY142" s="34"/>
      <c r="AQZ142" s="34"/>
      <c r="ARA142" s="34"/>
      <c r="ARB142" s="34"/>
      <c r="ARC142" s="34"/>
      <c r="ARD142" s="34"/>
      <c r="ARE142" s="34"/>
      <c r="ARF142" s="34"/>
      <c r="ARG142" s="34"/>
      <c r="ARH142" s="34"/>
      <c r="ARI142" s="34"/>
      <c r="ARJ142" s="34"/>
      <c r="ARK142" s="34"/>
      <c r="ARL142" s="34"/>
      <c r="ARM142" s="34"/>
      <c r="ARN142" s="34"/>
      <c r="ARO142" s="34"/>
      <c r="ARP142" s="34"/>
      <c r="ARQ142" s="34"/>
      <c r="ARR142" s="34"/>
      <c r="ARS142" s="34"/>
      <c r="ART142" s="34"/>
      <c r="ARU142" s="34"/>
      <c r="ARV142" s="34"/>
      <c r="ARW142" s="34"/>
      <c r="ARX142" s="34"/>
      <c r="ARY142" s="34"/>
      <c r="ARZ142" s="34"/>
      <c r="ASA142" s="34"/>
      <c r="ASB142" s="34"/>
      <c r="ASC142" s="34"/>
      <c r="ASD142" s="34"/>
      <c r="ASE142" s="34"/>
      <c r="ASF142" s="34"/>
      <c r="ASG142" s="34"/>
      <c r="ASH142" s="34"/>
      <c r="ASI142" s="34"/>
      <c r="ASJ142" s="34"/>
      <c r="ASK142" s="34"/>
      <c r="ASL142" s="34"/>
      <c r="ASM142" s="34"/>
      <c r="ASN142" s="34"/>
      <c r="ASO142" s="34"/>
      <c r="ASP142" s="34"/>
      <c r="ASQ142" s="34"/>
      <c r="ASR142" s="34"/>
      <c r="ASS142" s="34"/>
      <c r="AST142" s="34"/>
      <c r="ASU142" s="34"/>
      <c r="ASV142" s="34"/>
      <c r="ASW142" s="34"/>
      <c r="ASX142" s="34"/>
      <c r="ASY142" s="34"/>
      <c r="ASZ142" s="34"/>
      <c r="ATA142" s="34"/>
      <c r="ATB142" s="34"/>
      <c r="ATC142" s="34"/>
      <c r="ATD142" s="34"/>
      <c r="ATE142" s="34"/>
      <c r="ATF142" s="34"/>
      <c r="ATG142" s="34"/>
      <c r="ATH142" s="34"/>
      <c r="ATI142" s="34"/>
      <c r="ATJ142" s="34"/>
      <c r="ATK142" s="34"/>
      <c r="ATL142" s="34"/>
      <c r="ATM142" s="34"/>
      <c r="ATN142" s="34"/>
      <c r="ATO142" s="34"/>
      <c r="ATP142" s="34"/>
      <c r="ATQ142" s="34"/>
      <c r="ATR142" s="34"/>
      <c r="ATS142" s="34"/>
      <c r="ATT142" s="34"/>
      <c r="ATU142" s="34"/>
      <c r="ATV142" s="34"/>
      <c r="ATW142" s="34"/>
      <c r="ATX142" s="34"/>
      <c r="ATY142" s="34"/>
      <c r="ATZ142" s="34"/>
      <c r="AUA142" s="34"/>
      <c r="AUB142" s="34"/>
      <c r="AUC142" s="34"/>
      <c r="AUD142" s="34"/>
      <c r="AUE142" s="34"/>
      <c r="AUF142" s="34"/>
      <c r="AUG142" s="34"/>
      <c r="AUH142" s="34"/>
      <c r="AUI142" s="34"/>
      <c r="AUJ142" s="34"/>
      <c r="AUK142" s="34"/>
      <c r="AUL142" s="34"/>
      <c r="AUM142" s="34"/>
      <c r="AUN142" s="34"/>
      <c r="AUO142" s="34"/>
      <c r="AUP142" s="34"/>
      <c r="AUQ142" s="34"/>
      <c r="AUR142" s="34"/>
      <c r="AUS142" s="34"/>
      <c r="AUT142" s="34"/>
      <c r="AUU142" s="34"/>
      <c r="AUV142" s="34"/>
      <c r="AUW142" s="34"/>
      <c r="AUX142" s="34"/>
      <c r="AUY142" s="34"/>
      <c r="AUZ142" s="34"/>
      <c r="AVA142" s="34"/>
      <c r="AVB142" s="34"/>
      <c r="AVC142" s="34"/>
      <c r="AVD142" s="34"/>
      <c r="AVE142" s="34"/>
      <c r="AVF142" s="34"/>
      <c r="AVG142" s="34"/>
      <c r="AVH142" s="34"/>
      <c r="AVI142" s="34"/>
      <c r="AVJ142" s="34"/>
      <c r="AVK142" s="34"/>
      <c r="AVL142" s="34"/>
      <c r="AVM142" s="34"/>
      <c r="AVN142" s="34"/>
      <c r="AVO142" s="34"/>
      <c r="AVP142" s="34"/>
      <c r="AVQ142" s="34"/>
      <c r="AVR142" s="34"/>
      <c r="AVS142" s="34"/>
      <c r="AVT142" s="34"/>
      <c r="AVU142" s="34"/>
      <c r="AVV142" s="34"/>
      <c r="AVW142" s="34"/>
      <c r="AVX142" s="34"/>
      <c r="AVY142" s="34"/>
      <c r="AVZ142" s="34"/>
      <c r="AWA142" s="34"/>
      <c r="AWB142" s="34"/>
      <c r="AWC142" s="34"/>
      <c r="AWD142" s="34"/>
      <c r="AWE142" s="34"/>
      <c r="AWF142" s="34"/>
      <c r="AWG142" s="34"/>
      <c r="AWH142" s="34"/>
      <c r="AWI142" s="34"/>
      <c r="AWJ142" s="34"/>
      <c r="AWK142" s="34"/>
      <c r="AWL142" s="34"/>
      <c r="AWM142" s="34"/>
      <c r="AWN142" s="34"/>
      <c r="AWO142" s="34"/>
      <c r="AWP142" s="34"/>
      <c r="AWQ142" s="34"/>
      <c r="AWR142" s="34"/>
      <c r="AWS142" s="34"/>
      <c r="AWT142" s="34"/>
      <c r="AWU142" s="34"/>
      <c r="AWV142" s="34"/>
      <c r="AWW142" s="34"/>
      <c r="AWX142" s="34"/>
      <c r="AWY142" s="34"/>
      <c r="AWZ142" s="34"/>
      <c r="AXA142" s="34"/>
      <c r="AXB142" s="34"/>
      <c r="AXC142" s="34"/>
      <c r="AXD142" s="34"/>
      <c r="AXE142" s="34"/>
      <c r="AXF142" s="34"/>
      <c r="AXG142" s="34"/>
      <c r="AXH142" s="34"/>
      <c r="AXI142" s="34"/>
      <c r="AXJ142" s="34"/>
      <c r="AXK142" s="34"/>
      <c r="AXL142" s="34"/>
      <c r="AXM142" s="34"/>
      <c r="AXN142" s="34"/>
      <c r="AXO142" s="34"/>
      <c r="AXP142" s="34"/>
      <c r="AXQ142" s="34"/>
      <c r="AXR142" s="34"/>
      <c r="AXS142" s="34"/>
      <c r="AXT142" s="34"/>
      <c r="AXU142" s="34"/>
      <c r="AXV142" s="34"/>
      <c r="AXW142" s="34"/>
      <c r="AXX142" s="34"/>
      <c r="AXY142" s="34"/>
      <c r="AXZ142" s="34"/>
      <c r="AYA142" s="34"/>
      <c r="AYB142" s="34"/>
      <c r="AYC142" s="34"/>
      <c r="AYD142" s="34"/>
      <c r="AYE142" s="34"/>
      <c r="AYF142" s="34"/>
      <c r="AYG142" s="34"/>
      <c r="AYH142" s="34"/>
      <c r="AYI142" s="34"/>
      <c r="AYJ142" s="34"/>
      <c r="AYK142" s="34"/>
      <c r="AYL142" s="34"/>
      <c r="AYM142" s="34"/>
      <c r="AYN142" s="34"/>
      <c r="AYO142" s="34"/>
      <c r="AYP142" s="34"/>
      <c r="AYQ142" s="34"/>
      <c r="AYR142" s="34"/>
      <c r="AYS142" s="34"/>
      <c r="AYT142" s="34"/>
      <c r="AYU142" s="34"/>
      <c r="AYV142" s="34"/>
      <c r="AYW142" s="34"/>
      <c r="AYX142" s="34"/>
      <c r="AYY142" s="34"/>
      <c r="AYZ142" s="34"/>
      <c r="AZA142" s="34"/>
      <c r="AZB142" s="34"/>
      <c r="AZC142" s="34"/>
      <c r="AZD142" s="34"/>
      <c r="AZE142" s="34"/>
      <c r="AZF142" s="34"/>
      <c r="AZG142" s="34"/>
      <c r="AZH142" s="34"/>
      <c r="AZI142" s="34"/>
      <c r="AZJ142" s="34"/>
      <c r="AZK142" s="34"/>
      <c r="AZL142" s="34"/>
      <c r="AZM142" s="34"/>
      <c r="AZN142" s="34"/>
      <c r="AZO142" s="34"/>
      <c r="AZP142" s="34"/>
      <c r="AZQ142" s="34"/>
      <c r="AZR142" s="34"/>
      <c r="AZS142" s="34"/>
      <c r="AZT142" s="34"/>
      <c r="AZU142" s="34"/>
      <c r="AZV142" s="34"/>
      <c r="AZW142" s="34"/>
      <c r="AZX142" s="34"/>
      <c r="AZY142" s="34"/>
      <c r="AZZ142" s="34"/>
      <c r="BAA142" s="34"/>
      <c r="BAB142" s="34"/>
      <c r="BAC142" s="34"/>
      <c r="BAD142" s="34"/>
      <c r="BAE142" s="34"/>
      <c r="BAF142" s="34"/>
      <c r="BAG142" s="34"/>
      <c r="BAH142" s="34"/>
      <c r="BAI142" s="34"/>
      <c r="BAJ142" s="34"/>
      <c r="BAK142" s="34"/>
      <c r="BAL142" s="34"/>
      <c r="BAM142" s="34"/>
      <c r="BAN142" s="34"/>
      <c r="BAO142" s="34"/>
      <c r="BAP142" s="34"/>
      <c r="BAQ142" s="34"/>
      <c r="BAR142" s="34"/>
      <c r="BAS142" s="34"/>
      <c r="BAT142" s="34"/>
      <c r="BAU142" s="34"/>
      <c r="BAV142" s="34"/>
      <c r="BAW142" s="34"/>
      <c r="BAX142" s="34"/>
      <c r="BAY142" s="34"/>
      <c r="BAZ142" s="34"/>
      <c r="BBA142" s="34"/>
      <c r="BBB142" s="34"/>
      <c r="BBC142" s="34"/>
      <c r="BBD142" s="34"/>
      <c r="BBE142" s="34"/>
      <c r="BBF142" s="34"/>
      <c r="BBG142" s="34"/>
      <c r="BBH142" s="34"/>
      <c r="BBI142" s="34"/>
      <c r="BBJ142" s="34"/>
      <c r="BBK142" s="34"/>
      <c r="BBL142" s="34"/>
      <c r="BBM142" s="34"/>
      <c r="BBN142" s="34"/>
      <c r="BBO142" s="34"/>
      <c r="BBP142" s="34"/>
      <c r="BBQ142" s="34"/>
      <c r="BBR142" s="34"/>
      <c r="BBS142" s="34"/>
      <c r="BBT142" s="34"/>
      <c r="BBU142" s="34"/>
      <c r="BBV142" s="34"/>
      <c r="BBW142" s="34"/>
      <c r="BBX142" s="34"/>
      <c r="BBY142" s="34"/>
      <c r="BBZ142" s="34"/>
      <c r="BCA142" s="34"/>
      <c r="BCB142" s="34"/>
      <c r="BCC142" s="34"/>
      <c r="BCD142" s="34"/>
      <c r="BCE142" s="34"/>
      <c r="BCF142" s="34"/>
      <c r="BCG142" s="34"/>
      <c r="BCH142" s="34"/>
      <c r="BCI142" s="34"/>
      <c r="BCJ142" s="34"/>
      <c r="BCK142" s="34"/>
      <c r="BCL142" s="34"/>
      <c r="BCM142" s="34"/>
      <c r="BCN142" s="34"/>
      <c r="BCO142" s="34"/>
      <c r="BCP142" s="34"/>
      <c r="BCQ142" s="34"/>
      <c r="BCR142" s="34"/>
      <c r="BCS142" s="34"/>
      <c r="BCT142" s="34"/>
      <c r="BCU142" s="34"/>
      <c r="BCV142" s="34"/>
      <c r="BCW142" s="34"/>
      <c r="BCX142" s="34"/>
      <c r="BCY142" s="34"/>
      <c r="BCZ142" s="34"/>
      <c r="BDA142" s="34"/>
      <c r="BDB142" s="34"/>
      <c r="BDC142" s="34"/>
      <c r="BDD142" s="34"/>
      <c r="BDE142" s="34"/>
      <c r="BDF142" s="34"/>
      <c r="BDG142" s="34"/>
      <c r="BDH142" s="34"/>
      <c r="BDI142" s="34"/>
      <c r="BDJ142" s="34"/>
      <c r="BDK142" s="34"/>
      <c r="BDL142" s="34"/>
      <c r="BDM142" s="34"/>
      <c r="BDN142" s="34"/>
      <c r="BDO142" s="34"/>
      <c r="BDP142" s="34"/>
      <c r="BDQ142" s="34"/>
      <c r="BDR142" s="34"/>
      <c r="BDS142" s="34"/>
      <c r="BDT142" s="34"/>
      <c r="BDU142" s="34"/>
      <c r="BDV142" s="34"/>
      <c r="BDW142" s="34"/>
      <c r="BDX142" s="34"/>
      <c r="BDY142" s="34"/>
      <c r="BDZ142" s="34"/>
      <c r="BEA142" s="34"/>
      <c r="BEB142" s="34"/>
      <c r="BEC142" s="34"/>
      <c r="BED142" s="34"/>
      <c r="BEE142" s="34"/>
      <c r="BEF142" s="34"/>
      <c r="BEG142" s="34"/>
      <c r="BEH142" s="34"/>
      <c r="BEI142" s="34"/>
      <c r="BEJ142" s="34"/>
      <c r="BEK142" s="34"/>
      <c r="BEL142" s="34"/>
      <c r="BEM142" s="34"/>
      <c r="BEN142" s="34"/>
      <c r="BEO142" s="34"/>
      <c r="BEP142" s="34"/>
      <c r="BEQ142" s="34"/>
      <c r="BER142" s="34"/>
      <c r="BES142" s="34"/>
      <c r="BET142" s="34"/>
      <c r="BEU142" s="34"/>
      <c r="BEV142" s="34"/>
      <c r="BEW142" s="34"/>
      <c r="BEX142" s="34"/>
      <c r="BEY142" s="34"/>
      <c r="BEZ142" s="34"/>
      <c r="BFA142" s="34"/>
      <c r="BFB142" s="34"/>
      <c r="BFC142" s="34"/>
      <c r="BFD142" s="34"/>
      <c r="BFE142" s="34"/>
      <c r="BFF142" s="34"/>
      <c r="BFG142" s="34"/>
      <c r="BFH142" s="34"/>
      <c r="BFI142" s="34"/>
      <c r="BFJ142" s="34"/>
      <c r="BFK142" s="34"/>
      <c r="BFL142" s="34"/>
      <c r="BFM142" s="34"/>
      <c r="BFN142" s="34"/>
      <c r="BFO142" s="34"/>
      <c r="BFP142" s="34"/>
      <c r="BFQ142" s="34"/>
      <c r="BFR142" s="34"/>
      <c r="BFS142" s="34"/>
      <c r="BFT142" s="34"/>
      <c r="BFU142" s="34"/>
      <c r="BFV142" s="34"/>
      <c r="BFW142" s="34"/>
      <c r="BFX142" s="34"/>
      <c r="BFY142" s="34"/>
      <c r="BFZ142" s="34"/>
      <c r="BGA142" s="34"/>
      <c r="BGB142" s="34"/>
      <c r="BGC142" s="34"/>
      <c r="BGD142" s="34"/>
      <c r="BGE142" s="34"/>
      <c r="BGF142" s="34"/>
      <c r="BGG142" s="34"/>
      <c r="BGH142" s="34"/>
      <c r="BGI142" s="34"/>
      <c r="BGJ142" s="34"/>
      <c r="BGK142" s="34"/>
      <c r="BGL142" s="34"/>
      <c r="BGM142" s="34"/>
      <c r="BGN142" s="34"/>
      <c r="BGO142" s="34"/>
      <c r="BGP142" s="34"/>
      <c r="BGQ142" s="34"/>
      <c r="BGR142" s="34"/>
      <c r="BGS142" s="34"/>
      <c r="BGT142" s="34"/>
      <c r="BGU142" s="34"/>
      <c r="BGV142" s="34"/>
      <c r="BGW142" s="34"/>
      <c r="BGX142" s="34"/>
      <c r="BGY142" s="34"/>
      <c r="BGZ142" s="34"/>
      <c r="BHA142" s="34"/>
      <c r="BHB142" s="34"/>
      <c r="BHC142" s="34"/>
      <c r="BHD142" s="34"/>
      <c r="BHE142" s="34"/>
      <c r="BHF142" s="34"/>
      <c r="BHG142" s="34"/>
      <c r="BHH142" s="34"/>
      <c r="BHI142" s="34"/>
      <c r="BHJ142" s="34"/>
      <c r="BHK142" s="34"/>
      <c r="BHL142" s="34"/>
      <c r="BHM142" s="34"/>
      <c r="BHN142" s="34"/>
      <c r="BHO142" s="34"/>
      <c r="BHP142" s="34"/>
      <c r="BHQ142" s="34"/>
      <c r="BHR142" s="34"/>
      <c r="BHS142" s="34"/>
      <c r="BHT142" s="34"/>
      <c r="BHU142" s="34"/>
      <c r="BHV142" s="34"/>
      <c r="BHW142" s="34"/>
      <c r="BHX142" s="34"/>
      <c r="BHY142" s="34"/>
      <c r="BHZ142" s="34"/>
      <c r="BIA142" s="34"/>
      <c r="BIB142" s="34"/>
      <c r="BIC142" s="34"/>
      <c r="BID142" s="34"/>
      <c r="BIE142" s="34"/>
      <c r="BIF142" s="34"/>
      <c r="BIG142" s="34"/>
      <c r="BIH142" s="34"/>
      <c r="BII142" s="34"/>
      <c r="BIJ142" s="34"/>
      <c r="BIK142" s="34"/>
      <c r="BIL142" s="34"/>
      <c r="BIM142" s="34"/>
      <c r="BIN142" s="34"/>
      <c r="BIO142" s="34"/>
      <c r="BIP142" s="34"/>
      <c r="BIQ142" s="34"/>
      <c r="BIR142" s="34"/>
      <c r="BIS142" s="34"/>
      <c r="BIT142" s="34"/>
      <c r="BIU142" s="34"/>
      <c r="BIV142" s="34"/>
      <c r="BIW142" s="34"/>
      <c r="BIX142" s="34"/>
      <c r="BIY142" s="34"/>
      <c r="BIZ142" s="34"/>
      <c r="BJA142" s="34"/>
      <c r="BJB142" s="34"/>
      <c r="BJC142" s="34"/>
      <c r="BJD142" s="34"/>
      <c r="BJE142" s="34"/>
      <c r="BJF142" s="34"/>
      <c r="BJG142" s="34"/>
      <c r="BJH142" s="34"/>
      <c r="BJI142" s="34"/>
      <c r="BJJ142" s="34"/>
      <c r="BJK142" s="34"/>
      <c r="BJL142" s="34"/>
      <c r="BJM142" s="34"/>
      <c r="BJN142" s="34"/>
      <c r="BJO142" s="34"/>
      <c r="BJP142" s="34"/>
      <c r="BJQ142" s="34"/>
      <c r="BJR142" s="34"/>
      <c r="BJS142" s="34"/>
      <c r="BJT142" s="34"/>
      <c r="BJU142" s="34"/>
      <c r="BJV142" s="34"/>
      <c r="BJW142" s="34"/>
      <c r="BJX142" s="34"/>
      <c r="BJY142" s="34"/>
      <c r="BJZ142" s="34"/>
      <c r="BKA142" s="34"/>
      <c r="BKB142" s="34"/>
      <c r="BKC142" s="34"/>
      <c r="BKD142" s="34"/>
      <c r="BKE142" s="34"/>
      <c r="BKF142" s="34"/>
      <c r="BKG142" s="34"/>
      <c r="BKH142" s="34"/>
      <c r="BKI142" s="34"/>
      <c r="BKJ142" s="34"/>
      <c r="BKK142" s="34"/>
      <c r="BKL142" s="34"/>
      <c r="BKM142" s="34"/>
      <c r="BKN142" s="34"/>
      <c r="BKO142" s="34"/>
      <c r="BKP142" s="34"/>
      <c r="BKQ142" s="34"/>
      <c r="BKR142" s="34"/>
      <c r="BKS142" s="34"/>
      <c r="BKT142" s="34"/>
      <c r="BKU142" s="34"/>
      <c r="BKV142" s="34"/>
      <c r="BKW142" s="34"/>
      <c r="BKX142" s="34"/>
      <c r="BKY142" s="34"/>
      <c r="BKZ142" s="34"/>
      <c r="BLA142" s="34"/>
      <c r="BLB142" s="34"/>
      <c r="BLC142" s="34"/>
      <c r="BLD142" s="34"/>
      <c r="BLE142" s="34"/>
      <c r="BLF142" s="34"/>
      <c r="BLG142" s="34"/>
      <c r="BLH142" s="34"/>
      <c r="BLI142" s="34"/>
      <c r="BLJ142" s="34"/>
      <c r="BLK142" s="34"/>
      <c r="BLL142" s="34"/>
      <c r="BLM142" s="34"/>
      <c r="BLN142" s="34"/>
      <c r="BLO142" s="34"/>
      <c r="BLP142" s="34"/>
      <c r="BLQ142" s="34"/>
      <c r="BLR142" s="34"/>
      <c r="BLS142" s="34"/>
      <c r="BLT142" s="34"/>
      <c r="BLU142" s="34"/>
      <c r="BLV142" s="34"/>
      <c r="BLW142" s="34"/>
      <c r="BLX142" s="34"/>
      <c r="BLY142" s="34"/>
      <c r="BLZ142" s="34"/>
      <c r="BMA142" s="34"/>
      <c r="BMB142" s="34"/>
      <c r="BMC142" s="34"/>
      <c r="BMD142" s="34"/>
      <c r="BME142" s="34"/>
      <c r="BMF142" s="34"/>
      <c r="BMG142" s="34"/>
      <c r="BMH142" s="34"/>
      <c r="BMI142" s="34"/>
      <c r="BMJ142" s="34"/>
      <c r="BMK142" s="34"/>
      <c r="BML142" s="34"/>
      <c r="BMM142" s="34"/>
      <c r="BMN142" s="34"/>
      <c r="BMO142" s="34"/>
      <c r="BMP142" s="34"/>
      <c r="BMQ142" s="34"/>
      <c r="BMR142" s="34"/>
      <c r="BMS142" s="34"/>
      <c r="BMT142" s="34"/>
      <c r="BMU142" s="34"/>
      <c r="BMV142" s="34"/>
      <c r="BMW142" s="34"/>
      <c r="BMX142" s="34"/>
      <c r="BMY142" s="34"/>
      <c r="BMZ142" s="34"/>
      <c r="BNA142" s="34"/>
      <c r="BNB142" s="34"/>
      <c r="BNC142" s="34"/>
      <c r="BND142" s="34"/>
      <c r="BNE142" s="34"/>
      <c r="BNF142" s="34"/>
      <c r="BNG142" s="34"/>
      <c r="BNH142" s="34"/>
      <c r="BNI142" s="34"/>
      <c r="BNJ142" s="34"/>
      <c r="BNK142" s="34"/>
      <c r="BNL142" s="34"/>
      <c r="BNM142" s="34"/>
      <c r="BNN142" s="34"/>
      <c r="BNO142" s="34"/>
      <c r="BNP142" s="34"/>
      <c r="BNQ142" s="34"/>
      <c r="BNR142" s="34"/>
      <c r="BNS142" s="34"/>
      <c r="BNT142" s="34"/>
      <c r="BNU142" s="34"/>
      <c r="BNV142" s="34"/>
      <c r="BNW142" s="34"/>
      <c r="BNX142" s="34"/>
      <c r="BNY142" s="34"/>
      <c r="BNZ142" s="34"/>
      <c r="BOA142" s="34"/>
      <c r="BOB142" s="34"/>
      <c r="BOC142" s="34"/>
      <c r="BOD142" s="34"/>
      <c r="BOE142" s="34"/>
      <c r="BOF142" s="34"/>
      <c r="BOG142" s="34"/>
      <c r="BOH142" s="34"/>
      <c r="BOI142" s="34"/>
      <c r="BOJ142" s="34"/>
      <c r="BOK142" s="34"/>
      <c r="BOL142" s="34"/>
      <c r="BOM142" s="34"/>
      <c r="BON142" s="34"/>
      <c r="BOO142" s="34"/>
      <c r="BOP142" s="34"/>
      <c r="BOQ142" s="34"/>
      <c r="BOR142" s="34"/>
      <c r="BOS142" s="34"/>
      <c r="BOT142" s="34"/>
      <c r="BOU142" s="34"/>
      <c r="BOV142" s="34"/>
      <c r="BOW142" s="34"/>
      <c r="BOX142" s="34"/>
      <c r="BOY142" s="34"/>
      <c r="BOZ142" s="34"/>
      <c r="BPA142" s="34"/>
      <c r="BPB142" s="34"/>
      <c r="BPC142" s="34"/>
      <c r="BPD142" s="34"/>
      <c r="BPE142" s="34"/>
      <c r="BPF142" s="34"/>
      <c r="BPG142" s="34"/>
      <c r="BPH142" s="34"/>
      <c r="BPI142" s="34"/>
      <c r="BPJ142" s="34"/>
      <c r="BPK142" s="34"/>
      <c r="BPL142" s="34"/>
      <c r="BPM142" s="34"/>
      <c r="BPN142" s="34"/>
      <c r="BPO142" s="34"/>
      <c r="BPP142" s="34"/>
      <c r="BPQ142" s="34"/>
      <c r="BPR142" s="34"/>
      <c r="BPS142" s="34"/>
      <c r="BPT142" s="34"/>
      <c r="BPU142" s="34"/>
      <c r="BPV142" s="34"/>
      <c r="BPW142" s="34"/>
      <c r="BPX142" s="34"/>
      <c r="BPY142" s="34"/>
      <c r="BPZ142" s="34"/>
      <c r="BQA142" s="34"/>
      <c r="BQB142" s="34"/>
      <c r="BQC142" s="34"/>
      <c r="BQD142" s="34"/>
      <c r="BQE142" s="34"/>
      <c r="BQF142" s="34"/>
      <c r="BQG142" s="34"/>
      <c r="BQH142" s="34"/>
      <c r="BQI142" s="34"/>
      <c r="BQJ142" s="34"/>
      <c r="BQK142" s="34"/>
      <c r="BQL142" s="34"/>
      <c r="BQM142" s="34"/>
      <c r="BQN142" s="34"/>
      <c r="BQO142" s="34"/>
      <c r="BQP142" s="34"/>
      <c r="BQQ142" s="34"/>
      <c r="BQR142" s="34"/>
      <c r="BQS142" s="34"/>
      <c r="BQT142" s="34"/>
      <c r="BQU142" s="34"/>
      <c r="BQV142" s="34"/>
      <c r="BQW142" s="34"/>
      <c r="BQX142" s="34"/>
      <c r="BQY142" s="34"/>
      <c r="BQZ142" s="34"/>
      <c r="BRA142" s="34"/>
      <c r="BRB142" s="34"/>
      <c r="BRC142" s="34"/>
      <c r="BRD142" s="34"/>
      <c r="BRE142" s="34"/>
      <c r="BRF142" s="34"/>
      <c r="BRG142" s="34"/>
      <c r="BRH142" s="34"/>
      <c r="BRI142" s="34"/>
      <c r="BRJ142" s="34"/>
      <c r="BRK142" s="34"/>
      <c r="BRL142" s="34"/>
      <c r="BRM142" s="34"/>
      <c r="BRN142" s="34"/>
      <c r="BRO142" s="34"/>
      <c r="BRP142" s="34"/>
      <c r="BRQ142" s="34"/>
      <c r="BRR142" s="34"/>
      <c r="BRS142" s="34"/>
      <c r="BRT142" s="34"/>
      <c r="BRU142" s="34"/>
      <c r="BRV142" s="34"/>
      <c r="BRW142" s="34"/>
      <c r="BRX142" s="34"/>
      <c r="BRY142" s="34"/>
      <c r="BRZ142" s="34"/>
      <c r="BSA142" s="34"/>
      <c r="BSB142" s="34"/>
      <c r="BSC142" s="34"/>
      <c r="BSD142" s="34"/>
      <c r="BSE142" s="34"/>
      <c r="BSF142" s="34"/>
      <c r="BSG142" s="34"/>
      <c r="BSH142" s="34"/>
      <c r="BSI142" s="34"/>
      <c r="BSJ142" s="34"/>
      <c r="BSK142" s="34"/>
      <c r="BSL142" s="34"/>
      <c r="BSM142" s="34"/>
      <c r="BSN142" s="34"/>
      <c r="BSO142" s="34"/>
      <c r="BSP142" s="34"/>
      <c r="BSQ142" s="34"/>
      <c r="BSR142" s="34"/>
      <c r="BSS142" s="34"/>
      <c r="BST142" s="34"/>
      <c r="BSU142" s="34"/>
      <c r="BSV142" s="34"/>
      <c r="BSW142" s="34"/>
      <c r="BSX142" s="34"/>
      <c r="BSY142" s="34"/>
      <c r="BSZ142" s="34"/>
      <c r="BTA142" s="34"/>
      <c r="BTB142" s="34"/>
      <c r="BTC142" s="34"/>
      <c r="BTD142" s="34"/>
      <c r="BTE142" s="34"/>
      <c r="BTF142" s="34"/>
      <c r="BTG142" s="34"/>
      <c r="BTH142" s="34"/>
      <c r="BTI142" s="34"/>
      <c r="BTJ142" s="34"/>
      <c r="BTK142" s="34"/>
      <c r="BTL142" s="34"/>
      <c r="BTM142" s="34"/>
      <c r="BTN142" s="34"/>
      <c r="BTO142" s="34"/>
      <c r="BTP142" s="34"/>
      <c r="BTQ142" s="34"/>
      <c r="BTR142" s="34"/>
      <c r="BTS142" s="34"/>
      <c r="BTT142" s="34"/>
      <c r="BTU142" s="34"/>
      <c r="BTV142" s="34"/>
      <c r="BTW142" s="34"/>
      <c r="BTX142" s="34"/>
      <c r="BTY142" s="34"/>
      <c r="BTZ142" s="34"/>
      <c r="BUA142" s="34"/>
      <c r="BUB142" s="34"/>
      <c r="BUC142" s="34"/>
      <c r="BUD142" s="34"/>
      <c r="BUE142" s="34"/>
      <c r="BUF142" s="34"/>
      <c r="BUG142" s="34"/>
      <c r="BUH142" s="34"/>
      <c r="BUI142" s="34"/>
      <c r="BUJ142" s="34"/>
      <c r="BUK142" s="34"/>
      <c r="BUL142" s="34"/>
      <c r="BUM142" s="34"/>
      <c r="BUN142" s="34"/>
      <c r="BUO142" s="34"/>
      <c r="BUP142" s="34"/>
      <c r="BUQ142" s="34"/>
      <c r="BUR142" s="34"/>
      <c r="BUS142" s="34"/>
      <c r="BUT142" s="34"/>
      <c r="BUU142" s="34"/>
      <c r="BUV142" s="34"/>
      <c r="BUW142" s="34"/>
      <c r="BUX142" s="34"/>
      <c r="BUY142" s="34"/>
      <c r="BUZ142" s="34"/>
      <c r="BVA142" s="34"/>
      <c r="BVB142" s="34"/>
      <c r="BVC142" s="34"/>
      <c r="BVD142" s="34"/>
      <c r="BVE142" s="34"/>
      <c r="BVF142" s="34"/>
      <c r="BVG142" s="34"/>
      <c r="BVH142" s="34"/>
      <c r="BVI142" s="34"/>
      <c r="BVJ142" s="34"/>
      <c r="BVK142" s="34"/>
      <c r="BVL142" s="34"/>
      <c r="BVM142" s="34"/>
      <c r="BVN142" s="34"/>
      <c r="BVO142" s="34"/>
      <c r="BVP142" s="34"/>
      <c r="BVQ142" s="34"/>
      <c r="BVR142" s="34"/>
      <c r="BVS142" s="34"/>
      <c r="BVT142" s="34"/>
      <c r="BVU142" s="34"/>
      <c r="BVV142" s="34"/>
      <c r="BVW142" s="34"/>
      <c r="BVX142" s="34"/>
      <c r="BVY142" s="34"/>
      <c r="BVZ142" s="34"/>
      <c r="BWA142" s="34"/>
      <c r="BWB142" s="34"/>
      <c r="BWC142" s="34"/>
      <c r="BWD142" s="34"/>
      <c r="BWE142" s="34"/>
      <c r="BWF142" s="34"/>
      <c r="BWG142" s="34"/>
      <c r="BWH142" s="34"/>
      <c r="BWI142" s="34"/>
      <c r="BWJ142" s="34"/>
      <c r="BWK142" s="34"/>
      <c r="BWL142" s="34"/>
      <c r="BWM142" s="34"/>
      <c r="BWN142" s="34"/>
      <c r="BWO142" s="34"/>
      <c r="BWP142" s="34"/>
      <c r="BWQ142" s="34"/>
      <c r="BWR142" s="34"/>
      <c r="BWS142" s="34"/>
      <c r="BWT142" s="34"/>
      <c r="BWU142" s="34"/>
      <c r="BWV142" s="34"/>
      <c r="BWW142" s="34"/>
      <c r="BWX142" s="34"/>
      <c r="BWY142" s="34"/>
      <c r="BWZ142" s="34"/>
      <c r="BXA142" s="34"/>
      <c r="BXB142" s="34"/>
      <c r="BXC142" s="34"/>
      <c r="BXD142" s="34"/>
      <c r="BXE142" s="34"/>
      <c r="BXF142" s="34"/>
      <c r="BXG142" s="34"/>
      <c r="BXH142" s="34"/>
      <c r="BXI142" s="34"/>
      <c r="BXJ142" s="34"/>
      <c r="BXK142" s="34"/>
      <c r="BXL142" s="34"/>
      <c r="BXM142" s="34"/>
      <c r="BXN142" s="34"/>
      <c r="BXO142" s="34"/>
      <c r="BXP142" s="34"/>
      <c r="BXQ142" s="34"/>
      <c r="BXR142" s="34"/>
      <c r="BXS142" s="34"/>
      <c r="BXT142" s="34"/>
      <c r="BXU142" s="34"/>
      <c r="BXV142" s="34"/>
      <c r="BXW142" s="34"/>
      <c r="BXX142" s="34"/>
      <c r="BXY142" s="34"/>
      <c r="BXZ142" s="34"/>
      <c r="BYA142" s="34"/>
      <c r="BYB142" s="34"/>
      <c r="BYC142" s="34"/>
      <c r="BYD142" s="34"/>
      <c r="BYE142" s="34"/>
      <c r="BYF142" s="34"/>
      <c r="BYG142" s="34"/>
      <c r="BYH142" s="34"/>
      <c r="BYI142" s="34"/>
      <c r="BYJ142" s="34"/>
      <c r="BYK142" s="34"/>
      <c r="BYL142" s="34"/>
      <c r="BYM142" s="34"/>
      <c r="BYN142" s="34"/>
      <c r="BYO142" s="34"/>
      <c r="BYP142" s="34"/>
      <c r="BYQ142" s="34"/>
      <c r="BYR142" s="34"/>
      <c r="BYS142" s="34"/>
      <c r="BYT142" s="34"/>
      <c r="BYU142" s="34"/>
      <c r="BYV142" s="34"/>
      <c r="BYW142" s="34"/>
      <c r="BYX142" s="34"/>
      <c r="BYY142" s="34"/>
      <c r="BYZ142" s="34"/>
      <c r="BZA142" s="34"/>
      <c r="BZB142" s="34"/>
      <c r="BZC142" s="34"/>
      <c r="BZD142" s="34"/>
      <c r="BZE142" s="34"/>
      <c r="BZF142" s="34"/>
      <c r="BZG142" s="34"/>
      <c r="BZH142" s="34"/>
      <c r="BZI142" s="34"/>
      <c r="BZJ142" s="34"/>
      <c r="BZK142" s="34"/>
      <c r="BZL142" s="34"/>
      <c r="BZM142" s="34"/>
      <c r="BZN142" s="34"/>
      <c r="BZO142" s="34"/>
      <c r="BZP142" s="34"/>
      <c r="BZQ142" s="34"/>
      <c r="BZR142" s="34"/>
      <c r="BZS142" s="34"/>
      <c r="BZT142" s="34"/>
      <c r="BZU142" s="34"/>
      <c r="BZV142" s="34"/>
      <c r="BZW142" s="34"/>
      <c r="BZX142" s="34"/>
      <c r="BZY142" s="34"/>
      <c r="BZZ142" s="34"/>
      <c r="CAA142" s="34"/>
      <c r="CAB142" s="34"/>
      <c r="CAC142" s="34"/>
      <c r="CAD142" s="34"/>
      <c r="CAE142" s="34"/>
      <c r="CAF142" s="34"/>
      <c r="CAG142" s="34"/>
      <c r="CAH142" s="34"/>
      <c r="CAI142" s="34"/>
      <c r="CAJ142" s="34"/>
      <c r="CAK142" s="34"/>
      <c r="CAL142" s="34"/>
      <c r="CAM142" s="34"/>
      <c r="CAN142" s="34"/>
      <c r="CAO142" s="34"/>
      <c r="CAP142" s="34"/>
      <c r="CAQ142" s="34"/>
      <c r="CAR142" s="34"/>
      <c r="CAS142" s="34"/>
      <c r="CAT142" s="34"/>
      <c r="CAU142" s="34"/>
      <c r="CAV142" s="34"/>
      <c r="CAW142" s="34"/>
      <c r="CAX142" s="34"/>
      <c r="CAY142" s="34"/>
      <c r="CAZ142" s="34"/>
      <c r="CBA142" s="34"/>
      <c r="CBB142" s="34"/>
      <c r="CBC142" s="34"/>
      <c r="CBD142" s="34"/>
      <c r="CBE142" s="34"/>
      <c r="CBF142" s="34"/>
      <c r="CBG142" s="34"/>
      <c r="CBH142" s="34"/>
      <c r="CBI142" s="34"/>
      <c r="CBJ142" s="34"/>
      <c r="CBK142" s="34"/>
      <c r="CBL142" s="34"/>
      <c r="CBM142" s="34"/>
      <c r="CBN142" s="34"/>
      <c r="CBO142" s="34"/>
      <c r="CBP142" s="34"/>
      <c r="CBQ142" s="34"/>
      <c r="CBR142" s="34"/>
      <c r="CBS142" s="34"/>
      <c r="CBT142" s="34"/>
      <c r="CBU142" s="34"/>
      <c r="CBV142" s="34"/>
      <c r="CBW142" s="34"/>
      <c r="CBX142" s="34"/>
      <c r="CBY142" s="34"/>
      <c r="CBZ142" s="34"/>
      <c r="CCA142" s="34"/>
      <c r="CCB142" s="34"/>
      <c r="CCC142" s="34"/>
      <c r="CCD142" s="34"/>
      <c r="CCE142" s="34"/>
      <c r="CCF142" s="34"/>
      <c r="CCG142" s="34"/>
      <c r="CCH142" s="34"/>
      <c r="CCI142" s="34"/>
      <c r="CCJ142" s="34"/>
      <c r="CCK142" s="34"/>
      <c r="CCL142" s="34"/>
      <c r="CCM142" s="34"/>
      <c r="CCN142" s="34"/>
      <c r="CCO142" s="34"/>
      <c r="CCP142" s="34"/>
      <c r="CCQ142" s="34"/>
      <c r="CCR142" s="34"/>
      <c r="CCS142" s="34"/>
      <c r="CCT142" s="34"/>
      <c r="CCU142" s="34"/>
      <c r="CCV142" s="34"/>
      <c r="CCW142" s="34"/>
      <c r="CCX142" s="34"/>
      <c r="CCY142" s="34"/>
      <c r="CCZ142" s="34"/>
      <c r="CDA142" s="34"/>
      <c r="CDB142" s="34"/>
      <c r="CDC142" s="34"/>
      <c r="CDD142" s="34"/>
      <c r="CDE142" s="34"/>
      <c r="CDF142" s="34"/>
      <c r="CDG142" s="34"/>
      <c r="CDH142" s="34"/>
      <c r="CDI142" s="34"/>
      <c r="CDJ142" s="34"/>
      <c r="CDK142" s="34"/>
      <c r="CDL142" s="34"/>
      <c r="CDM142" s="34"/>
      <c r="CDN142" s="34"/>
      <c r="CDO142" s="34"/>
      <c r="CDP142" s="34"/>
      <c r="CDQ142" s="34"/>
      <c r="CDR142" s="34"/>
      <c r="CDS142" s="34"/>
      <c r="CDT142" s="34"/>
      <c r="CDU142" s="34"/>
      <c r="CDV142" s="34"/>
      <c r="CDW142" s="34"/>
      <c r="CDX142" s="34"/>
      <c r="CDY142" s="34"/>
      <c r="CDZ142" s="34"/>
      <c r="CEA142" s="34"/>
      <c r="CEB142" s="34"/>
      <c r="CEC142" s="34"/>
      <c r="CED142" s="34"/>
      <c r="CEE142" s="34"/>
      <c r="CEF142" s="34"/>
      <c r="CEG142" s="34"/>
      <c r="CEH142" s="34"/>
      <c r="CEI142" s="34"/>
      <c r="CEJ142" s="34"/>
      <c r="CEK142" s="34"/>
      <c r="CEL142" s="34"/>
      <c r="CEM142" s="34"/>
      <c r="CEN142" s="34"/>
      <c r="CEO142" s="34"/>
      <c r="CEP142" s="34"/>
      <c r="CEQ142" s="34"/>
      <c r="CER142" s="34"/>
      <c r="CES142" s="34"/>
      <c r="CET142" s="34"/>
      <c r="CEU142" s="34"/>
      <c r="CEV142" s="34"/>
      <c r="CEW142" s="34"/>
      <c r="CEX142" s="34"/>
      <c r="CEY142" s="34"/>
      <c r="CEZ142" s="34"/>
      <c r="CFA142" s="34"/>
      <c r="CFB142" s="34"/>
      <c r="CFC142" s="34"/>
      <c r="CFD142" s="34"/>
      <c r="CFE142" s="34"/>
      <c r="CFF142" s="34"/>
      <c r="CFG142" s="34"/>
      <c r="CFH142" s="34"/>
      <c r="CFI142" s="34"/>
      <c r="CFJ142" s="34"/>
      <c r="CFK142" s="34"/>
      <c r="CFL142" s="34"/>
      <c r="CFM142" s="34"/>
      <c r="CFN142" s="34"/>
      <c r="CFO142" s="34"/>
      <c r="CFP142" s="34"/>
      <c r="CFQ142" s="34"/>
      <c r="CFR142" s="34"/>
      <c r="CFS142" s="34"/>
      <c r="CFT142" s="34"/>
      <c r="CFU142" s="34"/>
      <c r="CFV142" s="34"/>
      <c r="CFW142" s="34"/>
      <c r="CFX142" s="34"/>
      <c r="CFY142" s="34"/>
      <c r="CFZ142" s="34"/>
      <c r="CGA142" s="34"/>
      <c r="CGB142" s="34"/>
      <c r="CGC142" s="34"/>
      <c r="CGD142" s="34"/>
      <c r="CGE142" s="34"/>
      <c r="CGF142" s="34"/>
      <c r="CGG142" s="34"/>
      <c r="CGH142" s="34"/>
      <c r="CGI142" s="34"/>
      <c r="CGJ142" s="34"/>
      <c r="CGK142" s="34"/>
      <c r="CGL142" s="34"/>
      <c r="CGM142" s="34"/>
      <c r="CGN142" s="34"/>
      <c r="CGO142" s="34"/>
      <c r="CGP142" s="34"/>
      <c r="CGQ142" s="34"/>
      <c r="CGR142" s="34"/>
      <c r="CGS142" s="34"/>
      <c r="CGT142" s="34"/>
      <c r="CGU142" s="34"/>
      <c r="CGV142" s="34"/>
      <c r="CGW142" s="34"/>
      <c r="CGX142" s="34"/>
      <c r="CGY142" s="34"/>
      <c r="CGZ142" s="34"/>
      <c r="CHA142" s="34"/>
      <c r="CHB142" s="34"/>
      <c r="CHC142" s="34"/>
      <c r="CHD142" s="34"/>
      <c r="CHE142" s="34"/>
      <c r="CHF142" s="34"/>
      <c r="CHG142" s="34"/>
      <c r="CHH142" s="34"/>
      <c r="CHI142" s="34"/>
      <c r="CHJ142" s="34"/>
      <c r="CHK142" s="34"/>
      <c r="CHL142" s="34"/>
      <c r="CHM142" s="34"/>
      <c r="CHN142" s="34"/>
      <c r="CHO142" s="34"/>
      <c r="CHP142" s="34"/>
      <c r="CHQ142" s="34"/>
      <c r="CHR142" s="34"/>
      <c r="CHS142" s="34"/>
      <c r="CHT142" s="34"/>
      <c r="CHU142" s="34"/>
      <c r="CHV142" s="34"/>
      <c r="CHW142" s="34"/>
      <c r="CHX142" s="34"/>
      <c r="CHY142" s="34"/>
      <c r="CHZ142" s="34"/>
      <c r="CIA142" s="34"/>
      <c r="CIB142" s="34"/>
      <c r="CIC142" s="34"/>
      <c r="CID142" s="34"/>
      <c r="CIE142" s="34"/>
      <c r="CIF142" s="34"/>
      <c r="CIG142" s="34"/>
      <c r="CIH142" s="34"/>
      <c r="CII142" s="34"/>
      <c r="CIJ142" s="34"/>
      <c r="CIK142" s="34"/>
      <c r="CIL142" s="34"/>
      <c r="CIM142" s="34"/>
      <c r="CIN142" s="34"/>
      <c r="CIO142" s="34"/>
      <c r="CIP142" s="34"/>
      <c r="CIQ142" s="34"/>
      <c r="CIR142" s="34"/>
      <c r="CIS142" s="34"/>
      <c r="CIT142" s="34"/>
      <c r="CIU142" s="34"/>
      <c r="CIV142" s="34"/>
      <c r="CIW142" s="34"/>
      <c r="CIX142" s="34"/>
      <c r="CIY142" s="34"/>
      <c r="CIZ142" s="34"/>
      <c r="CJA142" s="34"/>
      <c r="CJB142" s="34"/>
      <c r="CJC142" s="34"/>
      <c r="CJD142" s="34"/>
      <c r="CJE142" s="34"/>
      <c r="CJF142" s="34"/>
      <c r="CJG142" s="34"/>
      <c r="CJH142" s="34"/>
      <c r="CJI142" s="34"/>
      <c r="CJJ142" s="34"/>
      <c r="CJK142" s="34"/>
      <c r="CJL142" s="34"/>
      <c r="CJM142" s="34"/>
      <c r="CJN142" s="34"/>
      <c r="CJO142" s="34"/>
      <c r="CJP142" s="34"/>
      <c r="CJQ142" s="34"/>
      <c r="CJR142" s="34"/>
      <c r="CJS142" s="34"/>
      <c r="CJT142" s="34"/>
      <c r="CJU142" s="34"/>
      <c r="CJV142" s="34"/>
      <c r="CJW142" s="34"/>
      <c r="CJX142" s="34"/>
      <c r="CJY142" s="34"/>
      <c r="CJZ142" s="34"/>
      <c r="CKA142" s="34"/>
      <c r="CKB142" s="34"/>
      <c r="CKC142" s="34"/>
      <c r="CKD142" s="34"/>
      <c r="CKE142" s="34"/>
      <c r="CKF142" s="34"/>
      <c r="CKG142" s="34"/>
      <c r="CKH142" s="34"/>
      <c r="CKI142" s="34"/>
      <c r="CKJ142" s="34"/>
      <c r="CKK142" s="34"/>
      <c r="CKL142" s="34"/>
      <c r="CKM142" s="34"/>
      <c r="CKN142" s="34"/>
      <c r="CKO142" s="34"/>
      <c r="CKP142" s="34"/>
      <c r="CKQ142" s="34"/>
      <c r="CKR142" s="34"/>
      <c r="CKS142" s="34"/>
      <c r="CKT142" s="34"/>
      <c r="CKU142" s="34"/>
      <c r="CKV142" s="34"/>
      <c r="CKW142" s="34"/>
      <c r="CKX142" s="34"/>
      <c r="CKY142" s="34"/>
      <c r="CKZ142" s="34"/>
      <c r="CLA142" s="34"/>
      <c r="CLB142" s="34"/>
      <c r="CLC142" s="34"/>
      <c r="CLD142" s="34"/>
      <c r="CLE142" s="34"/>
      <c r="CLF142" s="34"/>
      <c r="CLG142" s="34"/>
      <c r="CLH142" s="34"/>
      <c r="CLI142" s="34"/>
      <c r="CLJ142" s="34"/>
      <c r="CLK142" s="34"/>
      <c r="CLL142" s="34"/>
      <c r="CLM142" s="34"/>
      <c r="CLN142" s="34"/>
      <c r="CLO142" s="34"/>
      <c r="CLP142" s="34"/>
      <c r="CLQ142" s="34"/>
      <c r="CLR142" s="34"/>
      <c r="CLS142" s="34"/>
      <c r="CLT142" s="34"/>
      <c r="CLU142" s="34"/>
      <c r="CLV142" s="34"/>
      <c r="CLW142" s="34"/>
      <c r="CLX142" s="34"/>
      <c r="CLY142" s="34"/>
      <c r="CLZ142" s="34"/>
      <c r="CMA142" s="34"/>
      <c r="CMB142" s="34"/>
      <c r="CMC142" s="34"/>
      <c r="CMD142" s="34"/>
      <c r="CME142" s="34"/>
      <c r="CMF142" s="34"/>
      <c r="CMG142" s="34"/>
      <c r="CMH142" s="34"/>
      <c r="CMI142" s="34"/>
      <c r="CMJ142" s="34"/>
      <c r="CMK142" s="34"/>
      <c r="CML142" s="34"/>
      <c r="CMM142" s="34"/>
      <c r="CMN142" s="34"/>
      <c r="CMO142" s="34"/>
      <c r="CMP142" s="34"/>
      <c r="CMQ142" s="34"/>
      <c r="CMR142" s="34"/>
      <c r="CMS142" s="34"/>
      <c r="CMT142" s="34"/>
      <c r="CMU142" s="34"/>
      <c r="CMV142" s="34"/>
      <c r="CMW142" s="34"/>
      <c r="CMX142" s="34"/>
      <c r="CMY142" s="34"/>
      <c r="CMZ142" s="34"/>
      <c r="CNA142" s="34"/>
      <c r="CNB142" s="34"/>
      <c r="CNC142" s="34"/>
      <c r="CND142" s="34"/>
      <c r="CNE142" s="34"/>
      <c r="CNF142" s="34"/>
      <c r="CNG142" s="34"/>
      <c r="CNH142" s="34"/>
      <c r="CNI142" s="34"/>
      <c r="CNJ142" s="34"/>
      <c r="CNK142" s="34"/>
      <c r="CNL142" s="34"/>
      <c r="CNM142" s="34"/>
      <c r="CNN142" s="34"/>
      <c r="CNO142" s="34"/>
      <c r="CNP142" s="34"/>
      <c r="CNQ142" s="34"/>
      <c r="CNR142" s="34"/>
      <c r="CNS142" s="34"/>
      <c r="CNT142" s="34"/>
      <c r="CNU142" s="34"/>
      <c r="CNV142" s="34"/>
      <c r="CNW142" s="34"/>
      <c r="CNX142" s="34"/>
      <c r="CNY142" s="34"/>
      <c r="CNZ142" s="34"/>
      <c r="COA142" s="34"/>
      <c r="COB142" s="34"/>
      <c r="COC142" s="34"/>
      <c r="COD142" s="34"/>
      <c r="COE142" s="34"/>
      <c r="COF142" s="34"/>
      <c r="COG142" s="34"/>
      <c r="COH142" s="34"/>
      <c r="COI142" s="34"/>
      <c r="COJ142" s="34"/>
      <c r="COK142" s="34"/>
      <c r="COL142" s="34"/>
      <c r="COM142" s="34"/>
      <c r="CON142" s="34"/>
      <c r="COO142" s="34"/>
      <c r="COP142" s="34"/>
      <c r="COQ142" s="34"/>
      <c r="COR142" s="34"/>
      <c r="COS142" s="34"/>
      <c r="COT142" s="34"/>
      <c r="COU142" s="34"/>
      <c r="COV142" s="34"/>
      <c r="COW142" s="34"/>
      <c r="COX142" s="34"/>
      <c r="COY142" s="34"/>
      <c r="COZ142" s="34"/>
      <c r="CPA142" s="34"/>
      <c r="CPB142" s="34"/>
      <c r="CPC142" s="34"/>
      <c r="CPD142" s="34"/>
      <c r="CPE142" s="34"/>
      <c r="CPF142" s="34"/>
      <c r="CPG142" s="34"/>
      <c r="CPH142" s="34"/>
      <c r="CPI142" s="34"/>
      <c r="CPJ142" s="34"/>
      <c r="CPK142" s="34"/>
      <c r="CPL142" s="34"/>
      <c r="CPM142" s="34"/>
      <c r="CPN142" s="34"/>
      <c r="CPO142" s="34"/>
      <c r="CPP142" s="34"/>
      <c r="CPQ142" s="34"/>
      <c r="CPR142" s="34"/>
      <c r="CPS142" s="34"/>
      <c r="CPT142" s="34"/>
      <c r="CPU142" s="34"/>
      <c r="CPV142" s="34"/>
      <c r="CPW142" s="34"/>
      <c r="CPX142" s="34"/>
      <c r="CPY142" s="34"/>
      <c r="CPZ142" s="34"/>
      <c r="CQA142" s="34"/>
      <c r="CQB142" s="34"/>
      <c r="CQC142" s="34"/>
      <c r="CQD142" s="34"/>
      <c r="CQE142" s="34"/>
      <c r="CQF142" s="34"/>
      <c r="CQG142" s="34"/>
      <c r="CQH142" s="34"/>
      <c r="CQI142" s="34"/>
      <c r="CQJ142" s="34"/>
      <c r="CQK142" s="34"/>
      <c r="CQL142" s="34"/>
      <c r="CQM142" s="34"/>
      <c r="CQN142" s="34"/>
      <c r="CQO142" s="34"/>
      <c r="CQP142" s="34"/>
      <c r="CQQ142" s="34"/>
      <c r="CQR142" s="34"/>
      <c r="CQS142" s="34"/>
      <c r="CQT142" s="34"/>
      <c r="CQU142" s="34"/>
      <c r="CQV142" s="34"/>
      <c r="CQW142" s="34"/>
      <c r="CQX142" s="34"/>
      <c r="CQY142" s="34"/>
      <c r="CQZ142" s="34"/>
      <c r="CRA142" s="34"/>
      <c r="CRB142" s="34"/>
      <c r="CRC142" s="34"/>
      <c r="CRD142" s="34"/>
      <c r="CRE142" s="34"/>
      <c r="CRF142" s="34"/>
      <c r="CRG142" s="34"/>
      <c r="CRH142" s="34"/>
      <c r="CRI142" s="34"/>
      <c r="CRJ142" s="34"/>
      <c r="CRK142" s="34"/>
      <c r="CRL142" s="34"/>
      <c r="CRM142" s="34"/>
      <c r="CRN142" s="34"/>
      <c r="CRO142" s="34"/>
      <c r="CRP142" s="34"/>
      <c r="CRQ142" s="34"/>
      <c r="CRR142" s="34"/>
      <c r="CRS142" s="34"/>
      <c r="CRT142" s="34"/>
      <c r="CRU142" s="34"/>
      <c r="CRV142" s="34"/>
      <c r="CRW142" s="34"/>
      <c r="CRX142" s="34"/>
      <c r="CRY142" s="34"/>
      <c r="CRZ142" s="34"/>
      <c r="CSA142" s="34"/>
      <c r="CSB142" s="34"/>
      <c r="CSC142" s="34"/>
      <c r="CSD142" s="34"/>
      <c r="CSE142" s="34"/>
      <c r="CSF142" s="34"/>
      <c r="CSG142" s="34"/>
      <c r="CSH142" s="34"/>
      <c r="CSI142" s="34"/>
      <c r="CSJ142" s="34"/>
      <c r="CSK142" s="34"/>
      <c r="CSL142" s="34"/>
      <c r="CSM142" s="34"/>
      <c r="CSN142" s="34"/>
      <c r="CSO142" s="34"/>
      <c r="CSP142" s="34"/>
      <c r="CSQ142" s="34"/>
      <c r="CSR142" s="34"/>
      <c r="CSS142" s="34"/>
      <c r="CST142" s="34"/>
      <c r="CSU142" s="34"/>
      <c r="CSV142" s="34"/>
      <c r="CSW142" s="34"/>
      <c r="CSX142" s="34"/>
      <c r="CSY142" s="34"/>
      <c r="CSZ142" s="34"/>
      <c r="CTA142" s="34"/>
      <c r="CTB142" s="34"/>
      <c r="CTC142" s="34"/>
      <c r="CTD142" s="34"/>
      <c r="CTE142" s="34"/>
      <c r="CTF142" s="34"/>
      <c r="CTG142" s="34"/>
      <c r="CTH142" s="34"/>
      <c r="CTI142" s="34"/>
      <c r="CTJ142" s="34"/>
      <c r="CTK142" s="34"/>
      <c r="CTL142" s="34"/>
      <c r="CTM142" s="34"/>
      <c r="CTN142" s="34"/>
      <c r="CTO142" s="34"/>
      <c r="CTP142" s="34"/>
      <c r="CTQ142" s="34"/>
      <c r="CTR142" s="34"/>
      <c r="CTS142" s="34"/>
      <c r="CTT142" s="34"/>
      <c r="CTU142" s="34"/>
      <c r="CTV142" s="34"/>
      <c r="CTW142" s="34"/>
      <c r="CTX142" s="34"/>
      <c r="CTY142" s="34"/>
      <c r="CTZ142" s="34"/>
      <c r="CUA142" s="34"/>
      <c r="CUB142" s="34"/>
      <c r="CUC142" s="34"/>
      <c r="CUD142" s="34"/>
      <c r="CUE142" s="34"/>
      <c r="CUF142" s="34"/>
      <c r="CUG142" s="34"/>
      <c r="CUH142" s="34"/>
      <c r="CUI142" s="34"/>
      <c r="CUJ142" s="34"/>
      <c r="CUK142" s="34"/>
      <c r="CUL142" s="34"/>
      <c r="CUM142" s="34"/>
      <c r="CUN142" s="34"/>
      <c r="CUO142" s="34"/>
      <c r="CUP142" s="34"/>
      <c r="CUQ142" s="34"/>
      <c r="CUR142" s="34"/>
      <c r="CUS142" s="34"/>
      <c r="CUT142" s="34"/>
      <c r="CUU142" s="34"/>
      <c r="CUV142" s="34"/>
      <c r="CUW142" s="34"/>
      <c r="CUX142" s="34"/>
      <c r="CUY142" s="34"/>
      <c r="CUZ142" s="34"/>
      <c r="CVA142" s="34"/>
      <c r="CVB142" s="34"/>
      <c r="CVC142" s="34"/>
      <c r="CVD142" s="34"/>
      <c r="CVE142" s="34"/>
      <c r="CVF142" s="34"/>
      <c r="CVG142" s="34"/>
      <c r="CVH142" s="34"/>
      <c r="CVI142" s="34"/>
      <c r="CVJ142" s="34"/>
      <c r="CVK142" s="34"/>
      <c r="CVL142" s="34"/>
      <c r="CVM142" s="34"/>
      <c r="CVN142" s="34"/>
      <c r="CVO142" s="34"/>
      <c r="CVP142" s="34"/>
      <c r="CVQ142" s="34"/>
      <c r="CVR142" s="34"/>
      <c r="CVS142" s="34"/>
      <c r="CVT142" s="34"/>
      <c r="CVU142" s="34"/>
      <c r="CVV142" s="34"/>
      <c r="CVW142" s="34"/>
      <c r="CVX142" s="34"/>
      <c r="CVY142" s="34"/>
      <c r="CVZ142" s="34"/>
      <c r="CWA142" s="34"/>
      <c r="CWB142" s="34"/>
      <c r="CWC142" s="34"/>
      <c r="CWD142" s="34"/>
      <c r="CWE142" s="34"/>
      <c r="CWF142" s="34"/>
      <c r="CWG142" s="34"/>
      <c r="CWH142" s="34"/>
      <c r="CWI142" s="34"/>
      <c r="CWJ142" s="34"/>
      <c r="CWK142" s="34"/>
      <c r="CWL142" s="34"/>
      <c r="CWM142" s="34"/>
      <c r="CWN142" s="34"/>
      <c r="CWO142" s="34"/>
      <c r="CWP142" s="34"/>
      <c r="CWQ142" s="34"/>
      <c r="CWR142" s="34"/>
      <c r="CWS142" s="34"/>
      <c r="CWT142" s="34"/>
      <c r="CWU142" s="34"/>
      <c r="CWV142" s="34"/>
      <c r="CWW142" s="34"/>
      <c r="CWX142" s="34"/>
      <c r="CWY142" s="34"/>
      <c r="CWZ142" s="34"/>
      <c r="CXA142" s="34"/>
      <c r="CXB142" s="34"/>
      <c r="CXC142" s="34"/>
      <c r="CXD142" s="34"/>
      <c r="CXE142" s="34"/>
      <c r="CXF142" s="34"/>
      <c r="CXG142" s="34"/>
      <c r="CXH142" s="34"/>
      <c r="CXI142" s="34"/>
      <c r="CXJ142" s="34"/>
      <c r="CXK142" s="34"/>
      <c r="CXL142" s="34"/>
      <c r="CXM142" s="34"/>
      <c r="CXN142" s="34"/>
      <c r="CXO142" s="34"/>
      <c r="CXP142" s="34"/>
      <c r="CXQ142" s="34"/>
      <c r="CXR142" s="34"/>
      <c r="CXS142" s="34"/>
      <c r="CXT142" s="34"/>
      <c r="CXU142" s="34"/>
      <c r="CXV142" s="34"/>
      <c r="CXW142" s="34"/>
      <c r="CXX142" s="34"/>
      <c r="CXY142" s="34"/>
      <c r="CXZ142" s="34"/>
      <c r="CYA142" s="34"/>
      <c r="CYB142" s="34"/>
      <c r="CYC142" s="34"/>
      <c r="CYD142" s="34"/>
      <c r="CYE142" s="34"/>
      <c r="CYF142" s="34"/>
      <c r="CYG142" s="34"/>
      <c r="CYH142" s="34"/>
      <c r="CYI142" s="34"/>
      <c r="CYJ142" s="34"/>
      <c r="CYK142" s="34"/>
      <c r="CYL142" s="34"/>
      <c r="CYM142" s="34"/>
      <c r="CYN142" s="34"/>
      <c r="CYO142" s="34"/>
      <c r="CYP142" s="34"/>
      <c r="CYQ142" s="34"/>
      <c r="CYR142" s="34"/>
      <c r="CYS142" s="34"/>
      <c r="CYT142" s="34"/>
      <c r="CYU142" s="34"/>
      <c r="CYV142" s="34"/>
      <c r="CYW142" s="34"/>
      <c r="CYX142" s="34"/>
      <c r="CYY142" s="34"/>
      <c r="CYZ142" s="34"/>
      <c r="CZA142" s="34"/>
      <c r="CZB142" s="34"/>
      <c r="CZC142" s="34"/>
      <c r="CZD142" s="34"/>
      <c r="CZE142" s="34"/>
      <c r="CZF142" s="34"/>
      <c r="CZG142" s="34"/>
      <c r="CZH142" s="34"/>
      <c r="CZI142" s="34"/>
      <c r="CZJ142" s="34"/>
      <c r="CZK142" s="34"/>
      <c r="CZL142" s="34"/>
      <c r="CZM142" s="34"/>
      <c r="CZN142" s="34"/>
      <c r="CZO142" s="34"/>
      <c r="CZP142" s="34"/>
      <c r="CZQ142" s="34"/>
      <c r="CZR142" s="34"/>
      <c r="CZS142" s="34"/>
      <c r="CZT142" s="34"/>
      <c r="CZU142" s="34"/>
      <c r="CZV142" s="34"/>
      <c r="CZW142" s="34"/>
      <c r="CZX142" s="34"/>
      <c r="CZY142" s="34"/>
      <c r="CZZ142" s="34"/>
      <c r="DAA142" s="34"/>
      <c r="DAB142" s="34"/>
      <c r="DAC142" s="34"/>
      <c r="DAD142" s="34"/>
      <c r="DAE142" s="34"/>
      <c r="DAF142" s="34"/>
      <c r="DAG142" s="34"/>
      <c r="DAH142" s="34"/>
      <c r="DAI142" s="34"/>
      <c r="DAJ142" s="34"/>
      <c r="DAK142" s="34"/>
      <c r="DAL142" s="34"/>
      <c r="DAM142" s="34"/>
      <c r="DAN142" s="34"/>
      <c r="DAO142" s="34"/>
      <c r="DAP142" s="34"/>
      <c r="DAQ142" s="34"/>
      <c r="DAR142" s="34"/>
      <c r="DAS142" s="34"/>
      <c r="DAT142" s="34"/>
      <c r="DAU142" s="34"/>
      <c r="DAV142" s="34"/>
      <c r="DAW142" s="34"/>
      <c r="DAX142" s="34"/>
      <c r="DAY142" s="34"/>
      <c r="DAZ142" s="34"/>
      <c r="DBA142" s="34"/>
      <c r="DBB142" s="34"/>
      <c r="DBC142" s="34"/>
      <c r="DBD142" s="34"/>
      <c r="DBE142" s="34"/>
      <c r="DBF142" s="34"/>
      <c r="DBG142" s="34"/>
      <c r="DBH142" s="34"/>
      <c r="DBI142" s="34"/>
      <c r="DBJ142" s="34"/>
      <c r="DBK142" s="34"/>
      <c r="DBL142" s="34"/>
      <c r="DBM142" s="34"/>
      <c r="DBN142" s="34"/>
      <c r="DBO142" s="34"/>
      <c r="DBP142" s="34"/>
      <c r="DBQ142" s="34"/>
      <c r="DBR142" s="34"/>
      <c r="DBS142" s="34"/>
      <c r="DBT142" s="34"/>
      <c r="DBU142" s="34"/>
      <c r="DBV142" s="34"/>
      <c r="DBW142" s="34"/>
      <c r="DBX142" s="34"/>
      <c r="DBY142" s="34"/>
      <c r="DBZ142" s="34"/>
      <c r="DCA142" s="34"/>
      <c r="DCB142" s="34"/>
      <c r="DCC142" s="34"/>
      <c r="DCD142" s="34"/>
      <c r="DCE142" s="34"/>
      <c r="DCF142" s="34"/>
      <c r="DCG142" s="34"/>
      <c r="DCH142" s="34"/>
      <c r="DCI142" s="34"/>
      <c r="DCJ142" s="34"/>
      <c r="DCK142" s="34"/>
      <c r="DCL142" s="34"/>
      <c r="DCM142" s="34"/>
      <c r="DCN142" s="34"/>
      <c r="DCO142" s="34"/>
      <c r="DCP142" s="34"/>
      <c r="DCQ142" s="34"/>
      <c r="DCR142" s="34"/>
      <c r="DCS142" s="34"/>
      <c r="DCT142" s="34"/>
      <c r="DCU142" s="34"/>
      <c r="DCV142" s="34"/>
      <c r="DCW142" s="34"/>
      <c r="DCX142" s="34"/>
      <c r="DCY142" s="34"/>
      <c r="DCZ142" s="34"/>
      <c r="DDA142" s="34"/>
      <c r="DDB142" s="34"/>
      <c r="DDC142" s="34"/>
      <c r="DDD142" s="34"/>
      <c r="DDE142" s="34"/>
      <c r="DDF142" s="34"/>
      <c r="DDG142" s="34"/>
      <c r="DDH142" s="34"/>
      <c r="DDI142" s="34"/>
      <c r="DDJ142" s="34"/>
      <c r="DDK142" s="34"/>
      <c r="DDL142" s="34"/>
      <c r="DDM142" s="34"/>
      <c r="DDN142" s="34"/>
      <c r="DDO142" s="34"/>
      <c r="DDP142" s="34"/>
      <c r="DDQ142" s="34"/>
      <c r="DDR142" s="34"/>
      <c r="DDS142" s="34"/>
      <c r="DDT142" s="34"/>
      <c r="DDU142" s="34"/>
      <c r="DDV142" s="34"/>
      <c r="DDW142" s="34"/>
      <c r="DDX142" s="34"/>
      <c r="DDY142" s="34"/>
      <c r="DDZ142" s="34"/>
      <c r="DEA142" s="34"/>
      <c r="DEB142" s="34"/>
      <c r="DEC142" s="34"/>
      <c r="DED142" s="34"/>
      <c r="DEE142" s="34"/>
      <c r="DEF142" s="34"/>
      <c r="DEG142" s="34"/>
      <c r="DEH142" s="34"/>
      <c r="DEI142" s="34"/>
      <c r="DEJ142" s="34"/>
      <c r="DEK142" s="34"/>
      <c r="DEL142" s="34"/>
      <c r="DEM142" s="34"/>
      <c r="DEN142" s="34"/>
      <c r="DEO142" s="34"/>
      <c r="DEP142" s="34"/>
      <c r="DEQ142" s="34"/>
      <c r="DER142" s="34"/>
      <c r="DES142" s="34"/>
      <c r="DET142" s="34"/>
      <c r="DEU142" s="34"/>
      <c r="DEV142" s="34"/>
      <c r="DEW142" s="34"/>
      <c r="DEX142" s="34"/>
      <c r="DEY142" s="34"/>
      <c r="DEZ142" s="34"/>
      <c r="DFA142" s="34"/>
      <c r="DFB142" s="34"/>
      <c r="DFC142" s="34"/>
      <c r="DFD142" s="34"/>
      <c r="DFE142" s="34"/>
      <c r="DFF142" s="34"/>
      <c r="DFG142" s="34"/>
      <c r="DFH142" s="34"/>
      <c r="DFI142" s="34"/>
      <c r="DFJ142" s="34"/>
      <c r="DFK142" s="34"/>
      <c r="DFL142" s="34"/>
      <c r="DFM142" s="34"/>
      <c r="DFN142" s="34"/>
      <c r="DFO142" s="34"/>
      <c r="DFP142" s="34"/>
      <c r="DFQ142" s="34"/>
      <c r="DFR142" s="34"/>
      <c r="DFS142" s="34"/>
      <c r="DFT142" s="34"/>
      <c r="DFU142" s="34"/>
      <c r="DFV142" s="34"/>
      <c r="DFW142" s="34"/>
      <c r="DFX142" s="34"/>
      <c r="DFY142" s="34"/>
      <c r="DFZ142" s="34"/>
      <c r="DGA142" s="34"/>
      <c r="DGB142" s="34"/>
      <c r="DGC142" s="34"/>
      <c r="DGD142" s="34"/>
      <c r="DGE142" s="34"/>
      <c r="DGF142" s="34"/>
      <c r="DGG142" s="34"/>
      <c r="DGH142" s="34"/>
      <c r="DGI142" s="34"/>
      <c r="DGJ142" s="34"/>
      <c r="DGK142" s="34"/>
      <c r="DGL142" s="34"/>
      <c r="DGM142" s="34"/>
      <c r="DGN142" s="34"/>
      <c r="DGO142" s="34"/>
      <c r="DGP142" s="34"/>
      <c r="DGQ142" s="34"/>
      <c r="DGR142" s="34"/>
      <c r="DGS142" s="34"/>
      <c r="DGT142" s="34"/>
      <c r="DGU142" s="34"/>
      <c r="DGV142" s="34"/>
      <c r="DGW142" s="34"/>
      <c r="DGX142" s="34"/>
      <c r="DGY142" s="34"/>
      <c r="DGZ142" s="34"/>
      <c r="DHA142" s="34"/>
      <c r="DHB142" s="34"/>
      <c r="DHC142" s="34"/>
      <c r="DHD142" s="34"/>
      <c r="DHE142" s="34"/>
      <c r="DHF142" s="34"/>
      <c r="DHG142" s="34"/>
      <c r="DHH142" s="34"/>
      <c r="DHI142" s="34"/>
      <c r="DHJ142" s="34"/>
      <c r="DHK142" s="34"/>
      <c r="DHL142" s="34"/>
      <c r="DHM142" s="34"/>
      <c r="DHN142" s="34"/>
      <c r="DHO142" s="34"/>
      <c r="DHP142" s="34"/>
      <c r="DHQ142" s="34"/>
      <c r="DHR142" s="34"/>
      <c r="DHS142" s="34"/>
      <c r="DHT142" s="34"/>
      <c r="DHU142" s="34"/>
      <c r="DHV142" s="34"/>
      <c r="DHW142" s="34"/>
      <c r="DHX142" s="34"/>
      <c r="DHY142" s="34"/>
      <c r="DHZ142" s="34"/>
      <c r="DIA142" s="34"/>
      <c r="DIB142" s="34"/>
      <c r="DIC142" s="34"/>
      <c r="DID142" s="34"/>
      <c r="DIE142" s="34"/>
      <c r="DIF142" s="34"/>
      <c r="DIG142" s="34"/>
      <c r="DIH142" s="34"/>
      <c r="DII142" s="34"/>
      <c r="DIJ142" s="34"/>
      <c r="DIK142" s="34"/>
      <c r="DIL142" s="34"/>
      <c r="DIM142" s="34"/>
      <c r="DIN142" s="34"/>
      <c r="DIO142" s="34"/>
      <c r="DIP142" s="34"/>
      <c r="DIQ142" s="34"/>
      <c r="DIR142" s="34"/>
      <c r="DIS142" s="34"/>
      <c r="DIT142" s="34"/>
      <c r="DIU142" s="34"/>
      <c r="DIV142" s="34"/>
      <c r="DIW142" s="34"/>
      <c r="DIX142" s="34"/>
      <c r="DIY142" s="34"/>
      <c r="DIZ142" s="34"/>
      <c r="DJA142" s="34"/>
      <c r="DJB142" s="34"/>
      <c r="DJC142" s="34"/>
      <c r="DJD142" s="34"/>
      <c r="DJE142" s="34"/>
      <c r="DJF142" s="34"/>
      <c r="DJG142" s="34"/>
      <c r="DJH142" s="34"/>
      <c r="DJI142" s="34"/>
      <c r="DJJ142" s="34"/>
      <c r="DJK142" s="34"/>
      <c r="DJL142" s="34"/>
      <c r="DJM142" s="34"/>
      <c r="DJN142" s="34"/>
      <c r="DJO142" s="34"/>
      <c r="DJP142" s="34"/>
      <c r="DJQ142" s="34"/>
      <c r="DJR142" s="34"/>
      <c r="DJS142" s="34"/>
      <c r="DJT142" s="34"/>
      <c r="DJU142" s="34"/>
      <c r="DJV142" s="34"/>
      <c r="DJW142" s="34"/>
      <c r="DJX142" s="34"/>
      <c r="DJY142" s="34"/>
      <c r="DJZ142" s="34"/>
      <c r="DKA142" s="34"/>
      <c r="DKB142" s="34"/>
      <c r="DKC142" s="34"/>
      <c r="DKD142" s="34"/>
      <c r="DKE142" s="34"/>
      <c r="DKF142" s="34"/>
      <c r="DKG142" s="34"/>
      <c r="DKH142" s="34"/>
      <c r="DKI142" s="34"/>
      <c r="DKJ142" s="34"/>
      <c r="DKK142" s="34"/>
      <c r="DKL142" s="34"/>
      <c r="DKM142" s="34"/>
      <c r="DKN142" s="34"/>
      <c r="DKO142" s="34"/>
      <c r="DKP142" s="34"/>
      <c r="DKQ142" s="34"/>
      <c r="DKR142" s="34"/>
      <c r="DKS142" s="34"/>
      <c r="DKT142" s="34"/>
      <c r="DKU142" s="34"/>
      <c r="DKV142" s="34"/>
      <c r="DKW142" s="34"/>
      <c r="DKX142" s="34"/>
      <c r="DKY142" s="34"/>
      <c r="DKZ142" s="34"/>
      <c r="DLA142" s="34"/>
      <c r="DLB142" s="34"/>
      <c r="DLC142" s="34"/>
      <c r="DLD142" s="34"/>
      <c r="DLE142" s="34"/>
      <c r="DLF142" s="34"/>
      <c r="DLG142" s="34"/>
      <c r="DLH142" s="34"/>
      <c r="DLI142" s="34"/>
      <c r="DLJ142" s="34"/>
      <c r="DLK142" s="34"/>
      <c r="DLL142" s="34"/>
      <c r="DLM142" s="34"/>
      <c r="DLN142" s="34"/>
      <c r="DLO142" s="34"/>
      <c r="DLP142" s="34"/>
      <c r="DLQ142" s="34"/>
      <c r="DLR142" s="34"/>
      <c r="DLS142" s="34"/>
      <c r="DLT142" s="34"/>
      <c r="DLU142" s="34"/>
      <c r="DLV142" s="34"/>
      <c r="DLW142" s="34"/>
      <c r="DLX142" s="34"/>
      <c r="DLY142" s="34"/>
      <c r="DLZ142" s="34"/>
      <c r="DMA142" s="34"/>
      <c r="DMB142" s="34"/>
      <c r="DMC142" s="34"/>
      <c r="DMD142" s="34"/>
      <c r="DME142" s="34"/>
      <c r="DMF142" s="34"/>
      <c r="DMG142" s="34"/>
      <c r="DMH142" s="34"/>
      <c r="DMI142" s="34"/>
      <c r="DMJ142" s="34"/>
      <c r="DMK142" s="34"/>
      <c r="DML142" s="34"/>
      <c r="DMM142" s="34"/>
      <c r="DMN142" s="34"/>
      <c r="DMO142" s="34"/>
      <c r="DMP142" s="34"/>
      <c r="DMQ142" s="34"/>
      <c r="DMR142" s="34"/>
      <c r="DMS142" s="34"/>
      <c r="DMT142" s="34"/>
      <c r="DMU142" s="34"/>
      <c r="DMV142" s="34"/>
      <c r="DMW142" s="34"/>
      <c r="DMX142" s="34"/>
      <c r="DMY142" s="34"/>
      <c r="DMZ142" s="34"/>
      <c r="DNA142" s="34"/>
      <c r="DNB142" s="34"/>
      <c r="DNC142" s="34"/>
      <c r="DND142" s="34"/>
      <c r="DNE142" s="34"/>
      <c r="DNF142" s="34"/>
      <c r="DNG142" s="34"/>
      <c r="DNH142" s="34"/>
      <c r="DNI142" s="34"/>
      <c r="DNJ142" s="34"/>
      <c r="DNK142" s="34"/>
      <c r="DNL142" s="34"/>
      <c r="DNM142" s="34"/>
      <c r="DNN142" s="34"/>
      <c r="DNO142" s="34"/>
      <c r="DNP142" s="34"/>
      <c r="DNQ142" s="34"/>
      <c r="DNR142" s="34"/>
      <c r="DNS142" s="34"/>
      <c r="DNT142" s="34"/>
      <c r="DNU142" s="34"/>
      <c r="DNV142" s="34"/>
      <c r="DNW142" s="34"/>
      <c r="DNX142" s="34"/>
      <c r="DNY142" s="34"/>
      <c r="DNZ142" s="34"/>
      <c r="DOA142" s="34"/>
      <c r="DOB142" s="34"/>
      <c r="DOC142" s="34"/>
      <c r="DOD142" s="34"/>
      <c r="DOE142" s="34"/>
      <c r="DOF142" s="34"/>
      <c r="DOG142" s="34"/>
      <c r="DOH142" s="34"/>
      <c r="DOI142" s="34"/>
      <c r="DOJ142" s="34"/>
      <c r="DOK142" s="34"/>
      <c r="DOL142" s="34"/>
      <c r="DOM142" s="34"/>
      <c r="DON142" s="34"/>
      <c r="DOO142" s="34"/>
      <c r="DOP142" s="34"/>
      <c r="DOQ142" s="34"/>
      <c r="DOR142" s="34"/>
      <c r="DOS142" s="34"/>
      <c r="DOT142" s="34"/>
      <c r="DOU142" s="34"/>
      <c r="DOV142" s="34"/>
      <c r="DOW142" s="34"/>
      <c r="DOX142" s="34"/>
      <c r="DOY142" s="34"/>
      <c r="DOZ142" s="34"/>
      <c r="DPA142" s="34"/>
      <c r="DPB142" s="34"/>
      <c r="DPC142" s="34"/>
      <c r="DPD142" s="34"/>
      <c r="DPE142" s="34"/>
      <c r="DPF142" s="34"/>
      <c r="DPG142" s="34"/>
      <c r="DPH142" s="34"/>
      <c r="DPI142" s="34"/>
      <c r="DPJ142" s="34"/>
      <c r="DPK142" s="34"/>
      <c r="DPL142" s="34"/>
      <c r="DPM142" s="34"/>
      <c r="DPN142" s="34"/>
      <c r="DPO142" s="34"/>
      <c r="DPP142" s="34"/>
      <c r="DPQ142" s="34"/>
      <c r="DPR142" s="34"/>
      <c r="DPS142" s="34"/>
      <c r="DPT142" s="34"/>
      <c r="DPU142" s="34"/>
      <c r="DPV142" s="34"/>
      <c r="DPW142" s="34"/>
      <c r="DPX142" s="34"/>
      <c r="DPY142" s="34"/>
      <c r="DPZ142" s="34"/>
      <c r="DQA142" s="34"/>
      <c r="DQB142" s="34"/>
      <c r="DQC142" s="34"/>
      <c r="DQD142" s="34"/>
      <c r="DQE142" s="34"/>
      <c r="DQF142" s="34"/>
      <c r="DQG142" s="34"/>
      <c r="DQH142" s="34"/>
      <c r="DQI142" s="34"/>
      <c r="DQJ142" s="34"/>
      <c r="DQK142" s="34"/>
      <c r="DQL142" s="34"/>
      <c r="DQM142" s="34"/>
      <c r="DQN142" s="34"/>
      <c r="DQO142" s="34"/>
      <c r="DQP142" s="34"/>
      <c r="DQQ142" s="34"/>
      <c r="DQR142" s="34"/>
      <c r="DQS142" s="34"/>
      <c r="DQT142" s="34"/>
      <c r="DQU142" s="34"/>
      <c r="DQV142" s="34"/>
      <c r="DQW142" s="34"/>
      <c r="DQX142" s="34"/>
      <c r="DQY142" s="34"/>
      <c r="DQZ142" s="34"/>
      <c r="DRA142" s="34"/>
      <c r="DRB142" s="34"/>
      <c r="DRC142" s="34"/>
      <c r="DRD142" s="34"/>
      <c r="DRE142" s="34"/>
      <c r="DRF142" s="34"/>
      <c r="DRG142" s="34"/>
      <c r="DRH142" s="34"/>
      <c r="DRI142" s="34"/>
      <c r="DRJ142" s="34"/>
      <c r="DRK142" s="34"/>
      <c r="DRL142" s="34"/>
      <c r="DRM142" s="34"/>
      <c r="DRN142" s="34"/>
      <c r="DRO142" s="34"/>
      <c r="DRP142" s="34"/>
      <c r="DRQ142" s="34"/>
      <c r="DRR142" s="34"/>
      <c r="DRS142" s="34"/>
      <c r="DRT142" s="34"/>
      <c r="DRU142" s="34"/>
      <c r="DRV142" s="34"/>
      <c r="DRW142" s="34"/>
      <c r="DRX142" s="34"/>
      <c r="DRY142" s="34"/>
      <c r="DRZ142" s="34"/>
      <c r="DSA142" s="34"/>
      <c r="DSB142" s="34"/>
      <c r="DSC142" s="34"/>
      <c r="DSD142" s="34"/>
      <c r="DSE142" s="34"/>
      <c r="DSF142" s="34"/>
      <c r="DSG142" s="34"/>
      <c r="DSH142" s="34"/>
      <c r="DSI142" s="34"/>
      <c r="DSJ142" s="34"/>
      <c r="DSK142" s="34"/>
      <c r="DSL142" s="34"/>
      <c r="DSM142" s="34"/>
      <c r="DSN142" s="34"/>
      <c r="DSO142" s="34"/>
      <c r="DSP142" s="34"/>
      <c r="DSQ142" s="34"/>
      <c r="DSR142" s="34"/>
      <c r="DSS142" s="34"/>
      <c r="DST142" s="34"/>
      <c r="DSU142" s="34"/>
      <c r="DSV142" s="34"/>
      <c r="DSW142" s="34"/>
      <c r="DSX142" s="34"/>
      <c r="DSY142" s="34"/>
      <c r="DSZ142" s="34"/>
      <c r="DTA142" s="34"/>
      <c r="DTB142" s="34"/>
      <c r="DTC142" s="34"/>
      <c r="DTD142" s="34"/>
      <c r="DTE142" s="34"/>
      <c r="DTF142" s="34"/>
      <c r="DTG142" s="34"/>
      <c r="DTH142" s="34"/>
      <c r="DTI142" s="34"/>
      <c r="DTJ142" s="34"/>
      <c r="DTK142" s="34"/>
      <c r="DTL142" s="34"/>
      <c r="DTM142" s="34"/>
      <c r="DTN142" s="34"/>
      <c r="DTO142" s="34"/>
      <c r="DTP142" s="34"/>
      <c r="DTQ142" s="34"/>
      <c r="DTR142" s="34"/>
      <c r="DTS142" s="34"/>
      <c r="DTT142" s="34"/>
      <c r="DTU142" s="34"/>
      <c r="DTV142" s="34"/>
      <c r="DTW142" s="34"/>
      <c r="DTX142" s="34"/>
      <c r="DTY142" s="34"/>
      <c r="DTZ142" s="34"/>
      <c r="DUA142" s="34"/>
      <c r="DUB142" s="34"/>
      <c r="DUC142" s="34"/>
      <c r="DUD142" s="34"/>
      <c r="DUE142" s="34"/>
      <c r="DUF142" s="34"/>
      <c r="DUG142" s="34"/>
      <c r="DUH142" s="34"/>
      <c r="DUI142" s="34"/>
      <c r="DUJ142" s="34"/>
      <c r="DUK142" s="34"/>
      <c r="DUL142" s="34"/>
      <c r="DUM142" s="34"/>
      <c r="DUN142" s="34"/>
      <c r="DUO142" s="34"/>
      <c r="DUP142" s="34"/>
      <c r="DUQ142" s="34"/>
      <c r="DUR142" s="34"/>
      <c r="DUS142" s="34"/>
      <c r="DUT142" s="34"/>
      <c r="DUU142" s="34"/>
      <c r="DUV142" s="34"/>
      <c r="DUW142" s="34"/>
      <c r="DUX142" s="34"/>
      <c r="DUY142" s="34"/>
      <c r="DUZ142" s="34"/>
      <c r="DVA142" s="34"/>
      <c r="DVB142" s="34"/>
      <c r="DVC142" s="34"/>
      <c r="DVD142" s="34"/>
      <c r="DVE142" s="34"/>
      <c r="DVF142" s="34"/>
      <c r="DVG142" s="34"/>
      <c r="DVH142" s="34"/>
      <c r="DVI142" s="34"/>
      <c r="DVJ142" s="34"/>
      <c r="DVK142" s="34"/>
      <c r="DVL142" s="34"/>
      <c r="DVM142" s="34"/>
      <c r="DVN142" s="34"/>
      <c r="DVO142" s="34"/>
      <c r="DVP142" s="34"/>
      <c r="DVQ142" s="34"/>
      <c r="DVR142" s="34"/>
      <c r="DVS142" s="34"/>
      <c r="DVT142" s="34"/>
      <c r="DVU142" s="34"/>
      <c r="DVV142" s="34"/>
      <c r="DVW142" s="34"/>
      <c r="DVX142" s="34"/>
      <c r="DVY142" s="34"/>
      <c r="DVZ142" s="34"/>
      <c r="DWA142" s="34"/>
      <c r="DWB142" s="34"/>
      <c r="DWC142" s="34"/>
      <c r="DWD142" s="34"/>
      <c r="DWE142" s="34"/>
      <c r="DWF142" s="34"/>
      <c r="DWG142" s="34"/>
      <c r="DWH142" s="34"/>
      <c r="DWI142" s="34"/>
      <c r="DWJ142" s="34"/>
      <c r="DWK142" s="34"/>
      <c r="DWL142" s="34"/>
      <c r="DWM142" s="34"/>
      <c r="DWN142" s="34"/>
      <c r="DWO142" s="34"/>
      <c r="DWP142" s="34"/>
      <c r="DWQ142" s="34"/>
      <c r="DWR142" s="34"/>
      <c r="DWS142" s="34"/>
      <c r="DWT142" s="34"/>
      <c r="DWU142" s="34"/>
      <c r="DWV142" s="34"/>
      <c r="DWW142" s="34"/>
      <c r="DWX142" s="34"/>
      <c r="DWY142" s="34"/>
      <c r="DWZ142" s="34"/>
      <c r="DXA142" s="34"/>
      <c r="DXB142" s="34"/>
      <c r="DXC142" s="34"/>
      <c r="DXD142" s="34"/>
      <c r="DXE142" s="34"/>
      <c r="DXF142" s="34"/>
      <c r="DXG142" s="34"/>
      <c r="DXH142" s="34"/>
      <c r="DXI142" s="34"/>
      <c r="DXJ142" s="34"/>
      <c r="DXK142" s="34"/>
      <c r="DXL142" s="34"/>
      <c r="DXM142" s="34"/>
      <c r="DXN142" s="34"/>
      <c r="DXO142" s="34"/>
      <c r="DXP142" s="34"/>
      <c r="DXQ142" s="34"/>
      <c r="DXR142" s="34"/>
      <c r="DXS142" s="34"/>
      <c r="DXT142" s="34"/>
      <c r="DXU142" s="34"/>
      <c r="DXV142" s="34"/>
      <c r="DXW142" s="34"/>
      <c r="DXX142" s="34"/>
      <c r="DXY142" s="34"/>
      <c r="DXZ142" s="34"/>
      <c r="DYA142" s="34"/>
      <c r="DYB142" s="34"/>
      <c r="DYC142" s="34"/>
      <c r="DYD142" s="34"/>
      <c r="DYE142" s="34"/>
      <c r="DYF142" s="34"/>
      <c r="DYG142" s="34"/>
      <c r="DYH142" s="34"/>
      <c r="DYI142" s="34"/>
      <c r="DYJ142" s="34"/>
      <c r="DYK142" s="34"/>
      <c r="DYL142" s="34"/>
      <c r="DYM142" s="34"/>
      <c r="DYN142" s="34"/>
      <c r="DYO142" s="34"/>
      <c r="DYP142" s="34"/>
      <c r="DYQ142" s="34"/>
      <c r="DYR142" s="34"/>
      <c r="DYS142" s="34"/>
      <c r="DYT142" s="34"/>
      <c r="DYU142" s="34"/>
      <c r="DYV142" s="34"/>
      <c r="DYW142" s="34"/>
      <c r="DYX142" s="34"/>
      <c r="DYY142" s="34"/>
      <c r="DYZ142" s="34"/>
      <c r="DZA142" s="34"/>
      <c r="DZB142" s="34"/>
      <c r="DZC142" s="34"/>
      <c r="DZD142" s="34"/>
      <c r="DZE142" s="34"/>
      <c r="DZF142" s="34"/>
      <c r="DZG142" s="34"/>
      <c r="DZH142" s="34"/>
      <c r="DZI142" s="34"/>
      <c r="DZJ142" s="34"/>
      <c r="DZK142" s="34"/>
      <c r="DZL142" s="34"/>
      <c r="DZM142" s="34"/>
      <c r="DZN142" s="34"/>
      <c r="DZO142" s="34"/>
      <c r="DZP142" s="34"/>
      <c r="DZQ142" s="34"/>
      <c r="DZR142" s="34"/>
      <c r="DZS142" s="34"/>
      <c r="DZT142" s="34"/>
      <c r="DZU142" s="34"/>
      <c r="DZV142" s="34"/>
      <c r="DZW142" s="34"/>
      <c r="DZX142" s="34"/>
      <c r="DZY142" s="34"/>
      <c r="DZZ142" s="34"/>
      <c r="EAA142" s="34"/>
      <c r="EAB142" s="34"/>
      <c r="EAC142" s="34"/>
      <c r="EAD142" s="34"/>
      <c r="EAE142" s="34"/>
      <c r="EAF142" s="34"/>
      <c r="EAG142" s="34"/>
      <c r="EAH142" s="34"/>
      <c r="EAI142" s="34"/>
      <c r="EAJ142" s="34"/>
      <c r="EAK142" s="34"/>
      <c r="EAL142" s="34"/>
      <c r="EAM142" s="34"/>
      <c r="EAN142" s="34"/>
      <c r="EAO142" s="34"/>
      <c r="EAP142" s="34"/>
      <c r="EAQ142" s="34"/>
      <c r="EAR142" s="34"/>
      <c r="EAS142" s="34"/>
      <c r="EAT142" s="34"/>
      <c r="EAU142" s="34"/>
      <c r="EAV142" s="34"/>
      <c r="EAW142" s="34"/>
      <c r="EAX142" s="34"/>
      <c r="EAY142" s="34"/>
      <c r="EAZ142" s="34"/>
      <c r="EBA142" s="34"/>
      <c r="EBB142" s="34"/>
      <c r="EBC142" s="34"/>
      <c r="EBD142" s="34"/>
      <c r="EBE142" s="34"/>
      <c r="EBF142" s="34"/>
      <c r="EBG142" s="34"/>
      <c r="EBH142" s="34"/>
      <c r="EBI142" s="34"/>
      <c r="EBJ142" s="34"/>
      <c r="EBK142" s="34"/>
      <c r="EBL142" s="34"/>
      <c r="EBM142" s="34"/>
      <c r="EBN142" s="34"/>
      <c r="EBO142" s="34"/>
      <c r="EBP142" s="34"/>
      <c r="EBQ142" s="34"/>
      <c r="EBR142" s="34"/>
      <c r="EBS142" s="34"/>
      <c r="EBT142" s="34"/>
      <c r="EBU142" s="34"/>
      <c r="EBV142" s="34"/>
      <c r="EBW142" s="34"/>
      <c r="EBX142" s="34"/>
      <c r="EBY142" s="34"/>
      <c r="EBZ142" s="34"/>
      <c r="ECA142" s="34"/>
      <c r="ECB142" s="34"/>
      <c r="ECC142" s="34"/>
      <c r="ECD142" s="34"/>
      <c r="ECE142" s="34"/>
      <c r="ECF142" s="34"/>
      <c r="ECG142" s="34"/>
      <c r="ECH142" s="34"/>
      <c r="ECI142" s="34"/>
      <c r="ECJ142" s="34"/>
      <c r="ECK142" s="34"/>
      <c r="ECL142" s="34"/>
      <c r="ECM142" s="34"/>
      <c r="ECN142" s="34"/>
      <c r="ECO142" s="34"/>
      <c r="ECP142" s="34"/>
      <c r="ECQ142" s="34"/>
      <c r="ECR142" s="34"/>
      <c r="ECS142" s="34"/>
      <c r="ECT142" s="34"/>
      <c r="ECU142" s="34"/>
      <c r="ECV142" s="34"/>
      <c r="ECW142" s="34"/>
      <c r="ECX142" s="34"/>
      <c r="ECY142" s="34"/>
      <c r="ECZ142" s="34"/>
      <c r="EDA142" s="34"/>
      <c r="EDB142" s="34"/>
      <c r="EDC142" s="34"/>
      <c r="EDD142" s="34"/>
      <c r="EDE142" s="34"/>
      <c r="EDF142" s="34"/>
      <c r="EDG142" s="34"/>
      <c r="EDH142" s="34"/>
      <c r="EDI142" s="34"/>
      <c r="EDJ142" s="34"/>
      <c r="EDK142" s="34"/>
      <c r="EDL142" s="34"/>
      <c r="EDM142" s="34"/>
      <c r="EDN142" s="34"/>
      <c r="EDO142" s="34"/>
      <c r="EDP142" s="34"/>
      <c r="EDQ142" s="34"/>
      <c r="EDR142" s="34"/>
      <c r="EDS142" s="34"/>
      <c r="EDT142" s="34"/>
      <c r="EDU142" s="34"/>
      <c r="EDV142" s="34"/>
      <c r="EDW142" s="34"/>
      <c r="EDX142" s="34"/>
      <c r="EDY142" s="34"/>
      <c r="EDZ142" s="34"/>
      <c r="EEA142" s="34"/>
      <c r="EEB142" s="34"/>
      <c r="EEC142" s="34"/>
      <c r="EED142" s="34"/>
      <c r="EEE142" s="34"/>
      <c r="EEF142" s="34"/>
      <c r="EEG142" s="34"/>
      <c r="EEH142" s="34"/>
      <c r="EEI142" s="34"/>
      <c r="EEJ142" s="34"/>
      <c r="EEK142" s="34"/>
      <c r="EEL142" s="34"/>
      <c r="EEM142" s="34"/>
      <c r="EEN142" s="34"/>
      <c r="EEO142" s="34"/>
      <c r="EEP142" s="34"/>
      <c r="EEQ142" s="34"/>
      <c r="EER142" s="34"/>
      <c r="EES142" s="34"/>
      <c r="EET142" s="34"/>
      <c r="EEU142" s="34"/>
      <c r="EEV142" s="34"/>
      <c r="EEW142" s="34"/>
      <c r="EEX142" s="34"/>
      <c r="EEY142" s="34"/>
      <c r="EEZ142" s="34"/>
      <c r="EFA142" s="34"/>
      <c r="EFB142" s="34"/>
      <c r="EFC142" s="34"/>
      <c r="EFD142" s="34"/>
      <c r="EFE142" s="34"/>
      <c r="EFF142" s="34"/>
      <c r="EFG142" s="34"/>
      <c r="EFH142" s="34"/>
      <c r="EFI142" s="34"/>
      <c r="EFJ142" s="34"/>
      <c r="EFK142" s="34"/>
      <c r="EFL142" s="34"/>
      <c r="EFM142" s="34"/>
      <c r="EFN142" s="34"/>
      <c r="EFO142" s="34"/>
      <c r="EFP142" s="34"/>
      <c r="EFQ142" s="34"/>
      <c r="EFR142" s="34"/>
      <c r="EFS142" s="34"/>
      <c r="EFT142" s="34"/>
      <c r="EFU142" s="34"/>
      <c r="EFV142" s="34"/>
      <c r="EFW142" s="34"/>
      <c r="EFX142" s="34"/>
      <c r="EFY142" s="34"/>
      <c r="EFZ142" s="34"/>
      <c r="EGA142" s="34"/>
      <c r="EGB142" s="34"/>
      <c r="EGC142" s="34"/>
      <c r="EGD142" s="34"/>
      <c r="EGE142" s="34"/>
      <c r="EGF142" s="34"/>
      <c r="EGG142" s="34"/>
      <c r="EGH142" s="34"/>
      <c r="EGI142" s="34"/>
      <c r="EGJ142" s="34"/>
      <c r="EGK142" s="34"/>
      <c r="EGL142" s="34"/>
      <c r="EGM142" s="34"/>
      <c r="EGN142" s="34"/>
      <c r="EGO142" s="34"/>
      <c r="EGP142" s="34"/>
      <c r="EGQ142" s="34"/>
      <c r="EGR142" s="34"/>
      <c r="EGS142" s="34"/>
      <c r="EGT142" s="34"/>
      <c r="EGU142" s="34"/>
      <c r="EGV142" s="34"/>
      <c r="EGW142" s="34"/>
      <c r="EGX142" s="34"/>
      <c r="EGY142" s="34"/>
      <c r="EGZ142" s="34"/>
      <c r="EHA142" s="34"/>
      <c r="EHB142" s="34"/>
      <c r="EHC142" s="34"/>
      <c r="EHD142" s="34"/>
      <c r="EHE142" s="34"/>
      <c r="EHF142" s="34"/>
      <c r="EHG142" s="34"/>
      <c r="EHH142" s="34"/>
      <c r="EHI142" s="34"/>
      <c r="EHJ142" s="34"/>
      <c r="EHK142" s="34"/>
      <c r="EHL142" s="34"/>
      <c r="EHM142" s="34"/>
      <c r="EHN142" s="34"/>
      <c r="EHO142" s="34"/>
      <c r="EHP142" s="34"/>
      <c r="EHQ142" s="34"/>
      <c r="EHR142" s="34"/>
      <c r="EHS142" s="34"/>
      <c r="EHT142" s="34"/>
      <c r="EHU142" s="34"/>
      <c r="EHV142" s="34"/>
      <c r="EHW142" s="34"/>
      <c r="EHX142" s="34"/>
      <c r="EHY142" s="34"/>
      <c r="EHZ142" s="34"/>
      <c r="EIA142" s="34"/>
      <c r="EIB142" s="34"/>
      <c r="EIC142" s="34"/>
      <c r="EID142" s="34"/>
      <c r="EIE142" s="34"/>
      <c r="EIF142" s="34"/>
      <c r="EIG142" s="34"/>
      <c r="EIH142" s="34"/>
      <c r="EII142" s="34"/>
      <c r="EIJ142" s="34"/>
      <c r="EIK142" s="34"/>
      <c r="EIL142" s="34"/>
      <c r="EIM142" s="34"/>
      <c r="EIN142" s="34"/>
      <c r="EIO142" s="34"/>
      <c r="EIP142" s="34"/>
      <c r="EIQ142" s="34"/>
      <c r="EIR142" s="34"/>
      <c r="EIS142" s="34"/>
      <c r="EIT142" s="34"/>
      <c r="EIU142" s="34"/>
      <c r="EIV142" s="34"/>
      <c r="EIW142" s="34"/>
      <c r="EIX142" s="34"/>
      <c r="EIY142" s="34"/>
      <c r="EIZ142" s="34"/>
      <c r="EJA142" s="34"/>
      <c r="EJB142" s="34"/>
      <c r="EJC142" s="34"/>
      <c r="EJD142" s="34"/>
      <c r="EJE142" s="34"/>
      <c r="EJF142" s="34"/>
      <c r="EJG142" s="34"/>
      <c r="EJH142" s="34"/>
      <c r="EJI142" s="34"/>
      <c r="EJJ142" s="34"/>
      <c r="EJK142" s="34"/>
      <c r="EJL142" s="34"/>
      <c r="EJM142" s="34"/>
      <c r="EJN142" s="34"/>
      <c r="EJO142" s="34"/>
      <c r="EJP142" s="34"/>
      <c r="EJQ142" s="34"/>
      <c r="EJR142" s="34"/>
      <c r="EJS142" s="34"/>
      <c r="EJT142" s="34"/>
      <c r="EJU142" s="34"/>
      <c r="EJV142" s="34"/>
      <c r="EJW142" s="34"/>
      <c r="EJX142" s="34"/>
      <c r="EJY142" s="34"/>
      <c r="EJZ142" s="34"/>
      <c r="EKA142" s="34"/>
      <c r="EKB142" s="34"/>
      <c r="EKC142" s="34"/>
      <c r="EKD142" s="34"/>
      <c r="EKE142" s="34"/>
      <c r="EKF142" s="34"/>
      <c r="EKG142" s="34"/>
      <c r="EKH142" s="34"/>
      <c r="EKI142" s="34"/>
      <c r="EKJ142" s="34"/>
      <c r="EKK142" s="34"/>
      <c r="EKL142" s="34"/>
      <c r="EKM142" s="34"/>
      <c r="EKN142" s="34"/>
      <c r="EKO142" s="34"/>
      <c r="EKP142" s="34"/>
      <c r="EKQ142" s="34"/>
      <c r="EKR142" s="34"/>
      <c r="EKS142" s="34"/>
      <c r="EKT142" s="34"/>
      <c r="EKU142" s="34"/>
      <c r="EKV142" s="34"/>
      <c r="EKW142" s="34"/>
      <c r="EKX142" s="34"/>
      <c r="EKY142" s="34"/>
      <c r="EKZ142" s="34"/>
      <c r="ELA142" s="34"/>
      <c r="ELB142" s="34"/>
      <c r="ELC142" s="34"/>
      <c r="ELD142" s="34"/>
      <c r="ELE142" s="34"/>
      <c r="ELF142" s="34"/>
      <c r="ELG142" s="34"/>
      <c r="ELH142" s="34"/>
      <c r="ELI142" s="34"/>
      <c r="ELJ142" s="34"/>
      <c r="ELK142" s="34"/>
      <c r="ELL142" s="34"/>
      <c r="ELM142" s="34"/>
      <c r="ELN142" s="34"/>
      <c r="ELO142" s="34"/>
      <c r="ELP142" s="34"/>
      <c r="ELQ142" s="34"/>
      <c r="ELR142" s="34"/>
      <c r="ELS142" s="34"/>
      <c r="ELT142" s="34"/>
      <c r="ELU142" s="34"/>
      <c r="ELV142" s="34"/>
      <c r="ELW142" s="34"/>
      <c r="ELX142" s="34"/>
      <c r="ELY142" s="34"/>
      <c r="ELZ142" s="34"/>
      <c r="EMA142" s="34"/>
      <c r="EMB142" s="34"/>
      <c r="EMC142" s="34"/>
      <c r="EMD142" s="34"/>
      <c r="EME142" s="34"/>
      <c r="EMF142" s="34"/>
      <c r="EMG142" s="34"/>
      <c r="EMH142" s="34"/>
      <c r="EMI142" s="34"/>
      <c r="EMJ142" s="34"/>
      <c r="EMK142" s="34"/>
      <c r="EML142" s="34"/>
      <c r="EMM142" s="34"/>
      <c r="EMN142" s="34"/>
      <c r="EMO142" s="34"/>
      <c r="EMP142" s="34"/>
      <c r="EMQ142" s="34"/>
      <c r="EMR142" s="34"/>
      <c r="EMS142" s="34"/>
      <c r="EMT142" s="34"/>
      <c r="EMU142" s="34"/>
      <c r="EMV142" s="34"/>
      <c r="EMW142" s="34"/>
      <c r="EMX142" s="34"/>
      <c r="EMY142" s="34"/>
      <c r="EMZ142" s="34"/>
      <c r="ENA142" s="34"/>
      <c r="ENB142" s="34"/>
      <c r="ENC142" s="34"/>
      <c r="END142" s="34"/>
      <c r="ENE142" s="34"/>
      <c r="ENF142" s="34"/>
      <c r="ENG142" s="34"/>
      <c r="ENH142" s="34"/>
      <c r="ENI142" s="34"/>
      <c r="ENJ142" s="34"/>
      <c r="ENK142" s="34"/>
      <c r="ENL142" s="34"/>
      <c r="ENM142" s="34"/>
      <c r="ENN142" s="34"/>
      <c r="ENO142" s="34"/>
      <c r="ENP142" s="34"/>
      <c r="ENQ142" s="34"/>
      <c r="ENR142" s="34"/>
      <c r="ENS142" s="34"/>
      <c r="ENT142" s="34"/>
      <c r="ENU142" s="34"/>
      <c r="ENV142" s="34"/>
      <c r="ENW142" s="34"/>
      <c r="ENX142" s="34"/>
      <c r="ENY142" s="34"/>
      <c r="ENZ142" s="34"/>
      <c r="EOA142" s="34"/>
      <c r="EOB142" s="34"/>
      <c r="EOC142" s="34"/>
      <c r="EOD142" s="34"/>
      <c r="EOE142" s="34"/>
      <c r="EOF142" s="34"/>
      <c r="EOG142" s="34"/>
      <c r="EOH142" s="34"/>
      <c r="EOI142" s="34"/>
      <c r="EOJ142" s="34"/>
      <c r="EOK142" s="34"/>
      <c r="EOL142" s="34"/>
      <c r="EOM142" s="34"/>
      <c r="EON142" s="34"/>
      <c r="EOO142" s="34"/>
      <c r="EOP142" s="34"/>
      <c r="EOQ142" s="34"/>
      <c r="EOR142" s="34"/>
      <c r="EOS142" s="34"/>
      <c r="EOT142" s="34"/>
      <c r="EOU142" s="34"/>
      <c r="EOV142" s="34"/>
      <c r="EOW142" s="34"/>
      <c r="EOX142" s="34"/>
      <c r="EOY142" s="34"/>
      <c r="EOZ142" s="34"/>
      <c r="EPA142" s="34"/>
      <c r="EPB142" s="34"/>
      <c r="EPC142" s="34"/>
      <c r="EPD142" s="34"/>
      <c r="EPE142" s="34"/>
      <c r="EPF142" s="34"/>
      <c r="EPG142" s="34"/>
      <c r="EPH142" s="34"/>
      <c r="EPI142" s="34"/>
      <c r="EPJ142" s="34"/>
      <c r="EPK142" s="34"/>
      <c r="EPL142" s="34"/>
      <c r="EPM142" s="34"/>
      <c r="EPN142" s="34"/>
      <c r="EPO142" s="34"/>
      <c r="EPP142" s="34"/>
      <c r="EPQ142" s="34"/>
      <c r="EPR142" s="34"/>
      <c r="EPS142" s="34"/>
      <c r="EPT142" s="34"/>
      <c r="EPU142" s="34"/>
      <c r="EPV142" s="34"/>
      <c r="EPW142" s="34"/>
      <c r="EPX142" s="34"/>
      <c r="EPY142" s="34"/>
      <c r="EPZ142" s="34"/>
      <c r="EQA142" s="34"/>
      <c r="EQB142" s="34"/>
      <c r="EQC142" s="34"/>
      <c r="EQD142" s="34"/>
      <c r="EQE142" s="34"/>
      <c r="EQF142" s="34"/>
      <c r="EQG142" s="34"/>
      <c r="EQH142" s="34"/>
      <c r="EQI142" s="34"/>
      <c r="EQJ142" s="34"/>
      <c r="EQK142" s="34"/>
      <c r="EQL142" s="34"/>
      <c r="EQM142" s="34"/>
      <c r="EQN142" s="34"/>
      <c r="EQO142" s="34"/>
      <c r="EQP142" s="34"/>
      <c r="EQQ142" s="34"/>
      <c r="EQR142" s="34"/>
      <c r="EQS142" s="34"/>
      <c r="EQT142" s="34"/>
      <c r="EQU142" s="34"/>
      <c r="EQV142" s="34"/>
      <c r="EQW142" s="34"/>
      <c r="EQX142" s="34"/>
      <c r="EQY142" s="34"/>
      <c r="EQZ142" s="34"/>
      <c r="ERA142" s="34"/>
      <c r="ERB142" s="34"/>
      <c r="ERC142" s="34"/>
      <c r="ERD142" s="34"/>
      <c r="ERE142" s="34"/>
      <c r="ERF142" s="34"/>
      <c r="ERG142" s="34"/>
      <c r="ERH142" s="34"/>
      <c r="ERI142" s="34"/>
      <c r="ERJ142" s="34"/>
      <c r="ERK142" s="34"/>
      <c r="ERL142" s="34"/>
      <c r="ERM142" s="34"/>
      <c r="ERN142" s="34"/>
      <c r="ERO142" s="34"/>
      <c r="ERP142" s="34"/>
      <c r="ERQ142" s="34"/>
      <c r="ERR142" s="34"/>
      <c r="ERS142" s="34"/>
      <c r="ERT142" s="34"/>
      <c r="ERU142" s="34"/>
      <c r="ERV142" s="34"/>
      <c r="ERW142" s="34"/>
      <c r="ERX142" s="34"/>
      <c r="ERY142" s="34"/>
      <c r="ERZ142" s="34"/>
      <c r="ESA142" s="34"/>
      <c r="ESB142" s="34"/>
      <c r="ESC142" s="34"/>
      <c r="ESD142" s="34"/>
      <c r="ESE142" s="34"/>
      <c r="ESF142" s="34"/>
      <c r="ESG142" s="34"/>
      <c r="ESH142" s="34"/>
      <c r="ESI142" s="34"/>
      <c r="ESJ142" s="34"/>
      <c r="ESK142" s="34"/>
      <c r="ESL142" s="34"/>
      <c r="ESM142" s="34"/>
      <c r="ESN142" s="34"/>
      <c r="ESO142" s="34"/>
      <c r="ESP142" s="34"/>
      <c r="ESQ142" s="34"/>
      <c r="ESR142" s="34"/>
      <c r="ESS142" s="34"/>
      <c r="EST142" s="34"/>
      <c r="ESU142" s="34"/>
      <c r="ESV142" s="34"/>
      <c r="ESW142" s="34"/>
      <c r="ESX142" s="34"/>
      <c r="ESY142" s="34"/>
      <c r="ESZ142" s="34"/>
      <c r="ETA142" s="34"/>
      <c r="ETB142" s="34"/>
      <c r="ETC142" s="34"/>
      <c r="ETD142" s="34"/>
      <c r="ETE142" s="34"/>
      <c r="ETF142" s="34"/>
      <c r="ETG142" s="34"/>
      <c r="ETH142" s="34"/>
      <c r="ETI142" s="34"/>
      <c r="ETJ142" s="34"/>
      <c r="ETK142" s="34"/>
      <c r="ETL142" s="34"/>
      <c r="ETM142" s="34"/>
      <c r="ETN142" s="34"/>
      <c r="ETO142" s="34"/>
      <c r="ETP142" s="34"/>
      <c r="ETQ142" s="34"/>
      <c r="ETR142" s="34"/>
      <c r="ETS142" s="34"/>
      <c r="ETT142" s="34"/>
      <c r="ETU142" s="34"/>
      <c r="ETV142" s="34"/>
      <c r="ETW142" s="34"/>
      <c r="ETX142" s="34"/>
      <c r="ETY142" s="34"/>
      <c r="ETZ142" s="34"/>
      <c r="EUA142" s="34"/>
      <c r="EUB142" s="34"/>
      <c r="EUC142" s="34"/>
      <c r="EUD142" s="34"/>
      <c r="EUE142" s="34"/>
      <c r="EUF142" s="34"/>
      <c r="EUG142" s="34"/>
      <c r="EUH142" s="34"/>
      <c r="EUI142" s="34"/>
      <c r="EUJ142" s="34"/>
      <c r="EUK142" s="34"/>
      <c r="EUL142" s="34"/>
      <c r="EUM142" s="34"/>
      <c r="EUN142" s="34"/>
      <c r="EUO142" s="34"/>
      <c r="EUP142" s="34"/>
      <c r="EUQ142" s="34"/>
      <c r="EUR142" s="34"/>
      <c r="EUS142" s="34"/>
      <c r="EUT142" s="34"/>
      <c r="EUU142" s="34"/>
      <c r="EUV142" s="34"/>
      <c r="EUW142" s="34"/>
      <c r="EUX142" s="34"/>
      <c r="EUY142" s="34"/>
      <c r="EUZ142" s="34"/>
      <c r="EVA142" s="34"/>
      <c r="EVB142" s="34"/>
      <c r="EVC142" s="34"/>
      <c r="EVD142" s="34"/>
      <c r="EVE142" s="34"/>
      <c r="EVF142" s="34"/>
      <c r="EVG142" s="34"/>
      <c r="EVH142" s="34"/>
      <c r="EVI142" s="34"/>
      <c r="EVJ142" s="34"/>
      <c r="EVK142" s="34"/>
      <c r="EVL142" s="34"/>
      <c r="EVM142" s="34"/>
      <c r="EVN142" s="34"/>
      <c r="EVO142" s="34"/>
      <c r="EVP142" s="34"/>
      <c r="EVQ142" s="34"/>
      <c r="EVR142" s="34"/>
      <c r="EVS142" s="34"/>
      <c r="EVT142" s="34"/>
      <c r="EVU142" s="34"/>
      <c r="EVV142" s="34"/>
      <c r="EVW142" s="34"/>
      <c r="EVX142" s="34"/>
      <c r="EVY142" s="34"/>
      <c r="EVZ142" s="34"/>
      <c r="EWA142" s="34"/>
      <c r="EWB142" s="34"/>
      <c r="EWC142" s="34"/>
      <c r="EWD142" s="34"/>
      <c r="EWE142" s="34"/>
      <c r="EWF142" s="34"/>
      <c r="EWG142" s="34"/>
      <c r="EWH142" s="34"/>
      <c r="EWI142" s="34"/>
      <c r="EWJ142" s="34"/>
      <c r="EWK142" s="34"/>
      <c r="EWL142" s="34"/>
      <c r="EWM142" s="34"/>
      <c r="EWN142" s="34"/>
      <c r="EWO142" s="34"/>
      <c r="EWP142" s="34"/>
      <c r="EWQ142" s="34"/>
      <c r="EWR142" s="34"/>
      <c r="EWS142" s="34"/>
      <c r="EWT142" s="34"/>
      <c r="EWU142" s="34"/>
      <c r="EWV142" s="34"/>
      <c r="EWW142" s="34"/>
      <c r="EWX142" s="34"/>
      <c r="EWY142" s="34"/>
      <c r="EWZ142" s="34"/>
      <c r="EXA142" s="34"/>
      <c r="EXB142" s="34"/>
      <c r="EXC142" s="34"/>
      <c r="EXD142" s="34"/>
      <c r="EXE142" s="34"/>
      <c r="EXF142" s="34"/>
      <c r="EXG142" s="34"/>
      <c r="EXH142" s="34"/>
      <c r="EXI142" s="34"/>
      <c r="EXJ142" s="34"/>
      <c r="EXK142" s="34"/>
      <c r="EXL142" s="34"/>
      <c r="EXM142" s="34"/>
      <c r="EXN142" s="34"/>
      <c r="EXO142" s="34"/>
      <c r="EXP142" s="34"/>
      <c r="EXQ142" s="34"/>
      <c r="EXR142" s="34"/>
      <c r="EXS142" s="34"/>
      <c r="EXT142" s="34"/>
      <c r="EXU142" s="34"/>
      <c r="EXV142" s="34"/>
      <c r="EXW142" s="34"/>
      <c r="EXX142" s="34"/>
      <c r="EXY142" s="34"/>
      <c r="EXZ142" s="34"/>
      <c r="EYA142" s="34"/>
      <c r="EYB142" s="34"/>
      <c r="EYC142" s="34"/>
      <c r="EYD142" s="34"/>
      <c r="EYE142" s="34"/>
      <c r="EYF142" s="34"/>
      <c r="EYG142" s="34"/>
      <c r="EYH142" s="34"/>
      <c r="EYI142" s="34"/>
      <c r="EYJ142" s="34"/>
      <c r="EYK142" s="34"/>
      <c r="EYL142" s="34"/>
      <c r="EYM142" s="34"/>
      <c r="EYN142" s="34"/>
      <c r="EYO142" s="34"/>
      <c r="EYP142" s="34"/>
      <c r="EYQ142" s="34"/>
      <c r="EYR142" s="34"/>
      <c r="EYS142" s="34"/>
      <c r="EYT142" s="34"/>
      <c r="EYU142" s="34"/>
      <c r="EYV142" s="34"/>
      <c r="EYW142" s="34"/>
      <c r="EYX142" s="34"/>
      <c r="EYY142" s="34"/>
      <c r="EYZ142" s="34"/>
      <c r="EZA142" s="34"/>
      <c r="EZB142" s="34"/>
      <c r="EZC142" s="34"/>
      <c r="EZD142" s="34"/>
      <c r="EZE142" s="34"/>
      <c r="EZF142" s="34"/>
      <c r="EZG142" s="34"/>
      <c r="EZH142" s="34"/>
      <c r="EZI142" s="34"/>
      <c r="EZJ142" s="34"/>
      <c r="EZK142" s="34"/>
      <c r="EZL142" s="34"/>
      <c r="EZM142" s="34"/>
      <c r="EZN142" s="34"/>
      <c r="EZO142" s="34"/>
      <c r="EZP142" s="34"/>
      <c r="EZQ142" s="34"/>
      <c r="EZR142" s="34"/>
      <c r="EZS142" s="34"/>
      <c r="EZT142" s="34"/>
      <c r="EZU142" s="34"/>
      <c r="EZV142" s="34"/>
      <c r="EZW142" s="34"/>
      <c r="EZX142" s="34"/>
      <c r="EZY142" s="34"/>
      <c r="EZZ142" s="34"/>
      <c r="FAA142" s="34"/>
      <c r="FAB142" s="34"/>
      <c r="FAC142" s="34"/>
      <c r="FAD142" s="34"/>
      <c r="FAE142" s="34"/>
      <c r="FAF142" s="34"/>
      <c r="FAG142" s="34"/>
      <c r="FAH142" s="34"/>
      <c r="FAI142" s="34"/>
      <c r="FAJ142" s="34"/>
      <c r="FAK142" s="34"/>
      <c r="FAL142" s="34"/>
      <c r="FAM142" s="34"/>
      <c r="FAN142" s="34"/>
      <c r="FAO142" s="34"/>
      <c r="FAP142" s="34"/>
      <c r="FAQ142" s="34"/>
      <c r="FAR142" s="34"/>
      <c r="FAS142" s="34"/>
      <c r="FAT142" s="34"/>
      <c r="FAU142" s="34"/>
      <c r="FAV142" s="34"/>
      <c r="FAW142" s="34"/>
      <c r="FAX142" s="34"/>
      <c r="FAY142" s="34"/>
      <c r="FAZ142" s="34"/>
      <c r="FBA142" s="34"/>
      <c r="FBB142" s="34"/>
      <c r="FBC142" s="34"/>
      <c r="FBD142" s="34"/>
      <c r="FBE142" s="34"/>
      <c r="FBF142" s="34"/>
      <c r="FBG142" s="34"/>
      <c r="FBH142" s="34"/>
      <c r="FBI142" s="34"/>
      <c r="FBJ142" s="34"/>
      <c r="FBK142" s="34"/>
      <c r="FBL142" s="34"/>
      <c r="FBM142" s="34"/>
      <c r="FBN142" s="34"/>
      <c r="FBO142" s="34"/>
      <c r="FBP142" s="34"/>
      <c r="FBQ142" s="34"/>
      <c r="FBR142" s="34"/>
      <c r="FBS142" s="34"/>
      <c r="FBT142" s="34"/>
      <c r="FBU142" s="34"/>
      <c r="FBV142" s="34"/>
      <c r="FBW142" s="34"/>
      <c r="FBX142" s="34"/>
      <c r="FBY142" s="34"/>
      <c r="FBZ142" s="34"/>
      <c r="FCA142" s="34"/>
      <c r="FCB142" s="34"/>
      <c r="FCC142" s="34"/>
      <c r="FCD142" s="34"/>
      <c r="FCE142" s="34"/>
      <c r="FCF142" s="34"/>
      <c r="FCG142" s="34"/>
      <c r="FCH142" s="34"/>
      <c r="FCI142" s="34"/>
      <c r="FCJ142" s="34"/>
      <c r="FCK142" s="34"/>
      <c r="FCL142" s="34"/>
      <c r="FCM142" s="34"/>
      <c r="FCN142" s="34"/>
      <c r="FCO142" s="34"/>
      <c r="FCP142" s="34"/>
      <c r="FCQ142" s="34"/>
      <c r="FCR142" s="34"/>
      <c r="FCS142" s="34"/>
      <c r="FCT142" s="34"/>
      <c r="FCU142" s="34"/>
      <c r="FCV142" s="34"/>
      <c r="FCW142" s="34"/>
      <c r="FCX142" s="34"/>
      <c r="FCY142" s="34"/>
      <c r="FCZ142" s="34"/>
      <c r="FDA142" s="34"/>
      <c r="FDB142" s="34"/>
      <c r="FDC142" s="34"/>
      <c r="FDD142" s="34"/>
      <c r="FDE142" s="34"/>
      <c r="FDF142" s="34"/>
      <c r="FDG142" s="34"/>
      <c r="FDH142" s="34"/>
      <c r="FDI142" s="34"/>
      <c r="FDJ142" s="34"/>
      <c r="FDK142" s="34"/>
      <c r="FDL142" s="34"/>
      <c r="FDM142" s="34"/>
      <c r="FDN142" s="34"/>
      <c r="FDO142" s="34"/>
      <c r="FDP142" s="34"/>
      <c r="FDQ142" s="34"/>
      <c r="FDR142" s="34"/>
      <c r="FDS142" s="34"/>
      <c r="FDT142" s="34"/>
      <c r="FDU142" s="34"/>
      <c r="FDV142" s="34"/>
      <c r="FDW142" s="34"/>
      <c r="FDX142" s="34"/>
      <c r="FDY142" s="34"/>
      <c r="FDZ142" s="34"/>
      <c r="FEA142" s="34"/>
      <c r="FEB142" s="34"/>
      <c r="FEC142" s="34"/>
      <c r="FED142" s="34"/>
      <c r="FEE142" s="34"/>
      <c r="FEF142" s="34"/>
      <c r="FEG142" s="34"/>
      <c r="FEH142" s="34"/>
      <c r="FEI142" s="34"/>
      <c r="FEJ142" s="34"/>
      <c r="FEK142" s="34"/>
      <c r="FEL142" s="34"/>
      <c r="FEM142" s="34"/>
      <c r="FEN142" s="34"/>
      <c r="FEO142" s="34"/>
      <c r="FEP142" s="34"/>
      <c r="FEQ142" s="34"/>
      <c r="FER142" s="34"/>
      <c r="FES142" s="34"/>
      <c r="FET142" s="34"/>
      <c r="FEU142" s="34"/>
      <c r="FEV142" s="34"/>
      <c r="FEW142" s="34"/>
      <c r="FEX142" s="34"/>
      <c r="FEY142" s="34"/>
      <c r="FEZ142" s="34"/>
      <c r="FFA142" s="34"/>
      <c r="FFB142" s="34"/>
      <c r="FFC142" s="34"/>
      <c r="FFD142" s="34"/>
      <c r="FFE142" s="34"/>
      <c r="FFF142" s="34"/>
      <c r="FFG142" s="34"/>
      <c r="FFH142" s="34"/>
      <c r="FFI142" s="34"/>
      <c r="FFJ142" s="34"/>
      <c r="FFK142" s="34"/>
      <c r="FFL142" s="34"/>
      <c r="FFM142" s="34"/>
      <c r="FFN142" s="34"/>
      <c r="FFO142" s="34"/>
      <c r="FFP142" s="34"/>
      <c r="FFQ142" s="34"/>
      <c r="FFR142" s="34"/>
      <c r="FFS142" s="34"/>
      <c r="FFT142" s="34"/>
      <c r="FFU142" s="34"/>
      <c r="FFV142" s="34"/>
      <c r="FFW142" s="34"/>
      <c r="FFX142" s="34"/>
      <c r="FFY142" s="34"/>
      <c r="FFZ142" s="34"/>
      <c r="FGA142" s="34"/>
      <c r="FGB142" s="34"/>
      <c r="FGC142" s="34"/>
      <c r="FGD142" s="34"/>
      <c r="FGE142" s="34"/>
      <c r="FGF142" s="34"/>
      <c r="FGG142" s="34"/>
      <c r="FGH142" s="34"/>
      <c r="FGI142" s="34"/>
      <c r="FGJ142" s="34"/>
      <c r="FGK142" s="34"/>
      <c r="FGL142" s="34"/>
      <c r="FGM142" s="34"/>
      <c r="FGN142" s="34"/>
      <c r="FGO142" s="34"/>
      <c r="FGP142" s="34"/>
      <c r="FGQ142" s="34"/>
      <c r="FGR142" s="34"/>
      <c r="FGS142" s="34"/>
      <c r="FGT142" s="34"/>
      <c r="FGU142" s="34"/>
      <c r="FGV142" s="34"/>
      <c r="FGW142" s="34"/>
      <c r="FGX142" s="34"/>
      <c r="FGY142" s="34"/>
      <c r="FGZ142" s="34"/>
      <c r="FHA142" s="34"/>
      <c r="FHB142" s="34"/>
      <c r="FHC142" s="34"/>
      <c r="FHD142" s="34"/>
      <c r="FHE142" s="34"/>
      <c r="FHF142" s="34"/>
      <c r="FHG142" s="34"/>
      <c r="FHH142" s="34"/>
      <c r="FHI142" s="34"/>
      <c r="FHJ142" s="34"/>
      <c r="FHK142" s="34"/>
      <c r="FHL142" s="34"/>
      <c r="FHM142" s="34"/>
      <c r="FHN142" s="34"/>
      <c r="FHO142" s="34"/>
      <c r="FHP142" s="34"/>
      <c r="FHQ142" s="34"/>
      <c r="FHR142" s="34"/>
      <c r="FHS142" s="34"/>
      <c r="FHT142" s="34"/>
      <c r="FHU142" s="34"/>
      <c r="FHV142" s="34"/>
      <c r="FHW142" s="34"/>
      <c r="FHX142" s="34"/>
      <c r="FHY142" s="34"/>
      <c r="FHZ142" s="34"/>
      <c r="FIA142" s="34"/>
      <c r="FIB142" s="34"/>
      <c r="FIC142" s="34"/>
      <c r="FID142" s="34"/>
      <c r="FIE142" s="34"/>
      <c r="FIF142" s="34"/>
      <c r="FIG142" s="34"/>
      <c r="FIH142" s="34"/>
      <c r="FII142" s="34"/>
      <c r="FIJ142" s="34"/>
      <c r="FIK142" s="34"/>
      <c r="FIL142" s="34"/>
      <c r="FIM142" s="34"/>
      <c r="FIN142" s="34"/>
      <c r="FIO142" s="34"/>
      <c r="FIP142" s="34"/>
      <c r="FIQ142" s="34"/>
      <c r="FIR142" s="34"/>
      <c r="FIS142" s="34"/>
      <c r="FIT142" s="34"/>
      <c r="FIU142" s="34"/>
      <c r="FIV142" s="34"/>
      <c r="FIW142" s="34"/>
      <c r="FIX142" s="34"/>
      <c r="FIY142" s="34"/>
      <c r="FIZ142" s="34"/>
      <c r="FJA142" s="34"/>
      <c r="FJB142" s="34"/>
      <c r="FJC142" s="34"/>
      <c r="FJD142" s="34"/>
      <c r="FJE142" s="34"/>
      <c r="FJF142" s="34"/>
      <c r="FJG142" s="34"/>
      <c r="FJH142" s="34"/>
      <c r="FJI142" s="34"/>
      <c r="FJJ142" s="34"/>
      <c r="FJK142" s="34"/>
      <c r="FJL142" s="34"/>
      <c r="FJM142" s="34"/>
      <c r="FJN142" s="34"/>
      <c r="FJO142" s="34"/>
      <c r="FJP142" s="34"/>
      <c r="FJQ142" s="34"/>
      <c r="FJR142" s="34"/>
      <c r="FJS142" s="34"/>
      <c r="FJT142" s="34"/>
      <c r="FJU142" s="34"/>
      <c r="FJV142" s="34"/>
      <c r="FJW142" s="34"/>
      <c r="FJX142" s="34"/>
      <c r="FJY142" s="34"/>
      <c r="FJZ142" s="34"/>
      <c r="FKA142" s="34"/>
      <c r="FKB142" s="34"/>
      <c r="FKC142" s="34"/>
      <c r="FKD142" s="34"/>
      <c r="FKE142" s="34"/>
      <c r="FKF142" s="34"/>
      <c r="FKG142" s="34"/>
      <c r="FKH142" s="34"/>
      <c r="FKI142" s="34"/>
      <c r="FKJ142" s="34"/>
      <c r="FKK142" s="34"/>
      <c r="FKL142" s="34"/>
      <c r="FKM142" s="34"/>
      <c r="FKN142" s="34"/>
      <c r="FKO142" s="34"/>
      <c r="FKP142" s="34"/>
      <c r="FKQ142" s="34"/>
      <c r="FKR142" s="34"/>
      <c r="FKS142" s="34"/>
      <c r="FKT142" s="34"/>
      <c r="FKU142" s="34"/>
      <c r="FKV142" s="34"/>
      <c r="FKW142" s="34"/>
      <c r="FKX142" s="34"/>
      <c r="FKY142" s="34"/>
      <c r="FKZ142" s="34"/>
      <c r="FLA142" s="34"/>
      <c r="FLB142" s="34"/>
      <c r="FLC142" s="34"/>
      <c r="FLD142" s="34"/>
      <c r="FLE142" s="34"/>
      <c r="FLF142" s="34"/>
      <c r="FLG142" s="34"/>
      <c r="FLH142" s="34"/>
      <c r="FLI142" s="34"/>
      <c r="FLJ142" s="34"/>
      <c r="FLK142" s="34"/>
      <c r="FLL142" s="34"/>
      <c r="FLM142" s="34"/>
      <c r="FLN142" s="34"/>
      <c r="FLO142" s="34"/>
      <c r="FLP142" s="34"/>
      <c r="FLQ142" s="34"/>
      <c r="FLR142" s="34"/>
      <c r="FLS142" s="34"/>
      <c r="FLT142" s="34"/>
      <c r="FLU142" s="34"/>
      <c r="FLV142" s="34"/>
      <c r="FLW142" s="34"/>
      <c r="FLX142" s="34"/>
      <c r="FLY142" s="34"/>
      <c r="FLZ142" s="34"/>
      <c r="FMA142" s="34"/>
      <c r="FMB142" s="34"/>
      <c r="FMC142" s="34"/>
      <c r="FMD142" s="34"/>
      <c r="FME142" s="34"/>
      <c r="FMF142" s="34"/>
      <c r="FMG142" s="34"/>
      <c r="FMH142" s="34"/>
      <c r="FMI142" s="34"/>
      <c r="FMJ142" s="34"/>
      <c r="FMK142" s="34"/>
      <c r="FML142" s="34"/>
      <c r="FMM142" s="34"/>
      <c r="FMN142" s="34"/>
      <c r="FMO142" s="34"/>
      <c r="FMP142" s="34"/>
      <c r="FMQ142" s="34"/>
      <c r="FMR142" s="34"/>
      <c r="FMS142" s="34"/>
      <c r="FMT142" s="34"/>
      <c r="FMU142" s="34"/>
      <c r="FMV142" s="34"/>
      <c r="FMW142" s="34"/>
      <c r="FMX142" s="34"/>
      <c r="FMY142" s="34"/>
      <c r="FMZ142" s="34"/>
      <c r="FNA142" s="34"/>
      <c r="FNB142" s="34"/>
      <c r="FNC142" s="34"/>
      <c r="FND142" s="34"/>
      <c r="FNE142" s="34"/>
      <c r="FNF142" s="34"/>
      <c r="FNG142" s="34"/>
      <c r="FNH142" s="34"/>
      <c r="FNI142" s="34"/>
      <c r="FNJ142" s="34"/>
      <c r="FNK142" s="34"/>
      <c r="FNL142" s="34"/>
      <c r="FNM142" s="34"/>
      <c r="FNN142" s="34"/>
      <c r="FNO142" s="34"/>
      <c r="FNP142" s="34"/>
      <c r="FNQ142" s="34"/>
      <c r="FNR142" s="34"/>
      <c r="FNS142" s="34"/>
      <c r="FNT142" s="34"/>
      <c r="FNU142" s="34"/>
      <c r="FNV142" s="34"/>
      <c r="FNW142" s="34"/>
      <c r="FNX142" s="34"/>
      <c r="FNY142" s="34"/>
      <c r="FNZ142" s="34"/>
      <c r="FOA142" s="34"/>
      <c r="FOB142" s="34"/>
      <c r="FOC142" s="34"/>
      <c r="FOD142" s="34"/>
      <c r="FOE142" s="34"/>
      <c r="FOF142" s="34"/>
      <c r="FOG142" s="34"/>
      <c r="FOH142" s="34"/>
      <c r="FOI142" s="34"/>
      <c r="FOJ142" s="34"/>
      <c r="FOK142" s="34"/>
      <c r="FOL142" s="34"/>
      <c r="FOM142" s="34"/>
      <c r="FON142" s="34"/>
      <c r="FOO142" s="34"/>
      <c r="FOP142" s="34"/>
      <c r="FOQ142" s="34"/>
      <c r="FOR142" s="34"/>
      <c r="FOS142" s="34"/>
      <c r="FOT142" s="34"/>
      <c r="FOU142" s="34"/>
      <c r="FOV142" s="34"/>
      <c r="FOW142" s="34"/>
      <c r="FOX142" s="34"/>
      <c r="FOY142" s="34"/>
      <c r="FOZ142" s="34"/>
      <c r="FPA142" s="34"/>
      <c r="FPB142" s="34"/>
      <c r="FPC142" s="34"/>
      <c r="FPD142" s="34"/>
      <c r="FPE142" s="34"/>
      <c r="FPF142" s="34"/>
      <c r="FPG142" s="34"/>
      <c r="FPH142" s="34"/>
      <c r="FPI142" s="34"/>
      <c r="FPJ142" s="34"/>
      <c r="FPK142" s="34"/>
      <c r="FPL142" s="34"/>
      <c r="FPM142" s="34"/>
      <c r="FPN142" s="34"/>
      <c r="FPO142" s="34"/>
      <c r="FPP142" s="34"/>
      <c r="FPQ142" s="34"/>
      <c r="FPR142" s="34"/>
      <c r="FPS142" s="34"/>
      <c r="FPT142" s="34"/>
      <c r="FPU142" s="34"/>
      <c r="FPV142" s="34"/>
      <c r="FPW142" s="34"/>
      <c r="FPX142" s="34"/>
      <c r="FPY142" s="34"/>
      <c r="FPZ142" s="34"/>
      <c r="FQA142" s="34"/>
      <c r="FQB142" s="34"/>
      <c r="FQC142" s="34"/>
      <c r="FQD142" s="34"/>
      <c r="FQE142" s="34"/>
      <c r="FQF142" s="34"/>
      <c r="FQG142" s="34"/>
      <c r="FQH142" s="34"/>
      <c r="FQI142" s="34"/>
      <c r="FQJ142" s="34"/>
      <c r="FQK142" s="34"/>
      <c r="FQL142" s="34"/>
      <c r="FQM142" s="34"/>
      <c r="FQN142" s="34"/>
      <c r="FQO142" s="34"/>
      <c r="FQP142" s="34"/>
      <c r="FQQ142" s="34"/>
      <c r="FQR142" s="34"/>
      <c r="FQS142" s="34"/>
      <c r="FQT142" s="34"/>
      <c r="FQU142" s="34"/>
      <c r="FQV142" s="34"/>
      <c r="FQW142" s="34"/>
      <c r="FQX142" s="34"/>
      <c r="FQY142" s="34"/>
      <c r="FQZ142" s="34"/>
      <c r="FRA142" s="34"/>
      <c r="FRB142" s="34"/>
      <c r="FRC142" s="34"/>
      <c r="FRD142" s="34"/>
      <c r="FRE142" s="34"/>
      <c r="FRF142" s="34"/>
      <c r="FRG142" s="34"/>
      <c r="FRH142" s="34"/>
      <c r="FRI142" s="34"/>
      <c r="FRJ142" s="34"/>
      <c r="FRK142" s="34"/>
      <c r="FRL142" s="34"/>
      <c r="FRM142" s="34"/>
      <c r="FRN142" s="34"/>
      <c r="FRO142" s="34"/>
      <c r="FRP142" s="34"/>
      <c r="FRQ142" s="34"/>
      <c r="FRR142" s="34"/>
      <c r="FRS142" s="34"/>
      <c r="FRT142" s="34"/>
      <c r="FRU142" s="34"/>
      <c r="FRV142" s="34"/>
      <c r="FRW142" s="34"/>
      <c r="FRX142" s="34"/>
      <c r="FRY142" s="34"/>
      <c r="FRZ142" s="34"/>
      <c r="FSA142" s="34"/>
      <c r="FSB142" s="34"/>
      <c r="FSC142" s="34"/>
      <c r="FSD142" s="34"/>
      <c r="FSE142" s="34"/>
      <c r="FSF142" s="34"/>
      <c r="FSG142" s="34"/>
      <c r="FSH142" s="34"/>
      <c r="FSI142" s="34"/>
      <c r="FSJ142" s="34"/>
      <c r="FSK142" s="34"/>
      <c r="FSL142" s="34"/>
      <c r="FSM142" s="34"/>
      <c r="FSN142" s="34"/>
      <c r="FSO142" s="34"/>
      <c r="FSP142" s="34"/>
      <c r="FSQ142" s="34"/>
      <c r="FSR142" s="34"/>
      <c r="FSS142" s="34"/>
      <c r="FST142" s="34"/>
      <c r="FSU142" s="34"/>
      <c r="FSV142" s="34"/>
      <c r="FSW142" s="34"/>
      <c r="FSX142" s="34"/>
      <c r="FSY142" s="34"/>
      <c r="FSZ142" s="34"/>
      <c r="FTA142" s="34"/>
      <c r="FTB142" s="34"/>
      <c r="FTC142" s="34"/>
      <c r="FTD142" s="34"/>
      <c r="FTE142" s="34"/>
      <c r="FTF142" s="34"/>
      <c r="FTG142" s="34"/>
      <c r="FTH142" s="34"/>
      <c r="FTI142" s="34"/>
      <c r="FTJ142" s="34"/>
      <c r="FTK142" s="34"/>
      <c r="FTL142" s="34"/>
      <c r="FTM142" s="34"/>
      <c r="FTN142" s="34"/>
      <c r="FTO142" s="34"/>
      <c r="FTP142" s="34"/>
      <c r="FTQ142" s="34"/>
      <c r="FTR142" s="34"/>
      <c r="FTS142" s="34"/>
      <c r="FTT142" s="34"/>
      <c r="FTU142" s="34"/>
      <c r="FTV142" s="34"/>
      <c r="FTW142" s="34"/>
      <c r="FTX142" s="34"/>
      <c r="FTY142" s="34"/>
      <c r="FTZ142" s="34"/>
      <c r="FUA142" s="34"/>
      <c r="FUB142" s="34"/>
      <c r="FUC142" s="34"/>
      <c r="FUD142" s="34"/>
      <c r="FUE142" s="34"/>
      <c r="FUF142" s="34"/>
      <c r="FUG142" s="34"/>
      <c r="FUH142" s="34"/>
      <c r="FUI142" s="34"/>
      <c r="FUJ142" s="34"/>
      <c r="FUK142" s="34"/>
      <c r="FUL142" s="34"/>
      <c r="FUM142" s="34"/>
      <c r="FUN142" s="34"/>
      <c r="FUO142" s="34"/>
      <c r="FUP142" s="34"/>
      <c r="FUQ142" s="34"/>
      <c r="FUR142" s="34"/>
      <c r="FUS142" s="34"/>
      <c r="FUT142" s="34"/>
      <c r="FUU142" s="34"/>
      <c r="FUV142" s="34"/>
      <c r="FUW142" s="34"/>
      <c r="FUX142" s="34"/>
      <c r="FUY142" s="34"/>
      <c r="FUZ142" s="34"/>
      <c r="FVA142" s="34"/>
      <c r="FVB142" s="34"/>
      <c r="FVC142" s="34"/>
      <c r="FVD142" s="34"/>
      <c r="FVE142" s="34"/>
      <c r="FVF142" s="34"/>
      <c r="FVG142" s="34"/>
      <c r="FVH142" s="34"/>
      <c r="FVI142" s="34"/>
      <c r="FVJ142" s="34"/>
      <c r="FVK142" s="34"/>
      <c r="FVL142" s="34"/>
      <c r="FVM142" s="34"/>
      <c r="FVN142" s="34"/>
      <c r="FVO142" s="34"/>
      <c r="FVP142" s="34"/>
      <c r="FVQ142" s="34"/>
      <c r="FVR142" s="34"/>
      <c r="FVS142" s="34"/>
      <c r="FVT142" s="34"/>
      <c r="FVU142" s="34"/>
      <c r="FVV142" s="34"/>
      <c r="FVW142" s="34"/>
      <c r="FVX142" s="34"/>
      <c r="FVY142" s="34"/>
      <c r="FVZ142" s="34"/>
      <c r="FWA142" s="34"/>
      <c r="FWB142" s="34"/>
      <c r="FWC142" s="34"/>
      <c r="FWD142" s="34"/>
      <c r="FWE142" s="34"/>
      <c r="FWF142" s="34"/>
      <c r="FWG142" s="34"/>
      <c r="FWH142" s="34"/>
      <c r="FWI142" s="34"/>
      <c r="FWJ142" s="34"/>
      <c r="FWK142" s="34"/>
      <c r="FWL142" s="34"/>
      <c r="FWM142" s="34"/>
      <c r="FWN142" s="34"/>
      <c r="FWO142" s="34"/>
      <c r="FWP142" s="34"/>
      <c r="FWQ142" s="34"/>
      <c r="FWR142" s="34"/>
      <c r="FWS142" s="34"/>
      <c r="FWT142" s="34"/>
      <c r="FWU142" s="34"/>
      <c r="FWV142" s="34"/>
      <c r="FWW142" s="34"/>
      <c r="FWX142" s="34"/>
      <c r="FWY142" s="34"/>
      <c r="FWZ142" s="34"/>
      <c r="FXA142" s="34"/>
      <c r="FXB142" s="34"/>
      <c r="FXC142" s="34"/>
      <c r="FXD142" s="34"/>
      <c r="FXE142" s="34"/>
      <c r="FXF142" s="34"/>
      <c r="FXG142" s="34"/>
      <c r="FXH142" s="34"/>
      <c r="FXI142" s="34"/>
      <c r="FXJ142" s="34"/>
      <c r="FXK142" s="34"/>
      <c r="FXL142" s="34"/>
      <c r="FXM142" s="34"/>
      <c r="FXN142" s="34"/>
      <c r="FXO142" s="34"/>
      <c r="FXP142" s="34"/>
      <c r="FXQ142" s="34"/>
      <c r="FXR142" s="34"/>
      <c r="FXS142" s="34"/>
      <c r="FXT142" s="34"/>
      <c r="FXU142" s="34"/>
      <c r="FXV142" s="34"/>
      <c r="FXW142" s="34"/>
      <c r="FXX142" s="34"/>
      <c r="FXY142" s="34"/>
      <c r="FXZ142" s="34"/>
      <c r="FYA142" s="34"/>
      <c r="FYB142" s="34"/>
      <c r="FYC142" s="34"/>
      <c r="FYD142" s="34"/>
      <c r="FYE142" s="34"/>
      <c r="FYF142" s="34"/>
      <c r="FYG142" s="34"/>
      <c r="FYH142" s="34"/>
      <c r="FYI142" s="34"/>
      <c r="FYJ142" s="34"/>
      <c r="FYK142" s="34"/>
      <c r="FYL142" s="34"/>
      <c r="FYM142" s="34"/>
      <c r="FYN142" s="34"/>
      <c r="FYO142" s="34"/>
      <c r="FYP142" s="34"/>
      <c r="FYQ142" s="34"/>
      <c r="FYR142" s="34"/>
      <c r="FYS142" s="34"/>
      <c r="FYT142" s="34"/>
      <c r="FYU142" s="34"/>
      <c r="FYV142" s="34"/>
      <c r="FYW142" s="34"/>
      <c r="FYX142" s="34"/>
      <c r="FYY142" s="34"/>
      <c r="FYZ142" s="34"/>
      <c r="FZA142" s="34"/>
      <c r="FZB142" s="34"/>
      <c r="FZC142" s="34"/>
      <c r="FZD142" s="34"/>
      <c r="FZE142" s="34"/>
      <c r="FZF142" s="34"/>
      <c r="FZG142" s="34"/>
      <c r="FZH142" s="34"/>
      <c r="FZI142" s="34"/>
      <c r="FZJ142" s="34"/>
      <c r="FZK142" s="34"/>
      <c r="FZL142" s="34"/>
      <c r="FZM142" s="34"/>
      <c r="FZN142" s="34"/>
      <c r="FZO142" s="34"/>
      <c r="FZP142" s="34"/>
      <c r="FZQ142" s="34"/>
      <c r="FZR142" s="34"/>
      <c r="FZS142" s="34"/>
      <c r="FZT142" s="34"/>
      <c r="FZU142" s="34"/>
      <c r="FZV142" s="34"/>
      <c r="FZW142" s="34"/>
      <c r="FZX142" s="34"/>
      <c r="FZY142" s="34"/>
      <c r="FZZ142" s="34"/>
      <c r="GAA142" s="34"/>
      <c r="GAB142" s="34"/>
      <c r="GAC142" s="34"/>
      <c r="GAD142" s="34"/>
      <c r="GAE142" s="34"/>
      <c r="GAF142" s="34"/>
      <c r="GAG142" s="34"/>
      <c r="GAH142" s="34"/>
      <c r="GAI142" s="34"/>
      <c r="GAJ142" s="34"/>
      <c r="GAK142" s="34"/>
      <c r="GAL142" s="34"/>
      <c r="GAM142" s="34"/>
      <c r="GAN142" s="34"/>
      <c r="GAO142" s="34"/>
      <c r="GAP142" s="34"/>
      <c r="GAQ142" s="34"/>
      <c r="GAR142" s="34"/>
      <c r="GAS142" s="34"/>
      <c r="GAT142" s="34"/>
      <c r="GAU142" s="34"/>
      <c r="GAV142" s="34"/>
      <c r="GAW142" s="34"/>
      <c r="GAX142" s="34"/>
      <c r="GAY142" s="34"/>
      <c r="GAZ142" s="34"/>
      <c r="GBA142" s="34"/>
      <c r="GBB142" s="34"/>
      <c r="GBC142" s="34"/>
      <c r="GBD142" s="34"/>
      <c r="GBE142" s="34"/>
      <c r="GBF142" s="34"/>
      <c r="GBG142" s="34"/>
      <c r="GBH142" s="34"/>
      <c r="GBI142" s="34"/>
      <c r="GBJ142" s="34"/>
      <c r="GBK142" s="34"/>
      <c r="GBL142" s="34"/>
      <c r="GBM142" s="34"/>
      <c r="GBN142" s="34"/>
      <c r="GBO142" s="34"/>
      <c r="GBP142" s="34"/>
      <c r="GBQ142" s="34"/>
      <c r="GBR142" s="34"/>
      <c r="GBS142" s="34"/>
      <c r="GBT142" s="34"/>
      <c r="GBU142" s="34"/>
      <c r="GBV142" s="34"/>
      <c r="GBW142" s="34"/>
      <c r="GBX142" s="34"/>
      <c r="GBY142" s="34"/>
      <c r="GBZ142" s="34"/>
      <c r="GCA142" s="34"/>
      <c r="GCB142" s="34"/>
      <c r="GCC142" s="34"/>
      <c r="GCD142" s="34"/>
      <c r="GCE142" s="34"/>
      <c r="GCF142" s="34"/>
      <c r="GCG142" s="34"/>
      <c r="GCH142" s="34"/>
      <c r="GCI142" s="34"/>
      <c r="GCJ142" s="34"/>
      <c r="GCK142" s="34"/>
      <c r="GCL142" s="34"/>
      <c r="GCM142" s="34"/>
      <c r="GCN142" s="34"/>
      <c r="GCO142" s="34"/>
      <c r="GCP142" s="34"/>
      <c r="GCQ142" s="34"/>
      <c r="GCR142" s="34"/>
      <c r="GCS142" s="34"/>
      <c r="GCT142" s="34"/>
      <c r="GCU142" s="34"/>
      <c r="GCV142" s="34"/>
      <c r="GCW142" s="34"/>
      <c r="GCX142" s="34"/>
      <c r="GCY142" s="34"/>
      <c r="GCZ142" s="34"/>
      <c r="GDA142" s="34"/>
      <c r="GDB142" s="34"/>
      <c r="GDC142" s="34"/>
      <c r="GDD142" s="34"/>
      <c r="GDE142" s="34"/>
      <c r="GDF142" s="34"/>
      <c r="GDG142" s="34"/>
      <c r="GDH142" s="34"/>
      <c r="GDI142" s="34"/>
      <c r="GDJ142" s="34"/>
      <c r="GDK142" s="34"/>
      <c r="GDL142" s="34"/>
      <c r="GDM142" s="34"/>
      <c r="GDN142" s="34"/>
      <c r="GDO142" s="34"/>
      <c r="GDP142" s="34"/>
      <c r="GDQ142" s="34"/>
      <c r="GDR142" s="34"/>
      <c r="GDS142" s="34"/>
      <c r="GDT142" s="34"/>
      <c r="GDU142" s="34"/>
      <c r="GDV142" s="34"/>
      <c r="GDW142" s="34"/>
      <c r="GDX142" s="34"/>
      <c r="GDY142" s="34"/>
      <c r="GDZ142" s="34"/>
      <c r="GEA142" s="34"/>
      <c r="GEB142" s="34"/>
      <c r="GEC142" s="34"/>
      <c r="GED142" s="34"/>
      <c r="GEE142" s="34"/>
      <c r="GEF142" s="34"/>
      <c r="GEG142" s="34"/>
      <c r="GEH142" s="34"/>
      <c r="GEI142" s="34"/>
      <c r="GEJ142" s="34"/>
      <c r="GEK142" s="34"/>
      <c r="GEL142" s="34"/>
      <c r="GEM142" s="34"/>
      <c r="GEN142" s="34"/>
      <c r="GEO142" s="34"/>
      <c r="GEP142" s="34"/>
      <c r="GEQ142" s="34"/>
      <c r="GER142" s="34"/>
      <c r="GES142" s="34"/>
      <c r="GET142" s="34"/>
      <c r="GEU142" s="34"/>
      <c r="GEV142" s="34"/>
      <c r="GEW142" s="34"/>
      <c r="GEX142" s="34"/>
      <c r="GEY142" s="34"/>
      <c r="GEZ142" s="34"/>
      <c r="GFA142" s="34"/>
      <c r="GFB142" s="34"/>
      <c r="GFC142" s="34"/>
      <c r="GFD142" s="34"/>
      <c r="GFE142" s="34"/>
      <c r="GFF142" s="34"/>
      <c r="GFG142" s="34"/>
      <c r="GFH142" s="34"/>
      <c r="GFI142" s="34"/>
      <c r="GFJ142" s="34"/>
      <c r="GFK142" s="34"/>
      <c r="GFL142" s="34"/>
      <c r="GFM142" s="34"/>
      <c r="GFN142" s="34"/>
      <c r="GFO142" s="34"/>
      <c r="GFP142" s="34"/>
      <c r="GFQ142" s="34"/>
      <c r="GFR142" s="34"/>
      <c r="GFS142" s="34"/>
      <c r="GFT142" s="34"/>
      <c r="GFU142" s="34"/>
      <c r="GFV142" s="34"/>
      <c r="GFW142" s="34"/>
      <c r="GFX142" s="34"/>
      <c r="GFY142" s="34"/>
      <c r="GFZ142" s="34"/>
      <c r="GGA142" s="34"/>
      <c r="GGB142" s="34"/>
      <c r="GGC142" s="34"/>
      <c r="GGD142" s="34"/>
      <c r="GGE142" s="34"/>
      <c r="GGF142" s="34"/>
      <c r="GGG142" s="34"/>
      <c r="GGH142" s="34"/>
      <c r="GGI142" s="34"/>
      <c r="GGJ142" s="34"/>
      <c r="GGK142" s="34"/>
      <c r="GGL142" s="34"/>
      <c r="GGM142" s="34"/>
      <c r="GGN142" s="34"/>
      <c r="GGO142" s="34"/>
      <c r="GGP142" s="34"/>
      <c r="GGQ142" s="34"/>
      <c r="GGR142" s="34"/>
      <c r="GGS142" s="34"/>
      <c r="GGT142" s="34"/>
      <c r="GGU142" s="34"/>
      <c r="GGV142" s="34"/>
      <c r="GGW142" s="34"/>
      <c r="GGX142" s="34"/>
      <c r="GGY142" s="34"/>
      <c r="GGZ142" s="34"/>
      <c r="GHA142" s="34"/>
      <c r="GHB142" s="34"/>
      <c r="GHC142" s="34"/>
      <c r="GHD142" s="34"/>
      <c r="GHE142" s="34"/>
      <c r="GHF142" s="34"/>
      <c r="GHG142" s="34"/>
      <c r="GHH142" s="34"/>
      <c r="GHI142" s="34"/>
      <c r="GHJ142" s="34"/>
      <c r="GHK142" s="34"/>
      <c r="GHL142" s="34"/>
      <c r="GHM142" s="34"/>
      <c r="GHN142" s="34"/>
      <c r="GHO142" s="34"/>
      <c r="GHP142" s="34"/>
      <c r="GHQ142" s="34"/>
      <c r="GHR142" s="34"/>
      <c r="GHS142" s="34"/>
      <c r="GHT142" s="34"/>
      <c r="GHU142" s="34"/>
      <c r="GHV142" s="34"/>
      <c r="GHW142" s="34"/>
      <c r="GHX142" s="34"/>
      <c r="GHY142" s="34"/>
      <c r="GHZ142" s="34"/>
      <c r="GIA142" s="34"/>
      <c r="GIB142" s="34"/>
      <c r="GIC142" s="34"/>
      <c r="GID142" s="34"/>
      <c r="GIE142" s="34"/>
      <c r="GIF142" s="34"/>
      <c r="GIG142" s="34"/>
      <c r="GIH142" s="34"/>
      <c r="GII142" s="34"/>
      <c r="GIJ142" s="34"/>
      <c r="GIK142" s="34"/>
      <c r="GIL142" s="34"/>
      <c r="GIM142" s="34"/>
      <c r="GIN142" s="34"/>
      <c r="GIO142" s="34"/>
      <c r="GIP142" s="34"/>
      <c r="GIQ142" s="34"/>
      <c r="GIR142" s="34"/>
      <c r="GIS142" s="34"/>
      <c r="GIT142" s="34"/>
      <c r="GIU142" s="34"/>
      <c r="GIV142" s="34"/>
      <c r="GIW142" s="34"/>
      <c r="GIX142" s="34"/>
      <c r="GIY142" s="34"/>
      <c r="GIZ142" s="34"/>
      <c r="GJA142" s="34"/>
      <c r="GJB142" s="34"/>
      <c r="GJC142" s="34"/>
      <c r="GJD142" s="34"/>
      <c r="GJE142" s="34"/>
      <c r="GJF142" s="34"/>
      <c r="GJG142" s="34"/>
      <c r="GJH142" s="34"/>
      <c r="GJI142" s="34"/>
      <c r="GJJ142" s="34"/>
      <c r="GJK142" s="34"/>
      <c r="GJL142" s="34"/>
      <c r="GJM142" s="34"/>
      <c r="GJN142" s="34"/>
      <c r="GJO142" s="34"/>
      <c r="GJP142" s="34"/>
      <c r="GJQ142" s="34"/>
      <c r="GJR142" s="34"/>
      <c r="GJS142" s="34"/>
      <c r="GJT142" s="34"/>
      <c r="GJU142" s="34"/>
      <c r="GJV142" s="34"/>
      <c r="GJW142" s="34"/>
      <c r="GJX142" s="34"/>
      <c r="GJY142" s="34"/>
      <c r="GJZ142" s="34"/>
      <c r="GKA142" s="34"/>
      <c r="GKB142" s="34"/>
      <c r="GKC142" s="34"/>
      <c r="GKD142" s="34"/>
      <c r="GKE142" s="34"/>
      <c r="GKF142" s="34"/>
      <c r="GKG142" s="34"/>
      <c r="GKH142" s="34"/>
      <c r="GKI142" s="34"/>
      <c r="GKJ142" s="34"/>
      <c r="GKK142" s="34"/>
      <c r="GKL142" s="34"/>
      <c r="GKM142" s="34"/>
      <c r="GKN142" s="34"/>
      <c r="GKO142" s="34"/>
      <c r="GKP142" s="34"/>
      <c r="GKQ142" s="34"/>
      <c r="GKR142" s="34"/>
      <c r="GKS142" s="34"/>
      <c r="GKT142" s="34"/>
      <c r="GKU142" s="34"/>
      <c r="GKV142" s="34"/>
      <c r="GKW142" s="34"/>
      <c r="GKX142" s="34"/>
      <c r="GKY142" s="34"/>
      <c r="GKZ142" s="34"/>
      <c r="GLA142" s="34"/>
      <c r="GLB142" s="34"/>
      <c r="GLC142" s="34"/>
      <c r="GLD142" s="34"/>
      <c r="GLE142" s="34"/>
      <c r="GLF142" s="34"/>
      <c r="GLG142" s="34"/>
      <c r="GLH142" s="34"/>
      <c r="GLI142" s="34"/>
      <c r="GLJ142" s="34"/>
      <c r="GLK142" s="34"/>
      <c r="GLL142" s="34"/>
      <c r="GLM142" s="34"/>
      <c r="GLN142" s="34"/>
      <c r="GLO142" s="34"/>
      <c r="GLP142" s="34"/>
      <c r="GLQ142" s="34"/>
      <c r="GLR142" s="34"/>
      <c r="GLS142" s="34"/>
      <c r="GLT142" s="34"/>
      <c r="GLU142" s="34"/>
      <c r="GLV142" s="34"/>
      <c r="GLW142" s="34"/>
      <c r="GLX142" s="34"/>
      <c r="GLY142" s="34"/>
      <c r="GLZ142" s="34"/>
      <c r="GMA142" s="34"/>
      <c r="GMB142" s="34"/>
      <c r="GMC142" s="34"/>
      <c r="GMD142" s="34"/>
      <c r="GME142" s="34"/>
      <c r="GMF142" s="34"/>
      <c r="GMG142" s="34"/>
      <c r="GMH142" s="34"/>
      <c r="GMI142" s="34"/>
      <c r="GMJ142" s="34"/>
      <c r="GMK142" s="34"/>
      <c r="GML142" s="34"/>
      <c r="GMM142" s="34"/>
      <c r="GMN142" s="34"/>
      <c r="GMO142" s="34"/>
      <c r="GMP142" s="34"/>
      <c r="GMQ142" s="34"/>
      <c r="GMR142" s="34"/>
      <c r="GMS142" s="34"/>
      <c r="GMT142" s="34"/>
      <c r="GMU142" s="34"/>
      <c r="GMV142" s="34"/>
      <c r="GMW142" s="34"/>
      <c r="GMX142" s="34"/>
      <c r="GMY142" s="34"/>
      <c r="GMZ142" s="34"/>
      <c r="GNA142" s="34"/>
      <c r="GNB142" s="34"/>
      <c r="GNC142" s="34"/>
      <c r="GND142" s="34"/>
      <c r="GNE142" s="34"/>
      <c r="GNF142" s="34"/>
      <c r="GNG142" s="34"/>
      <c r="GNH142" s="34"/>
      <c r="GNI142" s="34"/>
      <c r="GNJ142" s="34"/>
      <c r="GNK142" s="34"/>
      <c r="GNL142" s="34"/>
      <c r="GNM142" s="34"/>
      <c r="GNN142" s="34"/>
      <c r="GNO142" s="34"/>
      <c r="GNP142" s="34"/>
      <c r="GNQ142" s="34"/>
      <c r="GNR142" s="34"/>
      <c r="GNS142" s="34"/>
      <c r="GNT142" s="34"/>
      <c r="GNU142" s="34"/>
      <c r="GNV142" s="34"/>
      <c r="GNW142" s="34"/>
      <c r="GNX142" s="34"/>
      <c r="GNY142" s="34"/>
      <c r="GNZ142" s="34"/>
      <c r="GOA142" s="34"/>
      <c r="GOB142" s="34"/>
      <c r="GOC142" s="34"/>
      <c r="GOD142" s="34"/>
      <c r="GOE142" s="34"/>
      <c r="GOF142" s="34"/>
      <c r="GOG142" s="34"/>
      <c r="GOH142" s="34"/>
      <c r="GOI142" s="34"/>
      <c r="GOJ142" s="34"/>
      <c r="GOK142" s="34"/>
      <c r="GOL142" s="34"/>
      <c r="GOM142" s="34"/>
      <c r="GON142" s="34"/>
      <c r="GOO142" s="34"/>
      <c r="GOP142" s="34"/>
      <c r="GOQ142" s="34"/>
      <c r="GOR142" s="34"/>
      <c r="GOS142" s="34"/>
      <c r="GOT142" s="34"/>
      <c r="GOU142" s="34"/>
      <c r="GOV142" s="34"/>
      <c r="GOW142" s="34"/>
      <c r="GOX142" s="34"/>
      <c r="GOY142" s="34"/>
      <c r="GOZ142" s="34"/>
      <c r="GPA142" s="34"/>
      <c r="GPB142" s="34"/>
      <c r="GPC142" s="34"/>
      <c r="GPD142" s="34"/>
      <c r="GPE142" s="34"/>
      <c r="GPF142" s="34"/>
      <c r="GPG142" s="34"/>
      <c r="GPH142" s="34"/>
      <c r="GPI142" s="34"/>
      <c r="GPJ142" s="34"/>
      <c r="GPK142" s="34"/>
      <c r="GPL142" s="34"/>
      <c r="GPM142" s="34"/>
      <c r="GPN142" s="34"/>
      <c r="GPO142" s="34"/>
      <c r="GPP142" s="34"/>
      <c r="GPQ142" s="34"/>
      <c r="GPR142" s="34"/>
      <c r="GPS142" s="34"/>
      <c r="GPT142" s="34"/>
      <c r="GPU142" s="34"/>
      <c r="GPV142" s="34"/>
      <c r="GPW142" s="34"/>
      <c r="GPX142" s="34"/>
      <c r="GPY142" s="34"/>
      <c r="GPZ142" s="34"/>
      <c r="GQA142" s="34"/>
      <c r="GQB142" s="34"/>
      <c r="GQC142" s="34"/>
      <c r="GQD142" s="34"/>
      <c r="GQE142" s="34"/>
      <c r="GQF142" s="34"/>
      <c r="GQG142" s="34"/>
      <c r="GQH142" s="34"/>
      <c r="GQI142" s="34"/>
      <c r="GQJ142" s="34"/>
      <c r="GQK142" s="34"/>
      <c r="GQL142" s="34"/>
      <c r="GQM142" s="34"/>
      <c r="GQN142" s="34"/>
      <c r="GQO142" s="34"/>
      <c r="GQP142" s="34"/>
      <c r="GQQ142" s="34"/>
      <c r="GQR142" s="34"/>
      <c r="GQS142" s="34"/>
      <c r="GQT142" s="34"/>
      <c r="GQU142" s="34"/>
      <c r="GQV142" s="34"/>
      <c r="GQW142" s="34"/>
      <c r="GQX142" s="34"/>
      <c r="GQY142" s="34"/>
      <c r="GQZ142" s="34"/>
      <c r="GRA142" s="34"/>
      <c r="GRB142" s="34"/>
      <c r="GRC142" s="34"/>
      <c r="GRD142" s="34"/>
      <c r="GRE142" s="34"/>
      <c r="GRF142" s="34"/>
      <c r="GRG142" s="34"/>
      <c r="GRH142" s="34"/>
      <c r="GRI142" s="34"/>
      <c r="GRJ142" s="34"/>
      <c r="GRK142" s="34"/>
      <c r="GRL142" s="34"/>
      <c r="GRM142" s="34"/>
      <c r="GRN142" s="34"/>
      <c r="GRO142" s="34"/>
      <c r="GRP142" s="34"/>
      <c r="GRQ142" s="34"/>
      <c r="GRR142" s="34"/>
      <c r="GRS142" s="34"/>
      <c r="GRT142" s="34"/>
      <c r="GRU142" s="34"/>
      <c r="GRV142" s="34"/>
      <c r="GRW142" s="34"/>
      <c r="GRX142" s="34"/>
      <c r="GRY142" s="34"/>
      <c r="GRZ142" s="34"/>
      <c r="GSA142" s="34"/>
      <c r="GSB142" s="34"/>
      <c r="GSC142" s="34"/>
      <c r="GSD142" s="34"/>
      <c r="GSE142" s="34"/>
      <c r="GSF142" s="34"/>
      <c r="GSG142" s="34"/>
      <c r="GSH142" s="34"/>
      <c r="GSI142" s="34"/>
      <c r="GSJ142" s="34"/>
      <c r="GSK142" s="34"/>
      <c r="GSL142" s="34"/>
      <c r="GSM142" s="34"/>
      <c r="GSN142" s="34"/>
      <c r="GSO142" s="34"/>
      <c r="GSP142" s="34"/>
      <c r="GSQ142" s="34"/>
      <c r="GSR142" s="34"/>
      <c r="GSS142" s="34"/>
      <c r="GST142" s="34"/>
      <c r="GSU142" s="34"/>
      <c r="GSV142" s="34"/>
      <c r="GSW142" s="34"/>
      <c r="GSX142" s="34"/>
      <c r="GSY142" s="34"/>
      <c r="GSZ142" s="34"/>
      <c r="GTA142" s="34"/>
      <c r="GTB142" s="34"/>
      <c r="GTC142" s="34"/>
      <c r="GTD142" s="34"/>
      <c r="GTE142" s="34"/>
      <c r="GTF142" s="34"/>
      <c r="GTG142" s="34"/>
      <c r="GTH142" s="34"/>
      <c r="GTI142" s="34"/>
      <c r="GTJ142" s="34"/>
      <c r="GTK142" s="34"/>
      <c r="GTL142" s="34"/>
      <c r="GTM142" s="34"/>
      <c r="GTN142" s="34"/>
      <c r="GTO142" s="34"/>
      <c r="GTP142" s="34"/>
      <c r="GTQ142" s="34"/>
      <c r="GTR142" s="34"/>
      <c r="GTS142" s="34"/>
      <c r="GTT142" s="34"/>
      <c r="GTU142" s="34"/>
      <c r="GTV142" s="34"/>
      <c r="GTW142" s="34"/>
      <c r="GTX142" s="34"/>
      <c r="GTY142" s="34"/>
      <c r="GTZ142" s="34"/>
      <c r="GUA142" s="34"/>
      <c r="GUB142" s="34"/>
      <c r="GUC142" s="34"/>
      <c r="GUD142" s="34"/>
      <c r="GUE142" s="34"/>
      <c r="GUF142" s="34"/>
      <c r="GUG142" s="34"/>
      <c r="GUH142" s="34"/>
      <c r="GUI142" s="34"/>
      <c r="GUJ142" s="34"/>
      <c r="GUK142" s="34"/>
      <c r="GUL142" s="34"/>
      <c r="GUM142" s="34"/>
      <c r="GUN142" s="34"/>
      <c r="GUO142" s="34"/>
      <c r="GUP142" s="34"/>
      <c r="GUQ142" s="34"/>
      <c r="GUR142" s="34"/>
      <c r="GUS142" s="34"/>
      <c r="GUT142" s="34"/>
      <c r="GUU142" s="34"/>
      <c r="GUV142" s="34"/>
      <c r="GUW142" s="34"/>
      <c r="GUX142" s="34"/>
      <c r="GUY142" s="34"/>
      <c r="GUZ142" s="34"/>
      <c r="GVA142" s="34"/>
      <c r="GVB142" s="34"/>
      <c r="GVC142" s="34"/>
      <c r="GVD142" s="34"/>
      <c r="GVE142" s="34"/>
      <c r="GVF142" s="34"/>
      <c r="GVG142" s="34"/>
      <c r="GVH142" s="34"/>
      <c r="GVI142" s="34"/>
      <c r="GVJ142" s="34"/>
      <c r="GVK142" s="34"/>
      <c r="GVL142" s="34"/>
      <c r="GVM142" s="34"/>
      <c r="GVN142" s="34"/>
      <c r="GVO142" s="34"/>
      <c r="GVP142" s="34"/>
      <c r="GVQ142" s="34"/>
      <c r="GVR142" s="34"/>
      <c r="GVS142" s="34"/>
      <c r="GVT142" s="34"/>
      <c r="GVU142" s="34"/>
      <c r="GVV142" s="34"/>
      <c r="GVW142" s="34"/>
      <c r="GVX142" s="34"/>
      <c r="GVY142" s="34"/>
      <c r="GVZ142" s="34"/>
      <c r="GWA142" s="34"/>
      <c r="GWB142" s="34"/>
      <c r="GWC142" s="34"/>
      <c r="GWD142" s="34"/>
      <c r="GWE142" s="34"/>
      <c r="GWF142" s="34"/>
      <c r="GWG142" s="34"/>
      <c r="GWH142" s="34"/>
      <c r="GWI142" s="34"/>
      <c r="GWJ142" s="34"/>
      <c r="GWK142" s="34"/>
      <c r="GWL142" s="34"/>
      <c r="GWM142" s="34"/>
      <c r="GWN142" s="34"/>
      <c r="GWO142" s="34"/>
      <c r="GWP142" s="34"/>
      <c r="GWQ142" s="34"/>
      <c r="GWR142" s="34"/>
      <c r="GWS142" s="34"/>
      <c r="GWT142" s="34"/>
      <c r="GWU142" s="34"/>
      <c r="GWV142" s="34"/>
      <c r="GWW142" s="34"/>
      <c r="GWX142" s="34"/>
      <c r="GWY142" s="34"/>
      <c r="GWZ142" s="34"/>
      <c r="GXA142" s="34"/>
      <c r="GXB142" s="34"/>
      <c r="GXC142" s="34"/>
      <c r="GXD142" s="34"/>
      <c r="GXE142" s="34"/>
      <c r="GXF142" s="34"/>
      <c r="GXG142" s="34"/>
      <c r="GXH142" s="34"/>
      <c r="GXI142" s="34"/>
      <c r="GXJ142" s="34"/>
      <c r="GXK142" s="34"/>
      <c r="GXL142" s="34"/>
      <c r="GXM142" s="34"/>
      <c r="GXN142" s="34"/>
      <c r="GXO142" s="34"/>
      <c r="GXP142" s="34"/>
      <c r="GXQ142" s="34"/>
      <c r="GXR142" s="34"/>
      <c r="GXS142" s="34"/>
      <c r="GXT142" s="34"/>
      <c r="GXU142" s="34"/>
      <c r="GXV142" s="34"/>
      <c r="GXW142" s="34"/>
      <c r="GXX142" s="34"/>
      <c r="GXY142" s="34"/>
      <c r="GXZ142" s="34"/>
      <c r="GYA142" s="34"/>
      <c r="GYB142" s="34"/>
      <c r="GYC142" s="34"/>
      <c r="GYD142" s="34"/>
      <c r="GYE142" s="34"/>
      <c r="GYF142" s="34"/>
      <c r="GYG142" s="34"/>
      <c r="GYH142" s="34"/>
      <c r="GYI142" s="34"/>
      <c r="GYJ142" s="34"/>
      <c r="GYK142" s="34"/>
      <c r="GYL142" s="34"/>
      <c r="GYM142" s="34"/>
      <c r="GYN142" s="34"/>
      <c r="GYO142" s="34"/>
      <c r="GYP142" s="34"/>
      <c r="GYQ142" s="34"/>
      <c r="GYR142" s="34"/>
      <c r="GYS142" s="34"/>
      <c r="GYT142" s="34"/>
      <c r="GYU142" s="34"/>
      <c r="GYV142" s="34"/>
      <c r="GYW142" s="34"/>
      <c r="GYX142" s="34"/>
      <c r="GYY142" s="34"/>
      <c r="GYZ142" s="34"/>
      <c r="GZA142" s="34"/>
      <c r="GZB142" s="34"/>
      <c r="GZC142" s="34"/>
      <c r="GZD142" s="34"/>
      <c r="GZE142" s="34"/>
      <c r="GZF142" s="34"/>
      <c r="GZG142" s="34"/>
      <c r="GZH142" s="34"/>
      <c r="GZI142" s="34"/>
      <c r="GZJ142" s="34"/>
      <c r="GZK142" s="34"/>
      <c r="GZL142" s="34"/>
      <c r="GZM142" s="34"/>
      <c r="GZN142" s="34"/>
      <c r="GZO142" s="34"/>
      <c r="GZP142" s="34"/>
      <c r="GZQ142" s="34"/>
      <c r="GZR142" s="34"/>
      <c r="GZS142" s="34"/>
      <c r="GZT142" s="34"/>
      <c r="GZU142" s="34"/>
      <c r="GZV142" s="34"/>
      <c r="GZW142" s="34"/>
      <c r="GZX142" s="34"/>
      <c r="GZY142" s="34"/>
      <c r="GZZ142" s="34"/>
      <c r="HAA142" s="34"/>
      <c r="HAB142" s="34"/>
      <c r="HAC142" s="34"/>
      <c r="HAD142" s="34"/>
      <c r="HAE142" s="34"/>
      <c r="HAF142" s="34"/>
      <c r="HAG142" s="34"/>
      <c r="HAH142" s="34"/>
      <c r="HAI142" s="34"/>
      <c r="HAJ142" s="34"/>
      <c r="HAK142" s="34"/>
      <c r="HAL142" s="34"/>
      <c r="HAM142" s="34"/>
      <c r="HAN142" s="34"/>
      <c r="HAO142" s="34"/>
      <c r="HAP142" s="34"/>
      <c r="HAQ142" s="34"/>
      <c r="HAR142" s="34"/>
      <c r="HAS142" s="34"/>
      <c r="HAT142" s="34"/>
      <c r="HAU142" s="34"/>
      <c r="HAV142" s="34"/>
      <c r="HAW142" s="34"/>
      <c r="HAX142" s="34"/>
      <c r="HAY142" s="34"/>
      <c r="HAZ142" s="34"/>
      <c r="HBA142" s="34"/>
      <c r="HBB142" s="34"/>
      <c r="HBC142" s="34"/>
      <c r="HBD142" s="34"/>
      <c r="HBE142" s="34"/>
      <c r="HBF142" s="34"/>
      <c r="HBG142" s="34"/>
      <c r="HBH142" s="34"/>
      <c r="HBI142" s="34"/>
      <c r="HBJ142" s="34"/>
      <c r="HBK142" s="34"/>
      <c r="HBL142" s="34"/>
      <c r="HBM142" s="34"/>
      <c r="HBN142" s="34"/>
      <c r="HBO142" s="34"/>
      <c r="HBP142" s="34"/>
      <c r="HBQ142" s="34"/>
      <c r="HBR142" s="34"/>
      <c r="HBS142" s="34"/>
      <c r="HBT142" s="34"/>
      <c r="HBU142" s="34"/>
      <c r="HBV142" s="34"/>
      <c r="HBW142" s="34"/>
      <c r="HBX142" s="34"/>
      <c r="HBY142" s="34"/>
      <c r="HBZ142" s="34"/>
      <c r="HCA142" s="34"/>
      <c r="HCB142" s="34"/>
      <c r="HCC142" s="34"/>
      <c r="HCD142" s="34"/>
      <c r="HCE142" s="34"/>
      <c r="HCF142" s="34"/>
      <c r="HCG142" s="34"/>
      <c r="HCH142" s="34"/>
      <c r="HCI142" s="34"/>
      <c r="HCJ142" s="34"/>
      <c r="HCK142" s="34"/>
      <c r="HCL142" s="34"/>
      <c r="HCM142" s="34"/>
      <c r="HCN142" s="34"/>
      <c r="HCO142" s="34"/>
      <c r="HCP142" s="34"/>
      <c r="HCQ142" s="34"/>
      <c r="HCR142" s="34"/>
      <c r="HCS142" s="34"/>
      <c r="HCT142" s="34"/>
      <c r="HCU142" s="34"/>
      <c r="HCV142" s="34"/>
      <c r="HCW142" s="34"/>
      <c r="HCX142" s="34"/>
      <c r="HCY142" s="34"/>
      <c r="HCZ142" s="34"/>
      <c r="HDA142" s="34"/>
      <c r="HDB142" s="34"/>
      <c r="HDC142" s="34"/>
      <c r="HDD142" s="34"/>
      <c r="HDE142" s="34"/>
      <c r="HDF142" s="34"/>
      <c r="HDG142" s="34"/>
      <c r="HDH142" s="34"/>
      <c r="HDI142" s="34"/>
      <c r="HDJ142" s="34"/>
      <c r="HDK142" s="34"/>
      <c r="HDL142" s="34"/>
      <c r="HDM142" s="34"/>
      <c r="HDN142" s="34"/>
      <c r="HDO142" s="34"/>
      <c r="HDP142" s="34"/>
      <c r="HDQ142" s="34"/>
      <c r="HDR142" s="34"/>
      <c r="HDS142" s="34"/>
      <c r="HDT142" s="34"/>
      <c r="HDU142" s="34"/>
      <c r="HDV142" s="34"/>
      <c r="HDW142" s="34"/>
      <c r="HDX142" s="34"/>
      <c r="HDY142" s="34"/>
      <c r="HDZ142" s="34"/>
      <c r="HEA142" s="34"/>
      <c r="HEB142" s="34"/>
      <c r="HEC142" s="34"/>
      <c r="HED142" s="34"/>
      <c r="HEE142" s="34"/>
      <c r="HEF142" s="34"/>
      <c r="HEG142" s="34"/>
      <c r="HEH142" s="34"/>
      <c r="HEI142" s="34"/>
      <c r="HEJ142" s="34"/>
      <c r="HEK142" s="34"/>
      <c r="HEL142" s="34"/>
      <c r="HEM142" s="34"/>
      <c r="HEN142" s="34"/>
      <c r="HEO142" s="34"/>
      <c r="HEP142" s="34"/>
      <c r="HEQ142" s="34"/>
      <c r="HER142" s="34"/>
      <c r="HES142" s="34"/>
      <c r="HET142" s="34"/>
      <c r="HEU142" s="34"/>
      <c r="HEV142" s="34"/>
      <c r="HEW142" s="34"/>
      <c r="HEX142" s="34"/>
      <c r="HEY142" s="34"/>
      <c r="HEZ142" s="34"/>
      <c r="HFA142" s="34"/>
      <c r="HFB142" s="34"/>
      <c r="HFC142" s="34"/>
      <c r="HFD142" s="34"/>
      <c r="HFE142" s="34"/>
      <c r="HFF142" s="34"/>
      <c r="HFG142" s="34"/>
      <c r="HFH142" s="34"/>
      <c r="HFI142" s="34"/>
      <c r="HFJ142" s="34"/>
      <c r="HFK142" s="34"/>
      <c r="HFL142" s="34"/>
      <c r="HFM142" s="34"/>
      <c r="HFN142" s="34"/>
      <c r="HFO142" s="34"/>
      <c r="HFP142" s="34"/>
      <c r="HFQ142" s="34"/>
      <c r="HFR142" s="34"/>
      <c r="HFS142" s="34"/>
      <c r="HFT142" s="34"/>
      <c r="HFU142" s="34"/>
      <c r="HFV142" s="34"/>
      <c r="HFW142" s="34"/>
      <c r="HFX142" s="34"/>
      <c r="HFY142" s="34"/>
      <c r="HFZ142" s="34"/>
      <c r="HGA142" s="34"/>
      <c r="HGB142" s="34"/>
      <c r="HGC142" s="34"/>
      <c r="HGD142" s="34"/>
      <c r="HGE142" s="34"/>
      <c r="HGF142" s="34"/>
      <c r="HGG142" s="34"/>
      <c r="HGH142" s="34"/>
      <c r="HGI142" s="34"/>
      <c r="HGJ142" s="34"/>
      <c r="HGK142" s="34"/>
      <c r="HGL142" s="34"/>
      <c r="HGM142" s="34"/>
      <c r="HGN142" s="34"/>
      <c r="HGO142" s="34"/>
      <c r="HGP142" s="34"/>
      <c r="HGQ142" s="34"/>
      <c r="HGR142" s="34"/>
      <c r="HGS142" s="34"/>
      <c r="HGT142" s="34"/>
      <c r="HGU142" s="34"/>
      <c r="HGV142" s="34"/>
      <c r="HGW142" s="34"/>
      <c r="HGX142" s="34"/>
      <c r="HGY142" s="34"/>
      <c r="HGZ142" s="34"/>
      <c r="HHA142" s="34"/>
      <c r="HHB142" s="34"/>
      <c r="HHC142" s="34"/>
      <c r="HHD142" s="34"/>
      <c r="HHE142" s="34"/>
      <c r="HHF142" s="34"/>
      <c r="HHG142" s="34"/>
      <c r="HHH142" s="34"/>
      <c r="HHI142" s="34"/>
      <c r="HHJ142" s="34"/>
      <c r="HHK142" s="34"/>
      <c r="HHL142" s="34"/>
      <c r="HHM142" s="34"/>
      <c r="HHN142" s="34"/>
      <c r="HHO142" s="34"/>
      <c r="HHP142" s="34"/>
      <c r="HHQ142" s="34"/>
      <c r="HHR142" s="34"/>
      <c r="HHS142" s="34"/>
      <c r="HHT142" s="34"/>
      <c r="HHU142" s="34"/>
      <c r="HHV142" s="34"/>
      <c r="HHW142" s="34"/>
      <c r="HHX142" s="34"/>
      <c r="HHY142" s="34"/>
      <c r="HHZ142" s="34"/>
      <c r="HIA142" s="34"/>
      <c r="HIB142" s="34"/>
      <c r="HIC142" s="34"/>
      <c r="HID142" s="34"/>
      <c r="HIE142" s="34"/>
      <c r="HIF142" s="34"/>
      <c r="HIG142" s="34"/>
      <c r="HIH142" s="34"/>
      <c r="HII142" s="34"/>
      <c r="HIJ142" s="34"/>
      <c r="HIK142" s="34"/>
      <c r="HIL142" s="34"/>
      <c r="HIM142" s="34"/>
      <c r="HIN142" s="34"/>
      <c r="HIO142" s="34"/>
      <c r="HIP142" s="34"/>
      <c r="HIQ142" s="34"/>
      <c r="HIR142" s="34"/>
      <c r="HIS142" s="34"/>
      <c r="HIT142" s="34"/>
      <c r="HIU142" s="34"/>
      <c r="HIV142" s="34"/>
      <c r="HIW142" s="34"/>
      <c r="HIX142" s="34"/>
      <c r="HIY142" s="34"/>
      <c r="HIZ142" s="34"/>
      <c r="HJA142" s="34"/>
      <c r="HJB142" s="34"/>
      <c r="HJC142" s="34"/>
      <c r="HJD142" s="34"/>
      <c r="HJE142" s="34"/>
      <c r="HJF142" s="34"/>
      <c r="HJG142" s="34"/>
      <c r="HJH142" s="34"/>
      <c r="HJI142" s="34"/>
      <c r="HJJ142" s="34"/>
      <c r="HJK142" s="34"/>
      <c r="HJL142" s="34"/>
      <c r="HJM142" s="34"/>
      <c r="HJN142" s="34"/>
      <c r="HJO142" s="34"/>
      <c r="HJP142" s="34"/>
      <c r="HJQ142" s="34"/>
      <c r="HJR142" s="34"/>
      <c r="HJS142" s="34"/>
      <c r="HJT142" s="34"/>
      <c r="HJU142" s="34"/>
      <c r="HJV142" s="34"/>
      <c r="HJW142" s="34"/>
      <c r="HJX142" s="34"/>
      <c r="HJY142" s="34"/>
      <c r="HJZ142" s="34"/>
      <c r="HKA142" s="34"/>
      <c r="HKB142" s="34"/>
      <c r="HKC142" s="34"/>
      <c r="HKD142" s="34"/>
      <c r="HKE142" s="34"/>
      <c r="HKF142" s="34"/>
      <c r="HKG142" s="34"/>
      <c r="HKH142" s="34"/>
      <c r="HKI142" s="34"/>
      <c r="HKJ142" s="34"/>
      <c r="HKK142" s="34"/>
      <c r="HKL142" s="34"/>
      <c r="HKM142" s="34"/>
      <c r="HKN142" s="34"/>
      <c r="HKO142" s="34"/>
      <c r="HKP142" s="34"/>
      <c r="HKQ142" s="34"/>
      <c r="HKR142" s="34"/>
      <c r="HKS142" s="34"/>
      <c r="HKT142" s="34"/>
      <c r="HKU142" s="34"/>
      <c r="HKV142" s="34"/>
      <c r="HKW142" s="34"/>
      <c r="HKX142" s="34"/>
      <c r="HKY142" s="34"/>
      <c r="HKZ142" s="34"/>
      <c r="HLA142" s="34"/>
      <c r="HLB142" s="34"/>
      <c r="HLC142" s="34"/>
      <c r="HLD142" s="34"/>
      <c r="HLE142" s="34"/>
      <c r="HLF142" s="34"/>
      <c r="HLG142" s="34"/>
      <c r="HLH142" s="34"/>
      <c r="HLI142" s="34"/>
      <c r="HLJ142" s="34"/>
      <c r="HLK142" s="34"/>
      <c r="HLL142" s="34"/>
      <c r="HLM142" s="34"/>
      <c r="HLN142" s="34"/>
      <c r="HLO142" s="34"/>
      <c r="HLP142" s="34"/>
      <c r="HLQ142" s="34"/>
      <c r="HLR142" s="34"/>
      <c r="HLS142" s="34"/>
      <c r="HLT142" s="34"/>
      <c r="HLU142" s="34"/>
      <c r="HLV142" s="34"/>
      <c r="HLW142" s="34"/>
      <c r="HLX142" s="34"/>
      <c r="HLY142" s="34"/>
      <c r="HLZ142" s="34"/>
      <c r="HMA142" s="34"/>
      <c r="HMB142" s="34"/>
      <c r="HMC142" s="34"/>
      <c r="HMD142" s="34"/>
      <c r="HME142" s="34"/>
      <c r="HMF142" s="34"/>
      <c r="HMG142" s="34"/>
      <c r="HMH142" s="34"/>
      <c r="HMI142" s="34"/>
      <c r="HMJ142" s="34"/>
      <c r="HMK142" s="34"/>
      <c r="HML142" s="34"/>
      <c r="HMM142" s="34"/>
      <c r="HMN142" s="34"/>
      <c r="HMO142" s="34"/>
      <c r="HMP142" s="34"/>
      <c r="HMQ142" s="34"/>
      <c r="HMR142" s="34"/>
      <c r="HMS142" s="34"/>
      <c r="HMT142" s="34"/>
      <c r="HMU142" s="34"/>
      <c r="HMV142" s="34"/>
      <c r="HMW142" s="34"/>
      <c r="HMX142" s="34"/>
      <c r="HMY142" s="34"/>
      <c r="HMZ142" s="34"/>
      <c r="HNA142" s="34"/>
      <c r="HNB142" s="34"/>
      <c r="HNC142" s="34"/>
      <c r="HND142" s="34"/>
      <c r="HNE142" s="34"/>
      <c r="HNF142" s="34"/>
      <c r="HNG142" s="34"/>
      <c r="HNH142" s="34"/>
      <c r="HNI142" s="34"/>
      <c r="HNJ142" s="34"/>
      <c r="HNK142" s="34"/>
      <c r="HNL142" s="34"/>
      <c r="HNM142" s="34"/>
      <c r="HNN142" s="34"/>
      <c r="HNO142" s="34"/>
      <c r="HNP142" s="34"/>
      <c r="HNQ142" s="34"/>
      <c r="HNR142" s="34"/>
      <c r="HNS142" s="34"/>
      <c r="HNT142" s="34"/>
      <c r="HNU142" s="34"/>
      <c r="HNV142" s="34"/>
      <c r="HNW142" s="34"/>
      <c r="HNX142" s="34"/>
      <c r="HNY142" s="34"/>
      <c r="HNZ142" s="34"/>
      <c r="HOA142" s="34"/>
      <c r="HOB142" s="34"/>
      <c r="HOC142" s="34"/>
      <c r="HOD142" s="34"/>
      <c r="HOE142" s="34"/>
      <c r="HOF142" s="34"/>
      <c r="HOG142" s="34"/>
      <c r="HOH142" s="34"/>
      <c r="HOI142" s="34"/>
      <c r="HOJ142" s="34"/>
      <c r="HOK142" s="34"/>
      <c r="HOL142" s="34"/>
      <c r="HOM142" s="34"/>
      <c r="HON142" s="34"/>
      <c r="HOO142" s="34"/>
      <c r="HOP142" s="34"/>
      <c r="HOQ142" s="34"/>
      <c r="HOR142" s="34"/>
      <c r="HOS142" s="34"/>
      <c r="HOT142" s="34"/>
      <c r="HOU142" s="34"/>
      <c r="HOV142" s="34"/>
      <c r="HOW142" s="34"/>
      <c r="HOX142" s="34"/>
      <c r="HOY142" s="34"/>
      <c r="HOZ142" s="34"/>
      <c r="HPA142" s="34"/>
      <c r="HPB142" s="34"/>
      <c r="HPC142" s="34"/>
      <c r="HPD142" s="34"/>
      <c r="HPE142" s="34"/>
      <c r="HPF142" s="34"/>
      <c r="HPG142" s="34"/>
      <c r="HPH142" s="34"/>
      <c r="HPI142" s="34"/>
      <c r="HPJ142" s="34"/>
      <c r="HPK142" s="34"/>
      <c r="HPL142" s="34"/>
      <c r="HPM142" s="34"/>
      <c r="HPN142" s="34"/>
      <c r="HPO142" s="34"/>
      <c r="HPP142" s="34"/>
      <c r="HPQ142" s="34"/>
      <c r="HPR142" s="34"/>
      <c r="HPS142" s="34"/>
      <c r="HPT142" s="34"/>
      <c r="HPU142" s="34"/>
      <c r="HPV142" s="34"/>
      <c r="HPW142" s="34"/>
      <c r="HPX142" s="34"/>
      <c r="HPY142" s="34"/>
      <c r="HPZ142" s="34"/>
      <c r="HQA142" s="34"/>
      <c r="HQB142" s="34"/>
      <c r="HQC142" s="34"/>
      <c r="HQD142" s="34"/>
      <c r="HQE142" s="34"/>
      <c r="HQF142" s="34"/>
      <c r="HQG142" s="34"/>
      <c r="HQH142" s="34"/>
      <c r="HQI142" s="34"/>
      <c r="HQJ142" s="34"/>
      <c r="HQK142" s="34"/>
      <c r="HQL142" s="34"/>
      <c r="HQM142" s="34"/>
      <c r="HQN142" s="34"/>
      <c r="HQO142" s="34"/>
      <c r="HQP142" s="34"/>
      <c r="HQQ142" s="34"/>
      <c r="HQR142" s="34"/>
      <c r="HQS142" s="34"/>
      <c r="HQT142" s="34"/>
      <c r="HQU142" s="34"/>
      <c r="HQV142" s="34"/>
      <c r="HQW142" s="34"/>
      <c r="HQX142" s="34"/>
      <c r="HQY142" s="34"/>
      <c r="HQZ142" s="34"/>
      <c r="HRA142" s="34"/>
      <c r="HRB142" s="34"/>
      <c r="HRC142" s="34"/>
      <c r="HRD142" s="34"/>
      <c r="HRE142" s="34"/>
      <c r="HRF142" s="34"/>
      <c r="HRG142" s="34"/>
      <c r="HRH142" s="34"/>
      <c r="HRI142" s="34"/>
      <c r="HRJ142" s="34"/>
      <c r="HRK142" s="34"/>
      <c r="HRL142" s="34"/>
      <c r="HRM142" s="34"/>
      <c r="HRN142" s="34"/>
      <c r="HRO142" s="34"/>
      <c r="HRP142" s="34"/>
      <c r="HRQ142" s="34"/>
      <c r="HRR142" s="34"/>
      <c r="HRS142" s="34"/>
      <c r="HRT142" s="34"/>
      <c r="HRU142" s="34"/>
      <c r="HRV142" s="34"/>
      <c r="HRW142" s="34"/>
      <c r="HRX142" s="34"/>
      <c r="HRY142" s="34"/>
      <c r="HRZ142" s="34"/>
      <c r="HSA142" s="34"/>
      <c r="HSB142" s="34"/>
      <c r="HSC142" s="34"/>
      <c r="HSD142" s="34"/>
      <c r="HSE142" s="34"/>
      <c r="HSF142" s="34"/>
      <c r="HSG142" s="34"/>
      <c r="HSH142" s="34"/>
      <c r="HSI142" s="34"/>
      <c r="HSJ142" s="34"/>
      <c r="HSK142" s="34"/>
      <c r="HSL142" s="34"/>
      <c r="HSM142" s="34"/>
      <c r="HSN142" s="34"/>
      <c r="HSO142" s="34"/>
      <c r="HSP142" s="34"/>
      <c r="HSQ142" s="34"/>
      <c r="HSR142" s="34"/>
      <c r="HSS142" s="34"/>
      <c r="HST142" s="34"/>
      <c r="HSU142" s="34"/>
      <c r="HSV142" s="34"/>
      <c r="HSW142" s="34"/>
      <c r="HSX142" s="34"/>
      <c r="HSY142" s="34"/>
      <c r="HSZ142" s="34"/>
      <c r="HTA142" s="34"/>
      <c r="HTB142" s="34"/>
      <c r="HTC142" s="34"/>
      <c r="HTD142" s="34"/>
      <c r="HTE142" s="34"/>
      <c r="HTF142" s="34"/>
      <c r="HTG142" s="34"/>
      <c r="HTH142" s="34"/>
      <c r="HTI142" s="34"/>
      <c r="HTJ142" s="34"/>
      <c r="HTK142" s="34"/>
      <c r="HTL142" s="34"/>
      <c r="HTM142" s="34"/>
      <c r="HTN142" s="34"/>
      <c r="HTO142" s="34"/>
      <c r="HTP142" s="34"/>
      <c r="HTQ142" s="34"/>
      <c r="HTR142" s="34"/>
      <c r="HTS142" s="34"/>
      <c r="HTT142" s="34"/>
      <c r="HTU142" s="34"/>
      <c r="HTV142" s="34"/>
      <c r="HTW142" s="34"/>
      <c r="HTX142" s="34"/>
      <c r="HTY142" s="34"/>
      <c r="HTZ142" s="34"/>
      <c r="HUA142" s="34"/>
      <c r="HUB142" s="34"/>
      <c r="HUC142" s="34"/>
      <c r="HUD142" s="34"/>
      <c r="HUE142" s="34"/>
      <c r="HUF142" s="34"/>
      <c r="HUG142" s="34"/>
      <c r="HUH142" s="34"/>
      <c r="HUI142" s="34"/>
      <c r="HUJ142" s="34"/>
      <c r="HUK142" s="34"/>
      <c r="HUL142" s="34"/>
      <c r="HUM142" s="34"/>
      <c r="HUN142" s="34"/>
      <c r="HUO142" s="34"/>
      <c r="HUP142" s="34"/>
      <c r="HUQ142" s="34"/>
      <c r="HUR142" s="34"/>
      <c r="HUS142" s="34"/>
      <c r="HUT142" s="34"/>
      <c r="HUU142" s="34"/>
      <c r="HUV142" s="34"/>
      <c r="HUW142" s="34"/>
      <c r="HUX142" s="34"/>
      <c r="HUY142" s="34"/>
      <c r="HUZ142" s="34"/>
      <c r="HVA142" s="34"/>
      <c r="HVB142" s="34"/>
      <c r="HVC142" s="34"/>
      <c r="HVD142" s="34"/>
      <c r="HVE142" s="34"/>
      <c r="HVF142" s="34"/>
      <c r="HVG142" s="34"/>
      <c r="HVH142" s="34"/>
      <c r="HVI142" s="34"/>
      <c r="HVJ142" s="34"/>
      <c r="HVK142" s="34"/>
      <c r="HVL142" s="34"/>
      <c r="HVM142" s="34"/>
      <c r="HVN142" s="34"/>
      <c r="HVO142" s="34"/>
      <c r="HVP142" s="34"/>
      <c r="HVQ142" s="34"/>
      <c r="HVR142" s="34"/>
      <c r="HVS142" s="34"/>
      <c r="HVT142" s="34"/>
      <c r="HVU142" s="34"/>
      <c r="HVV142" s="34"/>
      <c r="HVW142" s="34"/>
      <c r="HVX142" s="34"/>
      <c r="HVY142" s="34"/>
      <c r="HVZ142" s="34"/>
      <c r="HWA142" s="34"/>
      <c r="HWB142" s="34"/>
      <c r="HWC142" s="34"/>
      <c r="HWD142" s="34"/>
      <c r="HWE142" s="34"/>
      <c r="HWF142" s="34"/>
      <c r="HWG142" s="34"/>
      <c r="HWH142" s="34"/>
      <c r="HWI142" s="34"/>
      <c r="HWJ142" s="34"/>
      <c r="HWK142" s="34"/>
      <c r="HWL142" s="34"/>
      <c r="HWM142" s="34"/>
      <c r="HWN142" s="34"/>
      <c r="HWO142" s="34"/>
      <c r="HWP142" s="34"/>
      <c r="HWQ142" s="34"/>
      <c r="HWR142" s="34"/>
      <c r="HWS142" s="34"/>
      <c r="HWT142" s="34"/>
      <c r="HWU142" s="34"/>
      <c r="HWV142" s="34"/>
      <c r="HWW142" s="34"/>
      <c r="HWX142" s="34"/>
      <c r="HWY142" s="34"/>
      <c r="HWZ142" s="34"/>
      <c r="HXA142" s="34"/>
      <c r="HXB142" s="34"/>
      <c r="HXC142" s="34"/>
      <c r="HXD142" s="34"/>
      <c r="HXE142" s="34"/>
      <c r="HXF142" s="34"/>
      <c r="HXG142" s="34"/>
      <c r="HXH142" s="34"/>
      <c r="HXI142" s="34"/>
      <c r="HXJ142" s="34"/>
      <c r="HXK142" s="34"/>
      <c r="HXL142" s="34"/>
      <c r="HXM142" s="34"/>
      <c r="HXN142" s="34"/>
      <c r="HXO142" s="34"/>
      <c r="HXP142" s="34"/>
      <c r="HXQ142" s="34"/>
      <c r="HXR142" s="34"/>
      <c r="HXS142" s="34"/>
      <c r="HXT142" s="34"/>
      <c r="HXU142" s="34"/>
      <c r="HXV142" s="34"/>
      <c r="HXW142" s="34"/>
      <c r="HXX142" s="34"/>
      <c r="HXY142" s="34"/>
      <c r="HXZ142" s="34"/>
      <c r="HYA142" s="34"/>
      <c r="HYB142" s="34"/>
      <c r="HYC142" s="34"/>
      <c r="HYD142" s="34"/>
      <c r="HYE142" s="34"/>
      <c r="HYF142" s="34"/>
      <c r="HYG142" s="34"/>
      <c r="HYH142" s="34"/>
      <c r="HYI142" s="34"/>
      <c r="HYJ142" s="34"/>
      <c r="HYK142" s="34"/>
      <c r="HYL142" s="34"/>
      <c r="HYM142" s="34"/>
      <c r="HYN142" s="34"/>
      <c r="HYO142" s="34"/>
      <c r="HYP142" s="34"/>
      <c r="HYQ142" s="34"/>
      <c r="HYR142" s="34"/>
      <c r="HYS142" s="34"/>
      <c r="HYT142" s="34"/>
      <c r="HYU142" s="34"/>
      <c r="HYV142" s="34"/>
      <c r="HYW142" s="34"/>
      <c r="HYX142" s="34"/>
      <c r="HYY142" s="34"/>
      <c r="HYZ142" s="34"/>
      <c r="HZA142" s="34"/>
      <c r="HZB142" s="34"/>
      <c r="HZC142" s="34"/>
      <c r="HZD142" s="34"/>
      <c r="HZE142" s="34"/>
      <c r="HZF142" s="34"/>
      <c r="HZG142" s="34"/>
      <c r="HZH142" s="34"/>
      <c r="HZI142" s="34"/>
      <c r="HZJ142" s="34"/>
      <c r="HZK142" s="34"/>
      <c r="HZL142" s="34"/>
      <c r="HZM142" s="34"/>
      <c r="HZN142" s="34"/>
      <c r="HZO142" s="34"/>
      <c r="HZP142" s="34"/>
      <c r="HZQ142" s="34"/>
      <c r="HZR142" s="34"/>
      <c r="HZS142" s="34"/>
      <c r="HZT142" s="34"/>
      <c r="HZU142" s="34"/>
      <c r="HZV142" s="34"/>
      <c r="HZW142" s="34"/>
      <c r="HZX142" s="34"/>
      <c r="HZY142" s="34"/>
      <c r="HZZ142" s="34"/>
      <c r="IAA142" s="34"/>
      <c r="IAB142" s="34"/>
      <c r="IAC142" s="34"/>
      <c r="IAD142" s="34"/>
      <c r="IAE142" s="34"/>
      <c r="IAF142" s="34"/>
      <c r="IAG142" s="34"/>
      <c r="IAH142" s="34"/>
      <c r="IAI142" s="34"/>
      <c r="IAJ142" s="34"/>
      <c r="IAK142" s="34"/>
      <c r="IAL142" s="34"/>
      <c r="IAM142" s="34"/>
      <c r="IAN142" s="34"/>
      <c r="IAO142" s="34"/>
      <c r="IAP142" s="34"/>
      <c r="IAQ142" s="34"/>
      <c r="IAR142" s="34"/>
      <c r="IAS142" s="34"/>
      <c r="IAT142" s="34"/>
      <c r="IAU142" s="34"/>
      <c r="IAV142" s="34"/>
      <c r="IAW142" s="34"/>
      <c r="IAX142" s="34"/>
      <c r="IAY142" s="34"/>
      <c r="IAZ142" s="34"/>
      <c r="IBA142" s="34"/>
      <c r="IBB142" s="34"/>
      <c r="IBC142" s="34"/>
      <c r="IBD142" s="34"/>
      <c r="IBE142" s="34"/>
      <c r="IBF142" s="34"/>
      <c r="IBG142" s="34"/>
      <c r="IBH142" s="34"/>
      <c r="IBI142" s="34"/>
      <c r="IBJ142" s="34"/>
      <c r="IBK142" s="34"/>
      <c r="IBL142" s="34"/>
      <c r="IBM142" s="34"/>
      <c r="IBN142" s="34"/>
      <c r="IBO142" s="34"/>
      <c r="IBP142" s="34"/>
      <c r="IBQ142" s="34"/>
      <c r="IBR142" s="34"/>
      <c r="IBS142" s="34"/>
      <c r="IBT142" s="34"/>
      <c r="IBU142" s="34"/>
      <c r="IBV142" s="34"/>
      <c r="IBW142" s="34"/>
      <c r="IBX142" s="34"/>
      <c r="IBY142" s="34"/>
      <c r="IBZ142" s="34"/>
      <c r="ICA142" s="34"/>
      <c r="ICB142" s="34"/>
      <c r="ICC142" s="34"/>
      <c r="ICD142" s="34"/>
      <c r="ICE142" s="34"/>
      <c r="ICF142" s="34"/>
      <c r="ICG142" s="34"/>
      <c r="ICH142" s="34"/>
      <c r="ICI142" s="34"/>
      <c r="ICJ142" s="34"/>
      <c r="ICK142" s="34"/>
      <c r="ICL142" s="34"/>
      <c r="ICM142" s="34"/>
      <c r="ICN142" s="34"/>
      <c r="ICO142" s="34"/>
      <c r="ICP142" s="34"/>
      <c r="ICQ142" s="34"/>
      <c r="ICR142" s="34"/>
      <c r="ICS142" s="34"/>
      <c r="ICT142" s="34"/>
      <c r="ICU142" s="34"/>
      <c r="ICV142" s="34"/>
      <c r="ICW142" s="34"/>
      <c r="ICX142" s="34"/>
      <c r="ICY142" s="34"/>
      <c r="ICZ142" s="34"/>
      <c r="IDA142" s="34"/>
      <c r="IDB142" s="34"/>
      <c r="IDC142" s="34"/>
      <c r="IDD142" s="34"/>
      <c r="IDE142" s="34"/>
      <c r="IDF142" s="34"/>
      <c r="IDG142" s="34"/>
      <c r="IDH142" s="34"/>
      <c r="IDI142" s="34"/>
      <c r="IDJ142" s="34"/>
      <c r="IDK142" s="34"/>
      <c r="IDL142" s="34"/>
      <c r="IDM142" s="34"/>
      <c r="IDN142" s="34"/>
      <c r="IDO142" s="34"/>
      <c r="IDP142" s="34"/>
      <c r="IDQ142" s="34"/>
      <c r="IDR142" s="34"/>
      <c r="IDS142" s="34"/>
      <c r="IDT142" s="34"/>
      <c r="IDU142" s="34"/>
      <c r="IDV142" s="34"/>
      <c r="IDW142" s="34"/>
      <c r="IDX142" s="34"/>
      <c r="IDY142" s="34"/>
      <c r="IDZ142" s="34"/>
      <c r="IEA142" s="34"/>
      <c r="IEB142" s="34"/>
      <c r="IEC142" s="34"/>
      <c r="IED142" s="34"/>
      <c r="IEE142" s="34"/>
      <c r="IEF142" s="34"/>
      <c r="IEG142" s="34"/>
      <c r="IEH142" s="34"/>
      <c r="IEI142" s="34"/>
      <c r="IEJ142" s="34"/>
      <c r="IEK142" s="34"/>
      <c r="IEL142" s="34"/>
      <c r="IEM142" s="34"/>
      <c r="IEN142" s="34"/>
      <c r="IEO142" s="34"/>
      <c r="IEP142" s="34"/>
      <c r="IEQ142" s="34"/>
      <c r="IER142" s="34"/>
      <c r="IES142" s="34"/>
      <c r="IET142" s="34"/>
      <c r="IEU142" s="34"/>
      <c r="IEV142" s="34"/>
      <c r="IEW142" s="34"/>
      <c r="IEX142" s="34"/>
      <c r="IEY142" s="34"/>
      <c r="IEZ142" s="34"/>
      <c r="IFA142" s="34"/>
      <c r="IFB142" s="34"/>
      <c r="IFC142" s="34"/>
      <c r="IFD142" s="34"/>
      <c r="IFE142" s="34"/>
      <c r="IFF142" s="34"/>
      <c r="IFG142" s="34"/>
      <c r="IFH142" s="34"/>
      <c r="IFI142" s="34"/>
      <c r="IFJ142" s="34"/>
      <c r="IFK142" s="34"/>
      <c r="IFL142" s="34"/>
      <c r="IFM142" s="34"/>
      <c r="IFN142" s="34"/>
      <c r="IFO142" s="34"/>
      <c r="IFP142" s="34"/>
      <c r="IFQ142" s="34"/>
      <c r="IFR142" s="34"/>
      <c r="IFS142" s="34"/>
      <c r="IFT142" s="34"/>
      <c r="IFU142" s="34"/>
      <c r="IFV142" s="34"/>
      <c r="IFW142" s="34"/>
      <c r="IFX142" s="34"/>
      <c r="IFY142" s="34"/>
      <c r="IFZ142" s="34"/>
      <c r="IGA142" s="34"/>
      <c r="IGB142" s="34"/>
      <c r="IGC142" s="34"/>
      <c r="IGD142" s="34"/>
      <c r="IGE142" s="34"/>
      <c r="IGF142" s="34"/>
      <c r="IGG142" s="34"/>
      <c r="IGH142" s="34"/>
      <c r="IGI142" s="34"/>
      <c r="IGJ142" s="34"/>
      <c r="IGK142" s="34"/>
      <c r="IGL142" s="34"/>
      <c r="IGM142" s="34"/>
      <c r="IGN142" s="34"/>
      <c r="IGO142" s="34"/>
      <c r="IGP142" s="34"/>
      <c r="IGQ142" s="34"/>
      <c r="IGR142" s="34"/>
      <c r="IGS142" s="34"/>
      <c r="IGT142" s="34"/>
      <c r="IGU142" s="34"/>
      <c r="IGV142" s="34"/>
      <c r="IGW142" s="34"/>
      <c r="IGX142" s="34"/>
      <c r="IGY142" s="34"/>
      <c r="IGZ142" s="34"/>
      <c r="IHA142" s="34"/>
      <c r="IHB142" s="34"/>
      <c r="IHC142" s="34"/>
      <c r="IHD142" s="34"/>
      <c r="IHE142" s="34"/>
      <c r="IHF142" s="34"/>
      <c r="IHG142" s="34"/>
      <c r="IHH142" s="34"/>
      <c r="IHI142" s="34"/>
      <c r="IHJ142" s="34"/>
      <c r="IHK142" s="34"/>
      <c r="IHL142" s="34"/>
      <c r="IHM142" s="34"/>
      <c r="IHN142" s="34"/>
      <c r="IHO142" s="34"/>
      <c r="IHP142" s="34"/>
      <c r="IHQ142" s="34"/>
      <c r="IHR142" s="34"/>
      <c r="IHS142" s="34"/>
      <c r="IHT142" s="34"/>
      <c r="IHU142" s="34"/>
      <c r="IHV142" s="34"/>
      <c r="IHW142" s="34"/>
      <c r="IHX142" s="34"/>
      <c r="IHY142" s="34"/>
      <c r="IHZ142" s="34"/>
      <c r="IIA142" s="34"/>
      <c r="IIB142" s="34"/>
      <c r="IIC142" s="34"/>
      <c r="IID142" s="34"/>
      <c r="IIE142" s="34"/>
      <c r="IIF142" s="34"/>
      <c r="IIG142" s="34"/>
      <c r="IIH142" s="34"/>
      <c r="III142" s="34"/>
      <c r="IIJ142" s="34"/>
      <c r="IIK142" s="34"/>
      <c r="IIL142" s="34"/>
      <c r="IIM142" s="34"/>
      <c r="IIN142" s="34"/>
      <c r="IIO142" s="34"/>
      <c r="IIP142" s="34"/>
      <c r="IIQ142" s="34"/>
      <c r="IIR142" s="34"/>
      <c r="IIS142" s="34"/>
      <c r="IIT142" s="34"/>
      <c r="IIU142" s="34"/>
      <c r="IIV142" s="34"/>
      <c r="IIW142" s="34"/>
      <c r="IIX142" s="34"/>
      <c r="IIY142" s="34"/>
      <c r="IIZ142" s="34"/>
      <c r="IJA142" s="34"/>
      <c r="IJB142" s="34"/>
      <c r="IJC142" s="34"/>
      <c r="IJD142" s="34"/>
      <c r="IJE142" s="34"/>
      <c r="IJF142" s="34"/>
      <c r="IJG142" s="34"/>
      <c r="IJH142" s="34"/>
      <c r="IJI142" s="34"/>
      <c r="IJJ142" s="34"/>
      <c r="IJK142" s="34"/>
      <c r="IJL142" s="34"/>
      <c r="IJM142" s="34"/>
      <c r="IJN142" s="34"/>
      <c r="IJO142" s="34"/>
      <c r="IJP142" s="34"/>
      <c r="IJQ142" s="34"/>
      <c r="IJR142" s="34"/>
      <c r="IJS142" s="34"/>
      <c r="IJT142" s="34"/>
      <c r="IJU142" s="34"/>
      <c r="IJV142" s="34"/>
      <c r="IJW142" s="34"/>
      <c r="IJX142" s="34"/>
      <c r="IJY142" s="34"/>
      <c r="IJZ142" s="34"/>
      <c r="IKA142" s="34"/>
      <c r="IKB142" s="34"/>
      <c r="IKC142" s="34"/>
      <c r="IKD142" s="34"/>
      <c r="IKE142" s="34"/>
      <c r="IKF142" s="34"/>
      <c r="IKG142" s="34"/>
      <c r="IKH142" s="34"/>
      <c r="IKI142" s="34"/>
      <c r="IKJ142" s="34"/>
      <c r="IKK142" s="34"/>
      <c r="IKL142" s="34"/>
      <c r="IKM142" s="34"/>
      <c r="IKN142" s="34"/>
      <c r="IKO142" s="34"/>
      <c r="IKP142" s="34"/>
      <c r="IKQ142" s="34"/>
      <c r="IKR142" s="34"/>
      <c r="IKS142" s="34"/>
      <c r="IKT142" s="34"/>
      <c r="IKU142" s="34"/>
      <c r="IKV142" s="34"/>
      <c r="IKW142" s="34"/>
      <c r="IKX142" s="34"/>
      <c r="IKY142" s="34"/>
      <c r="IKZ142" s="34"/>
      <c r="ILA142" s="34"/>
      <c r="ILB142" s="34"/>
      <c r="ILC142" s="34"/>
      <c r="ILD142" s="34"/>
      <c r="ILE142" s="34"/>
      <c r="ILF142" s="34"/>
      <c r="ILG142" s="34"/>
      <c r="ILH142" s="34"/>
      <c r="ILI142" s="34"/>
      <c r="ILJ142" s="34"/>
      <c r="ILK142" s="34"/>
      <c r="ILL142" s="34"/>
      <c r="ILM142" s="34"/>
      <c r="ILN142" s="34"/>
      <c r="ILO142" s="34"/>
      <c r="ILP142" s="34"/>
      <c r="ILQ142" s="34"/>
      <c r="ILR142" s="34"/>
      <c r="ILS142" s="34"/>
      <c r="ILT142" s="34"/>
      <c r="ILU142" s="34"/>
      <c r="ILV142" s="34"/>
      <c r="ILW142" s="34"/>
      <c r="ILX142" s="34"/>
      <c r="ILY142" s="34"/>
      <c r="ILZ142" s="34"/>
      <c r="IMA142" s="34"/>
      <c r="IMB142" s="34"/>
      <c r="IMC142" s="34"/>
      <c r="IMD142" s="34"/>
      <c r="IME142" s="34"/>
      <c r="IMF142" s="34"/>
      <c r="IMG142" s="34"/>
      <c r="IMH142" s="34"/>
      <c r="IMI142" s="34"/>
      <c r="IMJ142" s="34"/>
      <c r="IMK142" s="34"/>
      <c r="IML142" s="34"/>
      <c r="IMM142" s="34"/>
      <c r="IMN142" s="34"/>
      <c r="IMO142" s="34"/>
      <c r="IMP142" s="34"/>
      <c r="IMQ142" s="34"/>
      <c r="IMR142" s="34"/>
      <c r="IMS142" s="34"/>
      <c r="IMT142" s="34"/>
      <c r="IMU142" s="34"/>
      <c r="IMV142" s="34"/>
      <c r="IMW142" s="34"/>
      <c r="IMX142" s="34"/>
      <c r="IMY142" s="34"/>
      <c r="IMZ142" s="34"/>
      <c r="INA142" s="34"/>
      <c r="INB142" s="34"/>
      <c r="INC142" s="34"/>
      <c r="IND142" s="34"/>
      <c r="INE142" s="34"/>
      <c r="INF142" s="34"/>
      <c r="ING142" s="34"/>
      <c r="INH142" s="34"/>
      <c r="INI142" s="34"/>
      <c r="INJ142" s="34"/>
      <c r="INK142" s="34"/>
      <c r="INL142" s="34"/>
      <c r="INM142" s="34"/>
      <c r="INN142" s="34"/>
      <c r="INO142" s="34"/>
      <c r="INP142" s="34"/>
      <c r="INQ142" s="34"/>
      <c r="INR142" s="34"/>
      <c r="INS142" s="34"/>
      <c r="INT142" s="34"/>
      <c r="INU142" s="34"/>
      <c r="INV142" s="34"/>
      <c r="INW142" s="34"/>
      <c r="INX142" s="34"/>
      <c r="INY142" s="34"/>
      <c r="INZ142" s="34"/>
      <c r="IOA142" s="34"/>
      <c r="IOB142" s="34"/>
      <c r="IOC142" s="34"/>
      <c r="IOD142" s="34"/>
      <c r="IOE142" s="34"/>
      <c r="IOF142" s="34"/>
      <c r="IOG142" s="34"/>
      <c r="IOH142" s="34"/>
      <c r="IOI142" s="34"/>
      <c r="IOJ142" s="34"/>
      <c r="IOK142" s="34"/>
      <c r="IOL142" s="34"/>
      <c r="IOM142" s="34"/>
      <c r="ION142" s="34"/>
      <c r="IOO142" s="34"/>
      <c r="IOP142" s="34"/>
      <c r="IOQ142" s="34"/>
      <c r="IOR142" s="34"/>
      <c r="IOS142" s="34"/>
      <c r="IOT142" s="34"/>
      <c r="IOU142" s="34"/>
      <c r="IOV142" s="34"/>
      <c r="IOW142" s="34"/>
      <c r="IOX142" s="34"/>
      <c r="IOY142" s="34"/>
      <c r="IOZ142" s="34"/>
      <c r="IPA142" s="34"/>
      <c r="IPB142" s="34"/>
      <c r="IPC142" s="34"/>
      <c r="IPD142" s="34"/>
      <c r="IPE142" s="34"/>
      <c r="IPF142" s="34"/>
      <c r="IPG142" s="34"/>
      <c r="IPH142" s="34"/>
      <c r="IPI142" s="34"/>
      <c r="IPJ142" s="34"/>
      <c r="IPK142" s="34"/>
      <c r="IPL142" s="34"/>
      <c r="IPM142" s="34"/>
      <c r="IPN142" s="34"/>
      <c r="IPO142" s="34"/>
      <c r="IPP142" s="34"/>
      <c r="IPQ142" s="34"/>
      <c r="IPR142" s="34"/>
      <c r="IPS142" s="34"/>
      <c r="IPT142" s="34"/>
      <c r="IPU142" s="34"/>
      <c r="IPV142" s="34"/>
      <c r="IPW142" s="34"/>
      <c r="IPX142" s="34"/>
      <c r="IPY142" s="34"/>
      <c r="IPZ142" s="34"/>
      <c r="IQA142" s="34"/>
      <c r="IQB142" s="34"/>
      <c r="IQC142" s="34"/>
      <c r="IQD142" s="34"/>
      <c r="IQE142" s="34"/>
      <c r="IQF142" s="34"/>
      <c r="IQG142" s="34"/>
      <c r="IQH142" s="34"/>
      <c r="IQI142" s="34"/>
      <c r="IQJ142" s="34"/>
      <c r="IQK142" s="34"/>
      <c r="IQL142" s="34"/>
      <c r="IQM142" s="34"/>
      <c r="IQN142" s="34"/>
      <c r="IQO142" s="34"/>
      <c r="IQP142" s="34"/>
      <c r="IQQ142" s="34"/>
      <c r="IQR142" s="34"/>
      <c r="IQS142" s="34"/>
      <c r="IQT142" s="34"/>
      <c r="IQU142" s="34"/>
      <c r="IQV142" s="34"/>
      <c r="IQW142" s="34"/>
      <c r="IQX142" s="34"/>
      <c r="IQY142" s="34"/>
      <c r="IQZ142" s="34"/>
      <c r="IRA142" s="34"/>
      <c r="IRB142" s="34"/>
      <c r="IRC142" s="34"/>
      <c r="IRD142" s="34"/>
      <c r="IRE142" s="34"/>
      <c r="IRF142" s="34"/>
      <c r="IRG142" s="34"/>
      <c r="IRH142" s="34"/>
      <c r="IRI142" s="34"/>
      <c r="IRJ142" s="34"/>
      <c r="IRK142" s="34"/>
      <c r="IRL142" s="34"/>
      <c r="IRM142" s="34"/>
      <c r="IRN142" s="34"/>
      <c r="IRO142" s="34"/>
      <c r="IRP142" s="34"/>
      <c r="IRQ142" s="34"/>
      <c r="IRR142" s="34"/>
      <c r="IRS142" s="34"/>
      <c r="IRT142" s="34"/>
      <c r="IRU142" s="34"/>
      <c r="IRV142" s="34"/>
      <c r="IRW142" s="34"/>
      <c r="IRX142" s="34"/>
      <c r="IRY142" s="34"/>
      <c r="IRZ142" s="34"/>
      <c r="ISA142" s="34"/>
      <c r="ISB142" s="34"/>
      <c r="ISC142" s="34"/>
      <c r="ISD142" s="34"/>
      <c r="ISE142" s="34"/>
      <c r="ISF142" s="34"/>
      <c r="ISG142" s="34"/>
      <c r="ISH142" s="34"/>
      <c r="ISI142" s="34"/>
      <c r="ISJ142" s="34"/>
      <c r="ISK142" s="34"/>
      <c r="ISL142" s="34"/>
      <c r="ISM142" s="34"/>
      <c r="ISN142" s="34"/>
      <c r="ISO142" s="34"/>
      <c r="ISP142" s="34"/>
      <c r="ISQ142" s="34"/>
      <c r="ISR142" s="34"/>
      <c r="ISS142" s="34"/>
      <c r="IST142" s="34"/>
      <c r="ISU142" s="34"/>
      <c r="ISV142" s="34"/>
      <c r="ISW142" s="34"/>
      <c r="ISX142" s="34"/>
      <c r="ISY142" s="34"/>
      <c r="ISZ142" s="34"/>
      <c r="ITA142" s="34"/>
      <c r="ITB142" s="34"/>
      <c r="ITC142" s="34"/>
      <c r="ITD142" s="34"/>
      <c r="ITE142" s="34"/>
      <c r="ITF142" s="34"/>
      <c r="ITG142" s="34"/>
      <c r="ITH142" s="34"/>
      <c r="ITI142" s="34"/>
      <c r="ITJ142" s="34"/>
      <c r="ITK142" s="34"/>
      <c r="ITL142" s="34"/>
      <c r="ITM142" s="34"/>
      <c r="ITN142" s="34"/>
      <c r="ITO142" s="34"/>
      <c r="ITP142" s="34"/>
      <c r="ITQ142" s="34"/>
      <c r="ITR142" s="34"/>
      <c r="ITS142" s="34"/>
      <c r="ITT142" s="34"/>
      <c r="ITU142" s="34"/>
      <c r="ITV142" s="34"/>
      <c r="ITW142" s="34"/>
      <c r="ITX142" s="34"/>
      <c r="ITY142" s="34"/>
      <c r="ITZ142" s="34"/>
      <c r="IUA142" s="34"/>
      <c r="IUB142" s="34"/>
      <c r="IUC142" s="34"/>
      <c r="IUD142" s="34"/>
      <c r="IUE142" s="34"/>
      <c r="IUF142" s="34"/>
      <c r="IUG142" s="34"/>
      <c r="IUH142" s="34"/>
      <c r="IUI142" s="34"/>
      <c r="IUJ142" s="34"/>
      <c r="IUK142" s="34"/>
      <c r="IUL142" s="34"/>
      <c r="IUM142" s="34"/>
      <c r="IUN142" s="34"/>
      <c r="IUO142" s="34"/>
      <c r="IUP142" s="34"/>
      <c r="IUQ142" s="34"/>
      <c r="IUR142" s="34"/>
      <c r="IUS142" s="34"/>
      <c r="IUT142" s="34"/>
      <c r="IUU142" s="34"/>
      <c r="IUV142" s="34"/>
      <c r="IUW142" s="34"/>
      <c r="IUX142" s="34"/>
      <c r="IUY142" s="34"/>
      <c r="IUZ142" s="34"/>
      <c r="IVA142" s="34"/>
      <c r="IVB142" s="34"/>
      <c r="IVC142" s="34"/>
      <c r="IVD142" s="34"/>
      <c r="IVE142" s="34"/>
      <c r="IVF142" s="34"/>
      <c r="IVG142" s="34"/>
      <c r="IVH142" s="34"/>
      <c r="IVI142" s="34"/>
      <c r="IVJ142" s="34"/>
      <c r="IVK142" s="34"/>
      <c r="IVL142" s="34"/>
      <c r="IVM142" s="34"/>
      <c r="IVN142" s="34"/>
      <c r="IVO142" s="34"/>
      <c r="IVP142" s="34"/>
      <c r="IVQ142" s="34"/>
      <c r="IVR142" s="34"/>
      <c r="IVS142" s="34"/>
      <c r="IVT142" s="34"/>
      <c r="IVU142" s="34"/>
      <c r="IVV142" s="34"/>
      <c r="IVW142" s="34"/>
      <c r="IVX142" s="34"/>
      <c r="IVY142" s="34"/>
      <c r="IVZ142" s="34"/>
      <c r="IWA142" s="34"/>
      <c r="IWB142" s="34"/>
      <c r="IWC142" s="34"/>
      <c r="IWD142" s="34"/>
      <c r="IWE142" s="34"/>
      <c r="IWF142" s="34"/>
      <c r="IWG142" s="34"/>
      <c r="IWH142" s="34"/>
      <c r="IWI142" s="34"/>
      <c r="IWJ142" s="34"/>
      <c r="IWK142" s="34"/>
      <c r="IWL142" s="34"/>
      <c r="IWM142" s="34"/>
      <c r="IWN142" s="34"/>
      <c r="IWO142" s="34"/>
      <c r="IWP142" s="34"/>
      <c r="IWQ142" s="34"/>
      <c r="IWR142" s="34"/>
      <c r="IWS142" s="34"/>
      <c r="IWT142" s="34"/>
      <c r="IWU142" s="34"/>
      <c r="IWV142" s="34"/>
      <c r="IWW142" s="34"/>
      <c r="IWX142" s="34"/>
      <c r="IWY142" s="34"/>
      <c r="IWZ142" s="34"/>
      <c r="IXA142" s="34"/>
      <c r="IXB142" s="34"/>
      <c r="IXC142" s="34"/>
      <c r="IXD142" s="34"/>
      <c r="IXE142" s="34"/>
      <c r="IXF142" s="34"/>
      <c r="IXG142" s="34"/>
      <c r="IXH142" s="34"/>
      <c r="IXI142" s="34"/>
      <c r="IXJ142" s="34"/>
      <c r="IXK142" s="34"/>
      <c r="IXL142" s="34"/>
      <c r="IXM142" s="34"/>
      <c r="IXN142" s="34"/>
      <c r="IXO142" s="34"/>
      <c r="IXP142" s="34"/>
      <c r="IXQ142" s="34"/>
      <c r="IXR142" s="34"/>
      <c r="IXS142" s="34"/>
      <c r="IXT142" s="34"/>
      <c r="IXU142" s="34"/>
      <c r="IXV142" s="34"/>
      <c r="IXW142" s="34"/>
      <c r="IXX142" s="34"/>
      <c r="IXY142" s="34"/>
      <c r="IXZ142" s="34"/>
      <c r="IYA142" s="34"/>
      <c r="IYB142" s="34"/>
      <c r="IYC142" s="34"/>
      <c r="IYD142" s="34"/>
      <c r="IYE142" s="34"/>
      <c r="IYF142" s="34"/>
      <c r="IYG142" s="34"/>
      <c r="IYH142" s="34"/>
      <c r="IYI142" s="34"/>
      <c r="IYJ142" s="34"/>
      <c r="IYK142" s="34"/>
      <c r="IYL142" s="34"/>
      <c r="IYM142" s="34"/>
      <c r="IYN142" s="34"/>
      <c r="IYO142" s="34"/>
      <c r="IYP142" s="34"/>
      <c r="IYQ142" s="34"/>
      <c r="IYR142" s="34"/>
      <c r="IYS142" s="34"/>
      <c r="IYT142" s="34"/>
      <c r="IYU142" s="34"/>
      <c r="IYV142" s="34"/>
      <c r="IYW142" s="34"/>
      <c r="IYX142" s="34"/>
      <c r="IYY142" s="34"/>
      <c r="IYZ142" s="34"/>
      <c r="IZA142" s="34"/>
      <c r="IZB142" s="34"/>
      <c r="IZC142" s="34"/>
      <c r="IZD142" s="34"/>
      <c r="IZE142" s="34"/>
      <c r="IZF142" s="34"/>
      <c r="IZG142" s="34"/>
      <c r="IZH142" s="34"/>
      <c r="IZI142" s="34"/>
      <c r="IZJ142" s="34"/>
      <c r="IZK142" s="34"/>
      <c r="IZL142" s="34"/>
      <c r="IZM142" s="34"/>
      <c r="IZN142" s="34"/>
      <c r="IZO142" s="34"/>
      <c r="IZP142" s="34"/>
      <c r="IZQ142" s="34"/>
      <c r="IZR142" s="34"/>
      <c r="IZS142" s="34"/>
      <c r="IZT142" s="34"/>
      <c r="IZU142" s="34"/>
      <c r="IZV142" s="34"/>
      <c r="IZW142" s="34"/>
      <c r="IZX142" s="34"/>
      <c r="IZY142" s="34"/>
      <c r="IZZ142" s="34"/>
      <c r="JAA142" s="34"/>
      <c r="JAB142" s="34"/>
      <c r="JAC142" s="34"/>
      <c r="JAD142" s="34"/>
      <c r="JAE142" s="34"/>
      <c r="JAF142" s="34"/>
      <c r="JAG142" s="34"/>
      <c r="JAH142" s="34"/>
      <c r="JAI142" s="34"/>
      <c r="JAJ142" s="34"/>
      <c r="JAK142" s="34"/>
      <c r="JAL142" s="34"/>
      <c r="JAM142" s="34"/>
      <c r="JAN142" s="34"/>
      <c r="JAO142" s="34"/>
      <c r="JAP142" s="34"/>
      <c r="JAQ142" s="34"/>
      <c r="JAR142" s="34"/>
      <c r="JAS142" s="34"/>
      <c r="JAT142" s="34"/>
      <c r="JAU142" s="34"/>
      <c r="JAV142" s="34"/>
      <c r="JAW142" s="34"/>
      <c r="JAX142" s="34"/>
      <c r="JAY142" s="34"/>
      <c r="JAZ142" s="34"/>
      <c r="JBA142" s="34"/>
      <c r="JBB142" s="34"/>
      <c r="JBC142" s="34"/>
      <c r="JBD142" s="34"/>
      <c r="JBE142" s="34"/>
      <c r="JBF142" s="34"/>
      <c r="JBG142" s="34"/>
      <c r="JBH142" s="34"/>
      <c r="JBI142" s="34"/>
      <c r="JBJ142" s="34"/>
      <c r="JBK142" s="34"/>
      <c r="JBL142" s="34"/>
      <c r="JBM142" s="34"/>
      <c r="JBN142" s="34"/>
      <c r="JBO142" s="34"/>
      <c r="JBP142" s="34"/>
      <c r="JBQ142" s="34"/>
      <c r="JBR142" s="34"/>
      <c r="JBS142" s="34"/>
      <c r="JBT142" s="34"/>
      <c r="JBU142" s="34"/>
      <c r="JBV142" s="34"/>
      <c r="JBW142" s="34"/>
      <c r="JBX142" s="34"/>
      <c r="JBY142" s="34"/>
      <c r="JBZ142" s="34"/>
      <c r="JCA142" s="34"/>
      <c r="JCB142" s="34"/>
      <c r="JCC142" s="34"/>
      <c r="JCD142" s="34"/>
      <c r="JCE142" s="34"/>
      <c r="JCF142" s="34"/>
      <c r="JCG142" s="34"/>
      <c r="JCH142" s="34"/>
      <c r="JCI142" s="34"/>
      <c r="JCJ142" s="34"/>
      <c r="JCK142" s="34"/>
      <c r="JCL142" s="34"/>
      <c r="JCM142" s="34"/>
      <c r="JCN142" s="34"/>
      <c r="JCO142" s="34"/>
      <c r="JCP142" s="34"/>
      <c r="JCQ142" s="34"/>
      <c r="JCR142" s="34"/>
      <c r="JCS142" s="34"/>
      <c r="JCT142" s="34"/>
      <c r="JCU142" s="34"/>
      <c r="JCV142" s="34"/>
      <c r="JCW142" s="34"/>
      <c r="JCX142" s="34"/>
      <c r="JCY142" s="34"/>
      <c r="JCZ142" s="34"/>
      <c r="JDA142" s="34"/>
      <c r="JDB142" s="34"/>
      <c r="JDC142" s="34"/>
      <c r="JDD142" s="34"/>
      <c r="JDE142" s="34"/>
      <c r="JDF142" s="34"/>
      <c r="JDG142" s="34"/>
      <c r="JDH142" s="34"/>
      <c r="JDI142" s="34"/>
      <c r="JDJ142" s="34"/>
      <c r="JDK142" s="34"/>
      <c r="JDL142" s="34"/>
      <c r="JDM142" s="34"/>
      <c r="JDN142" s="34"/>
      <c r="JDO142" s="34"/>
      <c r="JDP142" s="34"/>
      <c r="JDQ142" s="34"/>
      <c r="JDR142" s="34"/>
      <c r="JDS142" s="34"/>
      <c r="JDT142" s="34"/>
      <c r="JDU142" s="34"/>
      <c r="JDV142" s="34"/>
      <c r="JDW142" s="34"/>
      <c r="JDX142" s="34"/>
      <c r="JDY142" s="34"/>
      <c r="JDZ142" s="34"/>
      <c r="JEA142" s="34"/>
      <c r="JEB142" s="34"/>
      <c r="JEC142" s="34"/>
      <c r="JED142" s="34"/>
      <c r="JEE142" s="34"/>
      <c r="JEF142" s="34"/>
      <c r="JEG142" s="34"/>
      <c r="JEH142" s="34"/>
      <c r="JEI142" s="34"/>
      <c r="JEJ142" s="34"/>
      <c r="JEK142" s="34"/>
      <c r="JEL142" s="34"/>
      <c r="JEM142" s="34"/>
      <c r="JEN142" s="34"/>
      <c r="JEO142" s="34"/>
      <c r="JEP142" s="34"/>
      <c r="JEQ142" s="34"/>
      <c r="JER142" s="34"/>
      <c r="JES142" s="34"/>
      <c r="JET142" s="34"/>
      <c r="JEU142" s="34"/>
      <c r="JEV142" s="34"/>
      <c r="JEW142" s="34"/>
      <c r="JEX142" s="34"/>
      <c r="JEY142" s="34"/>
      <c r="JEZ142" s="34"/>
      <c r="JFA142" s="34"/>
      <c r="JFB142" s="34"/>
      <c r="JFC142" s="34"/>
      <c r="JFD142" s="34"/>
      <c r="JFE142" s="34"/>
      <c r="JFF142" s="34"/>
      <c r="JFG142" s="34"/>
      <c r="JFH142" s="34"/>
      <c r="JFI142" s="34"/>
      <c r="JFJ142" s="34"/>
      <c r="JFK142" s="34"/>
      <c r="JFL142" s="34"/>
      <c r="JFM142" s="34"/>
      <c r="JFN142" s="34"/>
      <c r="JFO142" s="34"/>
      <c r="JFP142" s="34"/>
      <c r="JFQ142" s="34"/>
      <c r="JFR142" s="34"/>
      <c r="JFS142" s="34"/>
      <c r="JFT142" s="34"/>
      <c r="JFU142" s="34"/>
      <c r="JFV142" s="34"/>
      <c r="JFW142" s="34"/>
      <c r="JFX142" s="34"/>
      <c r="JFY142" s="34"/>
      <c r="JFZ142" s="34"/>
      <c r="JGA142" s="34"/>
      <c r="JGB142" s="34"/>
      <c r="JGC142" s="34"/>
      <c r="JGD142" s="34"/>
      <c r="JGE142" s="34"/>
      <c r="JGF142" s="34"/>
      <c r="JGG142" s="34"/>
      <c r="JGH142" s="34"/>
      <c r="JGI142" s="34"/>
      <c r="JGJ142" s="34"/>
      <c r="JGK142" s="34"/>
      <c r="JGL142" s="34"/>
      <c r="JGM142" s="34"/>
      <c r="JGN142" s="34"/>
      <c r="JGO142" s="34"/>
      <c r="JGP142" s="34"/>
      <c r="JGQ142" s="34"/>
      <c r="JGR142" s="34"/>
      <c r="JGS142" s="34"/>
      <c r="JGT142" s="34"/>
      <c r="JGU142" s="34"/>
      <c r="JGV142" s="34"/>
      <c r="JGW142" s="34"/>
      <c r="JGX142" s="34"/>
      <c r="JGY142" s="34"/>
      <c r="JGZ142" s="34"/>
      <c r="JHA142" s="34"/>
      <c r="JHB142" s="34"/>
      <c r="JHC142" s="34"/>
      <c r="JHD142" s="34"/>
      <c r="JHE142" s="34"/>
      <c r="JHF142" s="34"/>
      <c r="JHG142" s="34"/>
      <c r="JHH142" s="34"/>
      <c r="JHI142" s="34"/>
      <c r="JHJ142" s="34"/>
      <c r="JHK142" s="34"/>
      <c r="JHL142" s="34"/>
      <c r="JHM142" s="34"/>
      <c r="JHN142" s="34"/>
      <c r="JHO142" s="34"/>
      <c r="JHP142" s="34"/>
      <c r="JHQ142" s="34"/>
      <c r="JHR142" s="34"/>
      <c r="JHS142" s="34"/>
      <c r="JHT142" s="34"/>
      <c r="JHU142" s="34"/>
      <c r="JHV142" s="34"/>
      <c r="JHW142" s="34"/>
      <c r="JHX142" s="34"/>
      <c r="JHY142" s="34"/>
      <c r="JHZ142" s="34"/>
      <c r="JIA142" s="34"/>
      <c r="JIB142" s="34"/>
      <c r="JIC142" s="34"/>
      <c r="JID142" s="34"/>
      <c r="JIE142" s="34"/>
      <c r="JIF142" s="34"/>
      <c r="JIG142" s="34"/>
      <c r="JIH142" s="34"/>
      <c r="JII142" s="34"/>
      <c r="JIJ142" s="34"/>
      <c r="JIK142" s="34"/>
      <c r="JIL142" s="34"/>
      <c r="JIM142" s="34"/>
      <c r="JIN142" s="34"/>
      <c r="JIO142" s="34"/>
      <c r="JIP142" s="34"/>
      <c r="JIQ142" s="34"/>
      <c r="JIR142" s="34"/>
      <c r="JIS142" s="34"/>
      <c r="JIT142" s="34"/>
      <c r="JIU142" s="34"/>
      <c r="JIV142" s="34"/>
      <c r="JIW142" s="34"/>
      <c r="JIX142" s="34"/>
      <c r="JIY142" s="34"/>
      <c r="JIZ142" s="34"/>
      <c r="JJA142" s="34"/>
      <c r="JJB142" s="34"/>
      <c r="JJC142" s="34"/>
      <c r="JJD142" s="34"/>
      <c r="JJE142" s="34"/>
      <c r="JJF142" s="34"/>
      <c r="JJG142" s="34"/>
      <c r="JJH142" s="34"/>
      <c r="JJI142" s="34"/>
      <c r="JJJ142" s="34"/>
      <c r="JJK142" s="34"/>
      <c r="JJL142" s="34"/>
      <c r="JJM142" s="34"/>
      <c r="JJN142" s="34"/>
      <c r="JJO142" s="34"/>
      <c r="JJP142" s="34"/>
      <c r="JJQ142" s="34"/>
      <c r="JJR142" s="34"/>
      <c r="JJS142" s="34"/>
      <c r="JJT142" s="34"/>
      <c r="JJU142" s="34"/>
      <c r="JJV142" s="34"/>
      <c r="JJW142" s="34"/>
      <c r="JJX142" s="34"/>
      <c r="JJY142" s="34"/>
      <c r="JJZ142" s="34"/>
      <c r="JKA142" s="34"/>
      <c r="JKB142" s="34"/>
      <c r="JKC142" s="34"/>
      <c r="JKD142" s="34"/>
      <c r="JKE142" s="34"/>
      <c r="JKF142" s="34"/>
      <c r="JKG142" s="34"/>
      <c r="JKH142" s="34"/>
      <c r="JKI142" s="34"/>
      <c r="JKJ142" s="34"/>
      <c r="JKK142" s="34"/>
      <c r="JKL142" s="34"/>
      <c r="JKM142" s="34"/>
      <c r="JKN142" s="34"/>
      <c r="JKO142" s="34"/>
      <c r="JKP142" s="34"/>
      <c r="JKQ142" s="34"/>
      <c r="JKR142" s="34"/>
      <c r="JKS142" s="34"/>
      <c r="JKT142" s="34"/>
      <c r="JKU142" s="34"/>
      <c r="JKV142" s="34"/>
      <c r="JKW142" s="34"/>
      <c r="JKX142" s="34"/>
      <c r="JKY142" s="34"/>
      <c r="JKZ142" s="34"/>
      <c r="JLA142" s="34"/>
      <c r="JLB142" s="34"/>
      <c r="JLC142" s="34"/>
      <c r="JLD142" s="34"/>
      <c r="JLE142" s="34"/>
      <c r="JLF142" s="34"/>
      <c r="JLG142" s="34"/>
      <c r="JLH142" s="34"/>
      <c r="JLI142" s="34"/>
      <c r="JLJ142" s="34"/>
      <c r="JLK142" s="34"/>
      <c r="JLL142" s="34"/>
      <c r="JLM142" s="34"/>
      <c r="JLN142" s="34"/>
      <c r="JLO142" s="34"/>
      <c r="JLP142" s="34"/>
      <c r="JLQ142" s="34"/>
      <c r="JLR142" s="34"/>
      <c r="JLS142" s="34"/>
      <c r="JLT142" s="34"/>
      <c r="JLU142" s="34"/>
      <c r="JLV142" s="34"/>
      <c r="JLW142" s="34"/>
      <c r="JLX142" s="34"/>
      <c r="JLY142" s="34"/>
      <c r="JLZ142" s="34"/>
      <c r="JMA142" s="34"/>
      <c r="JMB142" s="34"/>
      <c r="JMC142" s="34"/>
      <c r="JMD142" s="34"/>
      <c r="JME142" s="34"/>
      <c r="JMF142" s="34"/>
      <c r="JMG142" s="34"/>
      <c r="JMH142" s="34"/>
      <c r="JMI142" s="34"/>
      <c r="JMJ142" s="34"/>
      <c r="JMK142" s="34"/>
      <c r="JML142" s="34"/>
      <c r="JMM142" s="34"/>
      <c r="JMN142" s="34"/>
      <c r="JMO142" s="34"/>
      <c r="JMP142" s="34"/>
      <c r="JMQ142" s="34"/>
      <c r="JMR142" s="34"/>
      <c r="JMS142" s="34"/>
      <c r="JMT142" s="34"/>
      <c r="JMU142" s="34"/>
      <c r="JMV142" s="34"/>
      <c r="JMW142" s="34"/>
      <c r="JMX142" s="34"/>
      <c r="JMY142" s="34"/>
      <c r="JMZ142" s="34"/>
      <c r="JNA142" s="34"/>
      <c r="JNB142" s="34"/>
      <c r="JNC142" s="34"/>
      <c r="JND142" s="34"/>
      <c r="JNE142" s="34"/>
      <c r="JNF142" s="34"/>
      <c r="JNG142" s="34"/>
      <c r="JNH142" s="34"/>
      <c r="JNI142" s="34"/>
      <c r="JNJ142" s="34"/>
      <c r="JNK142" s="34"/>
      <c r="JNL142" s="34"/>
      <c r="JNM142" s="34"/>
      <c r="JNN142" s="34"/>
      <c r="JNO142" s="34"/>
      <c r="JNP142" s="34"/>
      <c r="JNQ142" s="34"/>
      <c r="JNR142" s="34"/>
      <c r="JNS142" s="34"/>
      <c r="JNT142" s="34"/>
      <c r="JNU142" s="34"/>
      <c r="JNV142" s="34"/>
      <c r="JNW142" s="34"/>
      <c r="JNX142" s="34"/>
      <c r="JNY142" s="34"/>
      <c r="JNZ142" s="34"/>
      <c r="JOA142" s="34"/>
      <c r="JOB142" s="34"/>
      <c r="JOC142" s="34"/>
      <c r="JOD142" s="34"/>
      <c r="JOE142" s="34"/>
      <c r="JOF142" s="34"/>
      <c r="JOG142" s="34"/>
      <c r="JOH142" s="34"/>
      <c r="JOI142" s="34"/>
      <c r="JOJ142" s="34"/>
      <c r="JOK142" s="34"/>
      <c r="JOL142" s="34"/>
      <c r="JOM142" s="34"/>
      <c r="JON142" s="34"/>
      <c r="JOO142" s="34"/>
      <c r="JOP142" s="34"/>
      <c r="JOQ142" s="34"/>
      <c r="JOR142" s="34"/>
      <c r="JOS142" s="34"/>
      <c r="JOT142" s="34"/>
      <c r="JOU142" s="34"/>
      <c r="JOV142" s="34"/>
      <c r="JOW142" s="34"/>
      <c r="JOX142" s="34"/>
      <c r="JOY142" s="34"/>
      <c r="JOZ142" s="34"/>
      <c r="JPA142" s="34"/>
      <c r="JPB142" s="34"/>
      <c r="JPC142" s="34"/>
      <c r="JPD142" s="34"/>
      <c r="JPE142" s="34"/>
      <c r="JPF142" s="34"/>
      <c r="JPG142" s="34"/>
      <c r="JPH142" s="34"/>
      <c r="JPI142" s="34"/>
      <c r="JPJ142" s="34"/>
      <c r="JPK142" s="34"/>
      <c r="JPL142" s="34"/>
      <c r="JPM142" s="34"/>
      <c r="JPN142" s="34"/>
      <c r="JPO142" s="34"/>
      <c r="JPP142" s="34"/>
      <c r="JPQ142" s="34"/>
      <c r="JPR142" s="34"/>
      <c r="JPS142" s="34"/>
      <c r="JPT142" s="34"/>
      <c r="JPU142" s="34"/>
      <c r="JPV142" s="34"/>
      <c r="JPW142" s="34"/>
      <c r="JPX142" s="34"/>
      <c r="JPY142" s="34"/>
      <c r="JPZ142" s="34"/>
      <c r="JQA142" s="34"/>
      <c r="JQB142" s="34"/>
      <c r="JQC142" s="34"/>
      <c r="JQD142" s="34"/>
      <c r="JQE142" s="34"/>
      <c r="JQF142" s="34"/>
      <c r="JQG142" s="34"/>
      <c r="JQH142" s="34"/>
      <c r="JQI142" s="34"/>
      <c r="JQJ142" s="34"/>
      <c r="JQK142" s="34"/>
      <c r="JQL142" s="34"/>
      <c r="JQM142" s="34"/>
      <c r="JQN142" s="34"/>
      <c r="JQO142" s="34"/>
      <c r="JQP142" s="34"/>
      <c r="JQQ142" s="34"/>
      <c r="JQR142" s="34"/>
      <c r="JQS142" s="34"/>
      <c r="JQT142" s="34"/>
      <c r="JQU142" s="34"/>
      <c r="JQV142" s="34"/>
      <c r="JQW142" s="34"/>
      <c r="JQX142" s="34"/>
      <c r="JQY142" s="34"/>
      <c r="JQZ142" s="34"/>
      <c r="JRA142" s="34"/>
      <c r="JRB142" s="34"/>
      <c r="JRC142" s="34"/>
      <c r="JRD142" s="34"/>
      <c r="JRE142" s="34"/>
      <c r="JRF142" s="34"/>
      <c r="JRG142" s="34"/>
      <c r="JRH142" s="34"/>
      <c r="JRI142" s="34"/>
      <c r="JRJ142" s="34"/>
      <c r="JRK142" s="34"/>
      <c r="JRL142" s="34"/>
      <c r="JRM142" s="34"/>
      <c r="JRN142" s="34"/>
      <c r="JRO142" s="34"/>
      <c r="JRP142" s="34"/>
      <c r="JRQ142" s="34"/>
      <c r="JRR142" s="34"/>
      <c r="JRS142" s="34"/>
      <c r="JRT142" s="34"/>
      <c r="JRU142" s="34"/>
      <c r="JRV142" s="34"/>
      <c r="JRW142" s="34"/>
      <c r="JRX142" s="34"/>
      <c r="JRY142" s="34"/>
      <c r="JRZ142" s="34"/>
      <c r="JSA142" s="34"/>
      <c r="JSB142" s="34"/>
      <c r="JSC142" s="34"/>
      <c r="JSD142" s="34"/>
      <c r="JSE142" s="34"/>
      <c r="JSF142" s="34"/>
      <c r="JSG142" s="34"/>
      <c r="JSH142" s="34"/>
      <c r="JSI142" s="34"/>
      <c r="JSJ142" s="34"/>
      <c r="JSK142" s="34"/>
      <c r="JSL142" s="34"/>
      <c r="JSM142" s="34"/>
      <c r="JSN142" s="34"/>
      <c r="JSO142" s="34"/>
      <c r="JSP142" s="34"/>
      <c r="JSQ142" s="34"/>
      <c r="JSR142" s="34"/>
      <c r="JSS142" s="34"/>
      <c r="JST142" s="34"/>
      <c r="JSU142" s="34"/>
      <c r="JSV142" s="34"/>
      <c r="JSW142" s="34"/>
      <c r="JSX142" s="34"/>
      <c r="JSY142" s="34"/>
      <c r="JSZ142" s="34"/>
      <c r="JTA142" s="34"/>
      <c r="JTB142" s="34"/>
      <c r="JTC142" s="34"/>
      <c r="JTD142" s="34"/>
      <c r="JTE142" s="34"/>
      <c r="JTF142" s="34"/>
      <c r="JTG142" s="34"/>
      <c r="JTH142" s="34"/>
      <c r="JTI142" s="34"/>
      <c r="JTJ142" s="34"/>
      <c r="JTK142" s="34"/>
      <c r="JTL142" s="34"/>
      <c r="JTM142" s="34"/>
      <c r="JTN142" s="34"/>
      <c r="JTO142" s="34"/>
      <c r="JTP142" s="34"/>
      <c r="JTQ142" s="34"/>
      <c r="JTR142" s="34"/>
      <c r="JTS142" s="34"/>
      <c r="JTT142" s="34"/>
      <c r="JTU142" s="34"/>
      <c r="JTV142" s="34"/>
      <c r="JTW142" s="34"/>
      <c r="JTX142" s="34"/>
      <c r="JTY142" s="34"/>
      <c r="JTZ142" s="34"/>
      <c r="JUA142" s="34"/>
      <c r="JUB142" s="34"/>
      <c r="JUC142" s="34"/>
      <c r="JUD142" s="34"/>
      <c r="JUE142" s="34"/>
      <c r="JUF142" s="34"/>
      <c r="JUG142" s="34"/>
      <c r="JUH142" s="34"/>
      <c r="JUI142" s="34"/>
      <c r="JUJ142" s="34"/>
      <c r="JUK142" s="34"/>
      <c r="JUL142" s="34"/>
      <c r="JUM142" s="34"/>
      <c r="JUN142" s="34"/>
      <c r="JUO142" s="34"/>
      <c r="JUP142" s="34"/>
      <c r="JUQ142" s="34"/>
      <c r="JUR142" s="34"/>
      <c r="JUS142" s="34"/>
      <c r="JUT142" s="34"/>
      <c r="JUU142" s="34"/>
      <c r="JUV142" s="34"/>
      <c r="JUW142" s="34"/>
      <c r="JUX142" s="34"/>
      <c r="JUY142" s="34"/>
      <c r="JUZ142" s="34"/>
      <c r="JVA142" s="34"/>
      <c r="JVB142" s="34"/>
      <c r="JVC142" s="34"/>
      <c r="JVD142" s="34"/>
      <c r="JVE142" s="34"/>
      <c r="JVF142" s="34"/>
      <c r="JVG142" s="34"/>
      <c r="JVH142" s="34"/>
      <c r="JVI142" s="34"/>
      <c r="JVJ142" s="34"/>
      <c r="JVK142" s="34"/>
      <c r="JVL142" s="34"/>
      <c r="JVM142" s="34"/>
      <c r="JVN142" s="34"/>
      <c r="JVO142" s="34"/>
      <c r="JVP142" s="34"/>
      <c r="JVQ142" s="34"/>
      <c r="JVR142" s="34"/>
      <c r="JVS142" s="34"/>
      <c r="JVT142" s="34"/>
      <c r="JVU142" s="34"/>
      <c r="JVV142" s="34"/>
      <c r="JVW142" s="34"/>
      <c r="JVX142" s="34"/>
      <c r="JVY142" s="34"/>
      <c r="JVZ142" s="34"/>
      <c r="JWA142" s="34"/>
      <c r="JWB142" s="34"/>
      <c r="JWC142" s="34"/>
      <c r="JWD142" s="34"/>
      <c r="JWE142" s="34"/>
      <c r="JWF142" s="34"/>
      <c r="JWG142" s="34"/>
      <c r="JWH142" s="34"/>
      <c r="JWI142" s="34"/>
      <c r="JWJ142" s="34"/>
      <c r="JWK142" s="34"/>
      <c r="JWL142" s="34"/>
      <c r="JWM142" s="34"/>
      <c r="JWN142" s="34"/>
      <c r="JWO142" s="34"/>
      <c r="JWP142" s="34"/>
      <c r="JWQ142" s="34"/>
      <c r="JWR142" s="34"/>
      <c r="JWS142" s="34"/>
      <c r="JWT142" s="34"/>
      <c r="JWU142" s="34"/>
      <c r="JWV142" s="34"/>
      <c r="JWW142" s="34"/>
      <c r="JWX142" s="34"/>
      <c r="JWY142" s="34"/>
      <c r="JWZ142" s="34"/>
      <c r="JXA142" s="34"/>
      <c r="JXB142" s="34"/>
      <c r="JXC142" s="34"/>
      <c r="JXD142" s="34"/>
      <c r="JXE142" s="34"/>
      <c r="JXF142" s="34"/>
      <c r="JXG142" s="34"/>
      <c r="JXH142" s="34"/>
      <c r="JXI142" s="34"/>
      <c r="JXJ142" s="34"/>
      <c r="JXK142" s="34"/>
      <c r="JXL142" s="34"/>
      <c r="JXM142" s="34"/>
      <c r="JXN142" s="34"/>
      <c r="JXO142" s="34"/>
      <c r="JXP142" s="34"/>
      <c r="JXQ142" s="34"/>
      <c r="JXR142" s="34"/>
      <c r="JXS142" s="34"/>
      <c r="JXT142" s="34"/>
      <c r="JXU142" s="34"/>
      <c r="JXV142" s="34"/>
      <c r="JXW142" s="34"/>
      <c r="JXX142" s="34"/>
      <c r="JXY142" s="34"/>
      <c r="JXZ142" s="34"/>
      <c r="JYA142" s="34"/>
      <c r="JYB142" s="34"/>
      <c r="JYC142" s="34"/>
      <c r="JYD142" s="34"/>
      <c r="JYE142" s="34"/>
      <c r="JYF142" s="34"/>
      <c r="JYG142" s="34"/>
      <c r="JYH142" s="34"/>
      <c r="JYI142" s="34"/>
      <c r="JYJ142" s="34"/>
      <c r="JYK142" s="34"/>
      <c r="JYL142" s="34"/>
      <c r="JYM142" s="34"/>
      <c r="JYN142" s="34"/>
      <c r="JYO142" s="34"/>
      <c r="JYP142" s="34"/>
      <c r="JYQ142" s="34"/>
      <c r="JYR142" s="34"/>
      <c r="JYS142" s="34"/>
      <c r="JYT142" s="34"/>
      <c r="JYU142" s="34"/>
      <c r="JYV142" s="34"/>
      <c r="JYW142" s="34"/>
      <c r="JYX142" s="34"/>
      <c r="JYY142" s="34"/>
      <c r="JYZ142" s="34"/>
      <c r="JZA142" s="34"/>
      <c r="JZB142" s="34"/>
      <c r="JZC142" s="34"/>
      <c r="JZD142" s="34"/>
      <c r="JZE142" s="34"/>
      <c r="JZF142" s="34"/>
      <c r="JZG142" s="34"/>
      <c r="JZH142" s="34"/>
      <c r="JZI142" s="34"/>
      <c r="JZJ142" s="34"/>
      <c r="JZK142" s="34"/>
      <c r="JZL142" s="34"/>
      <c r="JZM142" s="34"/>
      <c r="JZN142" s="34"/>
      <c r="JZO142" s="34"/>
      <c r="JZP142" s="34"/>
      <c r="JZQ142" s="34"/>
      <c r="JZR142" s="34"/>
      <c r="JZS142" s="34"/>
      <c r="JZT142" s="34"/>
      <c r="JZU142" s="34"/>
      <c r="JZV142" s="34"/>
      <c r="JZW142" s="34"/>
      <c r="JZX142" s="34"/>
      <c r="JZY142" s="34"/>
      <c r="JZZ142" s="34"/>
      <c r="KAA142" s="34"/>
      <c r="KAB142" s="34"/>
      <c r="KAC142" s="34"/>
      <c r="KAD142" s="34"/>
      <c r="KAE142" s="34"/>
      <c r="KAF142" s="34"/>
      <c r="KAG142" s="34"/>
      <c r="KAH142" s="34"/>
      <c r="KAI142" s="34"/>
      <c r="KAJ142" s="34"/>
      <c r="KAK142" s="34"/>
      <c r="KAL142" s="34"/>
      <c r="KAM142" s="34"/>
      <c r="KAN142" s="34"/>
      <c r="KAO142" s="34"/>
      <c r="KAP142" s="34"/>
      <c r="KAQ142" s="34"/>
      <c r="KAR142" s="34"/>
      <c r="KAS142" s="34"/>
      <c r="KAT142" s="34"/>
      <c r="KAU142" s="34"/>
      <c r="KAV142" s="34"/>
      <c r="KAW142" s="34"/>
      <c r="KAX142" s="34"/>
      <c r="KAY142" s="34"/>
      <c r="KAZ142" s="34"/>
      <c r="KBA142" s="34"/>
      <c r="KBB142" s="34"/>
      <c r="KBC142" s="34"/>
      <c r="KBD142" s="34"/>
      <c r="KBE142" s="34"/>
      <c r="KBF142" s="34"/>
      <c r="KBG142" s="34"/>
      <c r="KBH142" s="34"/>
      <c r="KBI142" s="34"/>
      <c r="KBJ142" s="34"/>
      <c r="KBK142" s="34"/>
      <c r="KBL142" s="34"/>
      <c r="KBM142" s="34"/>
      <c r="KBN142" s="34"/>
      <c r="KBO142" s="34"/>
      <c r="KBP142" s="34"/>
      <c r="KBQ142" s="34"/>
      <c r="KBR142" s="34"/>
      <c r="KBS142" s="34"/>
      <c r="KBT142" s="34"/>
      <c r="KBU142" s="34"/>
      <c r="KBV142" s="34"/>
      <c r="KBW142" s="34"/>
      <c r="KBX142" s="34"/>
      <c r="KBY142" s="34"/>
      <c r="KBZ142" s="34"/>
      <c r="KCA142" s="34"/>
      <c r="KCB142" s="34"/>
      <c r="KCC142" s="34"/>
      <c r="KCD142" s="34"/>
      <c r="KCE142" s="34"/>
      <c r="KCF142" s="34"/>
      <c r="KCG142" s="34"/>
      <c r="KCH142" s="34"/>
      <c r="KCI142" s="34"/>
      <c r="KCJ142" s="34"/>
      <c r="KCK142" s="34"/>
      <c r="KCL142" s="34"/>
      <c r="KCM142" s="34"/>
      <c r="KCN142" s="34"/>
      <c r="KCO142" s="34"/>
      <c r="KCP142" s="34"/>
      <c r="KCQ142" s="34"/>
      <c r="KCR142" s="34"/>
      <c r="KCS142" s="34"/>
      <c r="KCT142" s="34"/>
      <c r="KCU142" s="34"/>
      <c r="KCV142" s="34"/>
      <c r="KCW142" s="34"/>
      <c r="KCX142" s="34"/>
      <c r="KCY142" s="34"/>
      <c r="KCZ142" s="34"/>
      <c r="KDA142" s="34"/>
      <c r="KDB142" s="34"/>
      <c r="KDC142" s="34"/>
      <c r="KDD142" s="34"/>
      <c r="KDE142" s="34"/>
      <c r="KDF142" s="34"/>
      <c r="KDG142" s="34"/>
      <c r="KDH142" s="34"/>
      <c r="KDI142" s="34"/>
      <c r="KDJ142" s="34"/>
      <c r="KDK142" s="34"/>
      <c r="KDL142" s="34"/>
      <c r="KDM142" s="34"/>
      <c r="KDN142" s="34"/>
      <c r="KDO142" s="34"/>
      <c r="KDP142" s="34"/>
      <c r="KDQ142" s="34"/>
      <c r="KDR142" s="34"/>
      <c r="KDS142" s="34"/>
      <c r="KDT142" s="34"/>
      <c r="KDU142" s="34"/>
      <c r="KDV142" s="34"/>
      <c r="KDW142" s="34"/>
      <c r="KDX142" s="34"/>
      <c r="KDY142" s="34"/>
      <c r="KDZ142" s="34"/>
      <c r="KEA142" s="34"/>
      <c r="KEB142" s="34"/>
      <c r="KEC142" s="34"/>
      <c r="KED142" s="34"/>
      <c r="KEE142" s="34"/>
      <c r="KEF142" s="34"/>
      <c r="KEG142" s="34"/>
      <c r="KEH142" s="34"/>
      <c r="KEI142" s="34"/>
      <c r="KEJ142" s="34"/>
      <c r="KEK142" s="34"/>
      <c r="KEL142" s="34"/>
      <c r="KEM142" s="34"/>
      <c r="KEN142" s="34"/>
      <c r="KEO142" s="34"/>
      <c r="KEP142" s="34"/>
      <c r="KEQ142" s="34"/>
      <c r="KER142" s="34"/>
      <c r="KES142" s="34"/>
      <c r="KET142" s="34"/>
      <c r="KEU142" s="34"/>
      <c r="KEV142" s="34"/>
      <c r="KEW142" s="34"/>
      <c r="KEX142" s="34"/>
      <c r="KEY142" s="34"/>
      <c r="KEZ142" s="34"/>
      <c r="KFA142" s="34"/>
      <c r="KFB142" s="34"/>
      <c r="KFC142" s="34"/>
      <c r="KFD142" s="34"/>
      <c r="KFE142" s="34"/>
      <c r="KFF142" s="34"/>
      <c r="KFG142" s="34"/>
      <c r="KFH142" s="34"/>
      <c r="KFI142" s="34"/>
      <c r="KFJ142" s="34"/>
      <c r="KFK142" s="34"/>
      <c r="KFL142" s="34"/>
      <c r="KFM142" s="34"/>
      <c r="KFN142" s="34"/>
      <c r="KFO142" s="34"/>
      <c r="KFP142" s="34"/>
      <c r="KFQ142" s="34"/>
      <c r="KFR142" s="34"/>
      <c r="KFS142" s="34"/>
      <c r="KFT142" s="34"/>
      <c r="KFU142" s="34"/>
      <c r="KFV142" s="34"/>
      <c r="KFW142" s="34"/>
      <c r="KFX142" s="34"/>
      <c r="KFY142" s="34"/>
      <c r="KFZ142" s="34"/>
      <c r="KGA142" s="34"/>
      <c r="KGB142" s="34"/>
      <c r="KGC142" s="34"/>
      <c r="KGD142" s="34"/>
      <c r="KGE142" s="34"/>
      <c r="KGF142" s="34"/>
      <c r="KGG142" s="34"/>
      <c r="KGH142" s="34"/>
      <c r="KGI142" s="34"/>
      <c r="KGJ142" s="34"/>
      <c r="KGK142" s="34"/>
      <c r="KGL142" s="34"/>
      <c r="KGM142" s="34"/>
      <c r="KGN142" s="34"/>
      <c r="KGO142" s="34"/>
      <c r="KGP142" s="34"/>
      <c r="KGQ142" s="34"/>
      <c r="KGR142" s="34"/>
      <c r="KGS142" s="34"/>
      <c r="KGT142" s="34"/>
      <c r="KGU142" s="34"/>
      <c r="KGV142" s="34"/>
      <c r="KGW142" s="34"/>
      <c r="KGX142" s="34"/>
      <c r="KGY142" s="34"/>
      <c r="KGZ142" s="34"/>
      <c r="KHA142" s="34"/>
      <c r="KHB142" s="34"/>
      <c r="KHC142" s="34"/>
      <c r="KHD142" s="34"/>
      <c r="KHE142" s="34"/>
      <c r="KHF142" s="34"/>
      <c r="KHG142" s="34"/>
      <c r="KHH142" s="34"/>
      <c r="KHI142" s="34"/>
      <c r="KHJ142" s="34"/>
      <c r="KHK142" s="34"/>
      <c r="KHL142" s="34"/>
      <c r="KHM142" s="34"/>
      <c r="KHN142" s="34"/>
      <c r="KHO142" s="34"/>
      <c r="KHP142" s="34"/>
      <c r="KHQ142" s="34"/>
      <c r="KHR142" s="34"/>
      <c r="KHS142" s="34"/>
      <c r="KHT142" s="34"/>
      <c r="KHU142" s="34"/>
      <c r="KHV142" s="34"/>
      <c r="KHW142" s="34"/>
      <c r="KHX142" s="34"/>
      <c r="KHY142" s="34"/>
      <c r="KHZ142" s="34"/>
      <c r="KIA142" s="34"/>
      <c r="KIB142" s="34"/>
      <c r="KIC142" s="34"/>
      <c r="KID142" s="34"/>
      <c r="KIE142" s="34"/>
      <c r="KIF142" s="34"/>
      <c r="KIG142" s="34"/>
      <c r="KIH142" s="34"/>
      <c r="KII142" s="34"/>
      <c r="KIJ142" s="34"/>
      <c r="KIK142" s="34"/>
      <c r="KIL142" s="34"/>
      <c r="KIM142" s="34"/>
      <c r="KIN142" s="34"/>
      <c r="KIO142" s="34"/>
      <c r="KIP142" s="34"/>
      <c r="KIQ142" s="34"/>
      <c r="KIR142" s="34"/>
      <c r="KIS142" s="34"/>
      <c r="KIT142" s="34"/>
      <c r="KIU142" s="34"/>
      <c r="KIV142" s="34"/>
      <c r="KIW142" s="34"/>
      <c r="KIX142" s="34"/>
      <c r="KIY142" s="34"/>
      <c r="KIZ142" s="34"/>
      <c r="KJA142" s="34"/>
      <c r="KJB142" s="34"/>
      <c r="KJC142" s="34"/>
      <c r="KJD142" s="34"/>
      <c r="KJE142" s="34"/>
      <c r="KJF142" s="34"/>
      <c r="KJG142" s="34"/>
      <c r="KJH142" s="34"/>
      <c r="KJI142" s="34"/>
      <c r="KJJ142" s="34"/>
      <c r="KJK142" s="34"/>
      <c r="KJL142" s="34"/>
      <c r="KJM142" s="34"/>
      <c r="KJN142" s="34"/>
      <c r="KJO142" s="34"/>
      <c r="KJP142" s="34"/>
      <c r="KJQ142" s="34"/>
      <c r="KJR142" s="34"/>
      <c r="KJS142" s="34"/>
      <c r="KJT142" s="34"/>
      <c r="KJU142" s="34"/>
      <c r="KJV142" s="34"/>
      <c r="KJW142" s="34"/>
      <c r="KJX142" s="34"/>
      <c r="KJY142" s="34"/>
      <c r="KJZ142" s="34"/>
      <c r="KKA142" s="34"/>
      <c r="KKB142" s="34"/>
      <c r="KKC142" s="34"/>
      <c r="KKD142" s="34"/>
      <c r="KKE142" s="34"/>
      <c r="KKF142" s="34"/>
      <c r="KKG142" s="34"/>
      <c r="KKH142" s="34"/>
      <c r="KKI142" s="34"/>
      <c r="KKJ142" s="34"/>
      <c r="KKK142" s="34"/>
      <c r="KKL142" s="34"/>
      <c r="KKM142" s="34"/>
      <c r="KKN142" s="34"/>
      <c r="KKO142" s="34"/>
      <c r="KKP142" s="34"/>
      <c r="KKQ142" s="34"/>
      <c r="KKR142" s="34"/>
      <c r="KKS142" s="34"/>
      <c r="KKT142" s="34"/>
      <c r="KKU142" s="34"/>
      <c r="KKV142" s="34"/>
      <c r="KKW142" s="34"/>
      <c r="KKX142" s="34"/>
      <c r="KKY142" s="34"/>
      <c r="KKZ142" s="34"/>
      <c r="KLA142" s="34"/>
      <c r="KLB142" s="34"/>
      <c r="KLC142" s="34"/>
      <c r="KLD142" s="34"/>
      <c r="KLE142" s="34"/>
      <c r="KLF142" s="34"/>
      <c r="KLG142" s="34"/>
      <c r="KLH142" s="34"/>
      <c r="KLI142" s="34"/>
      <c r="KLJ142" s="34"/>
      <c r="KLK142" s="34"/>
      <c r="KLL142" s="34"/>
      <c r="KLM142" s="34"/>
      <c r="KLN142" s="34"/>
      <c r="KLO142" s="34"/>
      <c r="KLP142" s="34"/>
      <c r="KLQ142" s="34"/>
      <c r="KLR142" s="34"/>
      <c r="KLS142" s="34"/>
      <c r="KLT142" s="34"/>
      <c r="KLU142" s="34"/>
      <c r="KLV142" s="34"/>
      <c r="KLW142" s="34"/>
      <c r="KLX142" s="34"/>
      <c r="KLY142" s="34"/>
      <c r="KLZ142" s="34"/>
      <c r="KMA142" s="34"/>
      <c r="KMB142" s="34"/>
      <c r="KMC142" s="34"/>
      <c r="KMD142" s="34"/>
      <c r="KME142" s="34"/>
      <c r="KMF142" s="34"/>
      <c r="KMG142" s="34"/>
      <c r="KMH142" s="34"/>
      <c r="KMI142" s="34"/>
      <c r="KMJ142" s="34"/>
      <c r="KMK142" s="34"/>
      <c r="KML142" s="34"/>
      <c r="KMM142" s="34"/>
      <c r="KMN142" s="34"/>
      <c r="KMO142" s="34"/>
      <c r="KMP142" s="34"/>
      <c r="KMQ142" s="34"/>
      <c r="KMR142" s="34"/>
      <c r="KMS142" s="34"/>
      <c r="KMT142" s="34"/>
      <c r="KMU142" s="34"/>
      <c r="KMV142" s="34"/>
      <c r="KMW142" s="34"/>
      <c r="KMX142" s="34"/>
      <c r="KMY142" s="34"/>
      <c r="KMZ142" s="34"/>
      <c r="KNA142" s="34"/>
      <c r="KNB142" s="34"/>
      <c r="KNC142" s="34"/>
      <c r="KND142" s="34"/>
      <c r="KNE142" s="34"/>
      <c r="KNF142" s="34"/>
      <c r="KNG142" s="34"/>
      <c r="KNH142" s="34"/>
      <c r="KNI142" s="34"/>
      <c r="KNJ142" s="34"/>
      <c r="KNK142" s="34"/>
      <c r="KNL142" s="34"/>
      <c r="KNM142" s="34"/>
      <c r="KNN142" s="34"/>
      <c r="KNO142" s="34"/>
      <c r="KNP142" s="34"/>
      <c r="KNQ142" s="34"/>
      <c r="KNR142" s="34"/>
      <c r="KNS142" s="34"/>
      <c r="KNT142" s="34"/>
      <c r="KNU142" s="34"/>
      <c r="KNV142" s="34"/>
      <c r="KNW142" s="34"/>
      <c r="KNX142" s="34"/>
      <c r="KNY142" s="34"/>
      <c r="KNZ142" s="34"/>
      <c r="KOA142" s="34"/>
      <c r="KOB142" s="34"/>
      <c r="KOC142" s="34"/>
      <c r="KOD142" s="34"/>
      <c r="KOE142" s="34"/>
      <c r="KOF142" s="34"/>
      <c r="KOG142" s="34"/>
      <c r="KOH142" s="34"/>
      <c r="KOI142" s="34"/>
      <c r="KOJ142" s="34"/>
      <c r="KOK142" s="34"/>
      <c r="KOL142" s="34"/>
      <c r="KOM142" s="34"/>
      <c r="KON142" s="34"/>
      <c r="KOO142" s="34"/>
      <c r="KOP142" s="34"/>
      <c r="KOQ142" s="34"/>
      <c r="KOR142" s="34"/>
      <c r="KOS142" s="34"/>
      <c r="KOT142" s="34"/>
      <c r="KOU142" s="34"/>
      <c r="KOV142" s="34"/>
      <c r="KOW142" s="34"/>
      <c r="KOX142" s="34"/>
      <c r="KOY142" s="34"/>
      <c r="KOZ142" s="34"/>
      <c r="KPA142" s="34"/>
      <c r="KPB142" s="34"/>
      <c r="KPC142" s="34"/>
      <c r="KPD142" s="34"/>
      <c r="KPE142" s="34"/>
      <c r="KPF142" s="34"/>
      <c r="KPG142" s="34"/>
      <c r="KPH142" s="34"/>
      <c r="KPI142" s="34"/>
      <c r="KPJ142" s="34"/>
      <c r="KPK142" s="34"/>
      <c r="KPL142" s="34"/>
      <c r="KPM142" s="34"/>
      <c r="KPN142" s="34"/>
      <c r="KPO142" s="34"/>
      <c r="KPP142" s="34"/>
      <c r="KPQ142" s="34"/>
      <c r="KPR142" s="34"/>
      <c r="KPS142" s="34"/>
      <c r="KPT142" s="34"/>
      <c r="KPU142" s="34"/>
      <c r="KPV142" s="34"/>
      <c r="KPW142" s="34"/>
      <c r="KPX142" s="34"/>
      <c r="KPY142" s="34"/>
      <c r="KPZ142" s="34"/>
      <c r="KQA142" s="34"/>
      <c r="KQB142" s="34"/>
      <c r="KQC142" s="34"/>
      <c r="KQD142" s="34"/>
      <c r="KQE142" s="34"/>
      <c r="KQF142" s="34"/>
      <c r="KQG142" s="34"/>
      <c r="KQH142" s="34"/>
      <c r="KQI142" s="34"/>
      <c r="KQJ142" s="34"/>
      <c r="KQK142" s="34"/>
      <c r="KQL142" s="34"/>
      <c r="KQM142" s="34"/>
      <c r="KQN142" s="34"/>
      <c r="KQO142" s="34"/>
      <c r="KQP142" s="34"/>
      <c r="KQQ142" s="34"/>
      <c r="KQR142" s="34"/>
      <c r="KQS142" s="34"/>
      <c r="KQT142" s="34"/>
      <c r="KQU142" s="34"/>
      <c r="KQV142" s="34"/>
      <c r="KQW142" s="34"/>
      <c r="KQX142" s="34"/>
      <c r="KQY142" s="34"/>
      <c r="KQZ142" s="34"/>
      <c r="KRA142" s="34"/>
      <c r="KRB142" s="34"/>
      <c r="KRC142" s="34"/>
      <c r="KRD142" s="34"/>
      <c r="KRE142" s="34"/>
      <c r="KRF142" s="34"/>
      <c r="KRG142" s="34"/>
      <c r="KRH142" s="34"/>
      <c r="KRI142" s="34"/>
      <c r="KRJ142" s="34"/>
      <c r="KRK142" s="34"/>
      <c r="KRL142" s="34"/>
      <c r="KRM142" s="34"/>
      <c r="KRN142" s="34"/>
      <c r="KRO142" s="34"/>
      <c r="KRP142" s="34"/>
      <c r="KRQ142" s="34"/>
      <c r="KRR142" s="34"/>
      <c r="KRS142" s="34"/>
      <c r="KRT142" s="34"/>
      <c r="KRU142" s="34"/>
      <c r="KRV142" s="34"/>
      <c r="KRW142" s="34"/>
      <c r="KRX142" s="34"/>
      <c r="KRY142" s="34"/>
      <c r="KRZ142" s="34"/>
      <c r="KSA142" s="34"/>
      <c r="KSB142" s="34"/>
      <c r="KSC142" s="34"/>
      <c r="KSD142" s="34"/>
      <c r="KSE142" s="34"/>
      <c r="KSF142" s="34"/>
      <c r="KSG142" s="34"/>
      <c r="KSH142" s="34"/>
      <c r="KSI142" s="34"/>
      <c r="KSJ142" s="34"/>
      <c r="KSK142" s="34"/>
      <c r="KSL142" s="34"/>
      <c r="KSM142" s="34"/>
      <c r="KSN142" s="34"/>
      <c r="KSO142" s="34"/>
      <c r="KSP142" s="34"/>
      <c r="KSQ142" s="34"/>
      <c r="KSR142" s="34"/>
      <c r="KSS142" s="34"/>
      <c r="KST142" s="34"/>
      <c r="KSU142" s="34"/>
      <c r="KSV142" s="34"/>
      <c r="KSW142" s="34"/>
      <c r="KSX142" s="34"/>
      <c r="KSY142" s="34"/>
      <c r="KSZ142" s="34"/>
      <c r="KTA142" s="34"/>
      <c r="KTB142" s="34"/>
      <c r="KTC142" s="34"/>
      <c r="KTD142" s="34"/>
      <c r="KTE142" s="34"/>
      <c r="KTF142" s="34"/>
      <c r="KTG142" s="34"/>
      <c r="KTH142" s="34"/>
      <c r="KTI142" s="34"/>
      <c r="KTJ142" s="34"/>
      <c r="KTK142" s="34"/>
      <c r="KTL142" s="34"/>
      <c r="KTM142" s="34"/>
      <c r="KTN142" s="34"/>
      <c r="KTO142" s="34"/>
      <c r="KTP142" s="34"/>
      <c r="KTQ142" s="34"/>
      <c r="KTR142" s="34"/>
      <c r="KTS142" s="34"/>
      <c r="KTT142" s="34"/>
      <c r="KTU142" s="34"/>
      <c r="KTV142" s="34"/>
      <c r="KTW142" s="34"/>
      <c r="KTX142" s="34"/>
      <c r="KTY142" s="34"/>
      <c r="KTZ142" s="34"/>
      <c r="KUA142" s="34"/>
      <c r="KUB142" s="34"/>
      <c r="KUC142" s="34"/>
      <c r="KUD142" s="34"/>
      <c r="KUE142" s="34"/>
      <c r="KUF142" s="34"/>
      <c r="KUG142" s="34"/>
      <c r="KUH142" s="34"/>
      <c r="KUI142" s="34"/>
      <c r="KUJ142" s="34"/>
      <c r="KUK142" s="34"/>
      <c r="KUL142" s="34"/>
      <c r="KUM142" s="34"/>
      <c r="KUN142" s="34"/>
      <c r="KUO142" s="34"/>
      <c r="KUP142" s="34"/>
      <c r="KUQ142" s="34"/>
      <c r="KUR142" s="34"/>
      <c r="KUS142" s="34"/>
      <c r="KUT142" s="34"/>
      <c r="KUU142" s="34"/>
      <c r="KUV142" s="34"/>
      <c r="KUW142" s="34"/>
      <c r="KUX142" s="34"/>
      <c r="KUY142" s="34"/>
      <c r="KUZ142" s="34"/>
      <c r="KVA142" s="34"/>
      <c r="KVB142" s="34"/>
      <c r="KVC142" s="34"/>
      <c r="KVD142" s="34"/>
      <c r="KVE142" s="34"/>
      <c r="KVF142" s="34"/>
      <c r="KVG142" s="34"/>
      <c r="KVH142" s="34"/>
      <c r="KVI142" s="34"/>
      <c r="KVJ142" s="34"/>
      <c r="KVK142" s="34"/>
      <c r="KVL142" s="34"/>
      <c r="KVM142" s="34"/>
      <c r="KVN142" s="34"/>
      <c r="KVO142" s="34"/>
      <c r="KVP142" s="34"/>
      <c r="KVQ142" s="34"/>
      <c r="KVR142" s="34"/>
      <c r="KVS142" s="34"/>
      <c r="KVT142" s="34"/>
      <c r="KVU142" s="34"/>
      <c r="KVV142" s="34"/>
      <c r="KVW142" s="34"/>
      <c r="KVX142" s="34"/>
      <c r="KVY142" s="34"/>
      <c r="KVZ142" s="34"/>
      <c r="KWA142" s="34"/>
      <c r="KWB142" s="34"/>
      <c r="KWC142" s="34"/>
      <c r="KWD142" s="34"/>
      <c r="KWE142" s="34"/>
      <c r="KWF142" s="34"/>
      <c r="KWG142" s="34"/>
      <c r="KWH142" s="34"/>
      <c r="KWI142" s="34"/>
      <c r="KWJ142" s="34"/>
      <c r="KWK142" s="34"/>
      <c r="KWL142" s="34"/>
      <c r="KWM142" s="34"/>
      <c r="KWN142" s="34"/>
      <c r="KWO142" s="34"/>
      <c r="KWP142" s="34"/>
      <c r="KWQ142" s="34"/>
      <c r="KWR142" s="34"/>
      <c r="KWS142" s="34"/>
      <c r="KWT142" s="34"/>
      <c r="KWU142" s="34"/>
      <c r="KWV142" s="34"/>
      <c r="KWW142" s="34"/>
      <c r="KWX142" s="34"/>
      <c r="KWY142" s="34"/>
      <c r="KWZ142" s="34"/>
      <c r="KXA142" s="34"/>
      <c r="KXB142" s="34"/>
      <c r="KXC142" s="34"/>
      <c r="KXD142" s="34"/>
      <c r="KXE142" s="34"/>
      <c r="KXF142" s="34"/>
      <c r="KXG142" s="34"/>
      <c r="KXH142" s="34"/>
      <c r="KXI142" s="34"/>
      <c r="KXJ142" s="34"/>
      <c r="KXK142" s="34"/>
      <c r="KXL142" s="34"/>
      <c r="KXM142" s="34"/>
      <c r="KXN142" s="34"/>
      <c r="KXO142" s="34"/>
      <c r="KXP142" s="34"/>
      <c r="KXQ142" s="34"/>
      <c r="KXR142" s="34"/>
      <c r="KXS142" s="34"/>
      <c r="KXT142" s="34"/>
      <c r="KXU142" s="34"/>
      <c r="KXV142" s="34"/>
      <c r="KXW142" s="34"/>
      <c r="KXX142" s="34"/>
      <c r="KXY142" s="34"/>
      <c r="KXZ142" s="34"/>
      <c r="KYA142" s="34"/>
      <c r="KYB142" s="34"/>
      <c r="KYC142" s="34"/>
      <c r="KYD142" s="34"/>
      <c r="KYE142" s="34"/>
      <c r="KYF142" s="34"/>
      <c r="KYG142" s="34"/>
      <c r="KYH142" s="34"/>
      <c r="KYI142" s="34"/>
      <c r="KYJ142" s="34"/>
      <c r="KYK142" s="34"/>
      <c r="KYL142" s="34"/>
      <c r="KYM142" s="34"/>
      <c r="KYN142" s="34"/>
      <c r="KYO142" s="34"/>
      <c r="KYP142" s="34"/>
      <c r="KYQ142" s="34"/>
      <c r="KYR142" s="34"/>
      <c r="KYS142" s="34"/>
      <c r="KYT142" s="34"/>
      <c r="KYU142" s="34"/>
      <c r="KYV142" s="34"/>
      <c r="KYW142" s="34"/>
      <c r="KYX142" s="34"/>
      <c r="KYY142" s="34"/>
      <c r="KYZ142" s="34"/>
      <c r="KZA142" s="34"/>
      <c r="KZB142" s="34"/>
      <c r="KZC142" s="34"/>
      <c r="KZD142" s="34"/>
      <c r="KZE142" s="34"/>
      <c r="KZF142" s="34"/>
      <c r="KZG142" s="34"/>
      <c r="KZH142" s="34"/>
      <c r="KZI142" s="34"/>
      <c r="KZJ142" s="34"/>
      <c r="KZK142" s="34"/>
      <c r="KZL142" s="34"/>
      <c r="KZM142" s="34"/>
      <c r="KZN142" s="34"/>
      <c r="KZO142" s="34"/>
      <c r="KZP142" s="34"/>
      <c r="KZQ142" s="34"/>
      <c r="KZR142" s="34"/>
      <c r="KZS142" s="34"/>
      <c r="KZT142" s="34"/>
      <c r="KZU142" s="34"/>
      <c r="KZV142" s="34"/>
      <c r="KZW142" s="34"/>
      <c r="KZX142" s="34"/>
      <c r="KZY142" s="34"/>
      <c r="KZZ142" s="34"/>
      <c r="LAA142" s="34"/>
      <c r="LAB142" s="34"/>
      <c r="LAC142" s="34"/>
      <c r="LAD142" s="34"/>
      <c r="LAE142" s="34"/>
      <c r="LAF142" s="34"/>
      <c r="LAG142" s="34"/>
      <c r="LAH142" s="34"/>
      <c r="LAI142" s="34"/>
      <c r="LAJ142" s="34"/>
      <c r="LAK142" s="34"/>
      <c r="LAL142" s="34"/>
      <c r="LAM142" s="34"/>
      <c r="LAN142" s="34"/>
      <c r="LAO142" s="34"/>
      <c r="LAP142" s="34"/>
      <c r="LAQ142" s="34"/>
      <c r="LAR142" s="34"/>
      <c r="LAS142" s="34"/>
      <c r="LAT142" s="34"/>
      <c r="LAU142" s="34"/>
      <c r="LAV142" s="34"/>
      <c r="LAW142" s="34"/>
      <c r="LAX142" s="34"/>
      <c r="LAY142" s="34"/>
      <c r="LAZ142" s="34"/>
      <c r="LBA142" s="34"/>
      <c r="LBB142" s="34"/>
      <c r="LBC142" s="34"/>
      <c r="LBD142" s="34"/>
      <c r="LBE142" s="34"/>
      <c r="LBF142" s="34"/>
      <c r="LBG142" s="34"/>
      <c r="LBH142" s="34"/>
      <c r="LBI142" s="34"/>
      <c r="LBJ142" s="34"/>
      <c r="LBK142" s="34"/>
      <c r="LBL142" s="34"/>
      <c r="LBM142" s="34"/>
      <c r="LBN142" s="34"/>
      <c r="LBO142" s="34"/>
      <c r="LBP142" s="34"/>
      <c r="LBQ142" s="34"/>
      <c r="LBR142" s="34"/>
      <c r="LBS142" s="34"/>
      <c r="LBT142" s="34"/>
      <c r="LBU142" s="34"/>
      <c r="LBV142" s="34"/>
      <c r="LBW142" s="34"/>
      <c r="LBX142" s="34"/>
      <c r="LBY142" s="34"/>
      <c r="LBZ142" s="34"/>
      <c r="LCA142" s="34"/>
      <c r="LCB142" s="34"/>
      <c r="LCC142" s="34"/>
      <c r="LCD142" s="34"/>
      <c r="LCE142" s="34"/>
      <c r="LCF142" s="34"/>
      <c r="LCG142" s="34"/>
      <c r="LCH142" s="34"/>
      <c r="LCI142" s="34"/>
      <c r="LCJ142" s="34"/>
      <c r="LCK142" s="34"/>
      <c r="LCL142" s="34"/>
      <c r="LCM142" s="34"/>
      <c r="LCN142" s="34"/>
      <c r="LCO142" s="34"/>
      <c r="LCP142" s="34"/>
      <c r="LCQ142" s="34"/>
      <c r="LCR142" s="34"/>
      <c r="LCS142" s="34"/>
      <c r="LCT142" s="34"/>
      <c r="LCU142" s="34"/>
      <c r="LCV142" s="34"/>
      <c r="LCW142" s="34"/>
      <c r="LCX142" s="34"/>
      <c r="LCY142" s="34"/>
      <c r="LCZ142" s="34"/>
      <c r="LDA142" s="34"/>
      <c r="LDB142" s="34"/>
      <c r="LDC142" s="34"/>
      <c r="LDD142" s="34"/>
      <c r="LDE142" s="34"/>
      <c r="LDF142" s="34"/>
      <c r="LDG142" s="34"/>
      <c r="LDH142" s="34"/>
      <c r="LDI142" s="34"/>
      <c r="LDJ142" s="34"/>
      <c r="LDK142" s="34"/>
      <c r="LDL142" s="34"/>
      <c r="LDM142" s="34"/>
      <c r="LDN142" s="34"/>
      <c r="LDO142" s="34"/>
      <c r="LDP142" s="34"/>
      <c r="LDQ142" s="34"/>
      <c r="LDR142" s="34"/>
      <c r="LDS142" s="34"/>
      <c r="LDT142" s="34"/>
      <c r="LDU142" s="34"/>
      <c r="LDV142" s="34"/>
      <c r="LDW142" s="34"/>
      <c r="LDX142" s="34"/>
      <c r="LDY142" s="34"/>
      <c r="LDZ142" s="34"/>
      <c r="LEA142" s="34"/>
      <c r="LEB142" s="34"/>
      <c r="LEC142" s="34"/>
      <c r="LED142" s="34"/>
      <c r="LEE142" s="34"/>
      <c r="LEF142" s="34"/>
      <c r="LEG142" s="34"/>
      <c r="LEH142" s="34"/>
      <c r="LEI142" s="34"/>
      <c r="LEJ142" s="34"/>
      <c r="LEK142" s="34"/>
      <c r="LEL142" s="34"/>
      <c r="LEM142" s="34"/>
      <c r="LEN142" s="34"/>
      <c r="LEO142" s="34"/>
      <c r="LEP142" s="34"/>
      <c r="LEQ142" s="34"/>
      <c r="LER142" s="34"/>
      <c r="LES142" s="34"/>
      <c r="LET142" s="34"/>
      <c r="LEU142" s="34"/>
      <c r="LEV142" s="34"/>
      <c r="LEW142" s="34"/>
      <c r="LEX142" s="34"/>
      <c r="LEY142" s="34"/>
      <c r="LEZ142" s="34"/>
      <c r="LFA142" s="34"/>
      <c r="LFB142" s="34"/>
      <c r="LFC142" s="34"/>
      <c r="LFD142" s="34"/>
      <c r="LFE142" s="34"/>
      <c r="LFF142" s="34"/>
      <c r="LFG142" s="34"/>
      <c r="LFH142" s="34"/>
      <c r="LFI142" s="34"/>
      <c r="LFJ142" s="34"/>
      <c r="LFK142" s="34"/>
      <c r="LFL142" s="34"/>
      <c r="LFM142" s="34"/>
      <c r="LFN142" s="34"/>
      <c r="LFO142" s="34"/>
      <c r="LFP142" s="34"/>
      <c r="LFQ142" s="34"/>
      <c r="LFR142" s="34"/>
      <c r="LFS142" s="34"/>
      <c r="LFT142" s="34"/>
      <c r="LFU142" s="34"/>
      <c r="LFV142" s="34"/>
      <c r="LFW142" s="34"/>
      <c r="LFX142" s="34"/>
      <c r="LFY142" s="34"/>
      <c r="LFZ142" s="34"/>
      <c r="LGA142" s="34"/>
      <c r="LGB142" s="34"/>
      <c r="LGC142" s="34"/>
      <c r="LGD142" s="34"/>
      <c r="LGE142" s="34"/>
      <c r="LGF142" s="34"/>
      <c r="LGG142" s="34"/>
      <c r="LGH142" s="34"/>
      <c r="LGI142" s="34"/>
      <c r="LGJ142" s="34"/>
      <c r="LGK142" s="34"/>
      <c r="LGL142" s="34"/>
      <c r="LGM142" s="34"/>
      <c r="LGN142" s="34"/>
      <c r="LGO142" s="34"/>
      <c r="LGP142" s="34"/>
      <c r="LGQ142" s="34"/>
      <c r="LGR142" s="34"/>
      <c r="LGS142" s="34"/>
      <c r="LGT142" s="34"/>
      <c r="LGU142" s="34"/>
      <c r="LGV142" s="34"/>
      <c r="LGW142" s="34"/>
      <c r="LGX142" s="34"/>
      <c r="LGY142" s="34"/>
      <c r="LGZ142" s="34"/>
      <c r="LHA142" s="34"/>
      <c r="LHB142" s="34"/>
      <c r="LHC142" s="34"/>
      <c r="LHD142" s="34"/>
      <c r="LHE142" s="34"/>
      <c r="LHF142" s="34"/>
      <c r="LHG142" s="34"/>
      <c r="LHH142" s="34"/>
      <c r="LHI142" s="34"/>
      <c r="LHJ142" s="34"/>
      <c r="LHK142" s="34"/>
      <c r="LHL142" s="34"/>
      <c r="LHM142" s="34"/>
      <c r="LHN142" s="34"/>
      <c r="LHO142" s="34"/>
      <c r="LHP142" s="34"/>
      <c r="LHQ142" s="34"/>
      <c r="LHR142" s="34"/>
      <c r="LHS142" s="34"/>
      <c r="LHT142" s="34"/>
      <c r="LHU142" s="34"/>
      <c r="LHV142" s="34"/>
      <c r="LHW142" s="34"/>
      <c r="LHX142" s="34"/>
      <c r="LHY142" s="34"/>
      <c r="LHZ142" s="34"/>
      <c r="LIA142" s="34"/>
      <c r="LIB142" s="34"/>
      <c r="LIC142" s="34"/>
      <c r="LID142" s="34"/>
      <c r="LIE142" s="34"/>
      <c r="LIF142" s="34"/>
      <c r="LIG142" s="34"/>
      <c r="LIH142" s="34"/>
      <c r="LII142" s="34"/>
      <c r="LIJ142" s="34"/>
      <c r="LIK142" s="34"/>
      <c r="LIL142" s="34"/>
      <c r="LIM142" s="34"/>
      <c r="LIN142" s="34"/>
      <c r="LIO142" s="34"/>
      <c r="LIP142" s="34"/>
      <c r="LIQ142" s="34"/>
      <c r="LIR142" s="34"/>
      <c r="LIS142" s="34"/>
      <c r="LIT142" s="34"/>
      <c r="LIU142" s="34"/>
      <c r="LIV142" s="34"/>
      <c r="LIW142" s="34"/>
      <c r="LIX142" s="34"/>
      <c r="LIY142" s="34"/>
      <c r="LIZ142" s="34"/>
      <c r="LJA142" s="34"/>
      <c r="LJB142" s="34"/>
      <c r="LJC142" s="34"/>
      <c r="LJD142" s="34"/>
      <c r="LJE142" s="34"/>
      <c r="LJF142" s="34"/>
      <c r="LJG142" s="34"/>
      <c r="LJH142" s="34"/>
      <c r="LJI142" s="34"/>
      <c r="LJJ142" s="34"/>
      <c r="LJK142" s="34"/>
      <c r="LJL142" s="34"/>
      <c r="LJM142" s="34"/>
      <c r="LJN142" s="34"/>
      <c r="LJO142" s="34"/>
      <c r="LJP142" s="34"/>
      <c r="LJQ142" s="34"/>
      <c r="LJR142" s="34"/>
      <c r="LJS142" s="34"/>
      <c r="LJT142" s="34"/>
      <c r="LJU142" s="34"/>
      <c r="LJV142" s="34"/>
      <c r="LJW142" s="34"/>
      <c r="LJX142" s="34"/>
      <c r="LJY142" s="34"/>
      <c r="LJZ142" s="34"/>
      <c r="LKA142" s="34"/>
      <c r="LKB142" s="34"/>
      <c r="LKC142" s="34"/>
      <c r="LKD142" s="34"/>
      <c r="LKE142" s="34"/>
      <c r="LKF142" s="34"/>
      <c r="LKG142" s="34"/>
      <c r="LKH142" s="34"/>
      <c r="LKI142" s="34"/>
      <c r="LKJ142" s="34"/>
      <c r="LKK142" s="34"/>
      <c r="LKL142" s="34"/>
      <c r="LKM142" s="34"/>
      <c r="LKN142" s="34"/>
      <c r="LKO142" s="34"/>
      <c r="LKP142" s="34"/>
      <c r="LKQ142" s="34"/>
      <c r="LKR142" s="34"/>
      <c r="LKS142" s="34"/>
      <c r="LKT142" s="34"/>
      <c r="LKU142" s="34"/>
      <c r="LKV142" s="34"/>
      <c r="LKW142" s="34"/>
      <c r="LKX142" s="34"/>
      <c r="LKY142" s="34"/>
      <c r="LKZ142" s="34"/>
      <c r="LLA142" s="34"/>
      <c r="LLB142" s="34"/>
      <c r="LLC142" s="34"/>
      <c r="LLD142" s="34"/>
      <c r="LLE142" s="34"/>
      <c r="LLF142" s="34"/>
      <c r="LLG142" s="34"/>
      <c r="LLH142" s="34"/>
      <c r="LLI142" s="34"/>
      <c r="LLJ142" s="34"/>
      <c r="LLK142" s="34"/>
      <c r="LLL142" s="34"/>
      <c r="LLM142" s="34"/>
      <c r="LLN142" s="34"/>
      <c r="LLO142" s="34"/>
      <c r="LLP142" s="34"/>
      <c r="LLQ142" s="34"/>
      <c r="LLR142" s="34"/>
      <c r="LLS142" s="34"/>
      <c r="LLT142" s="34"/>
      <c r="LLU142" s="34"/>
      <c r="LLV142" s="34"/>
      <c r="LLW142" s="34"/>
      <c r="LLX142" s="34"/>
      <c r="LLY142" s="34"/>
      <c r="LLZ142" s="34"/>
      <c r="LMA142" s="34"/>
      <c r="LMB142" s="34"/>
      <c r="LMC142" s="34"/>
      <c r="LMD142" s="34"/>
      <c r="LME142" s="34"/>
      <c r="LMF142" s="34"/>
      <c r="LMG142" s="34"/>
      <c r="LMH142" s="34"/>
      <c r="LMI142" s="34"/>
      <c r="LMJ142" s="34"/>
      <c r="LMK142" s="34"/>
      <c r="LML142" s="34"/>
      <c r="LMM142" s="34"/>
      <c r="LMN142" s="34"/>
      <c r="LMO142" s="34"/>
      <c r="LMP142" s="34"/>
      <c r="LMQ142" s="34"/>
      <c r="LMR142" s="34"/>
      <c r="LMS142" s="34"/>
      <c r="LMT142" s="34"/>
      <c r="LMU142" s="34"/>
      <c r="LMV142" s="34"/>
      <c r="LMW142" s="34"/>
      <c r="LMX142" s="34"/>
      <c r="LMY142" s="34"/>
      <c r="LMZ142" s="34"/>
      <c r="LNA142" s="34"/>
      <c r="LNB142" s="34"/>
      <c r="LNC142" s="34"/>
      <c r="LND142" s="34"/>
      <c r="LNE142" s="34"/>
      <c r="LNF142" s="34"/>
      <c r="LNG142" s="34"/>
      <c r="LNH142" s="34"/>
      <c r="LNI142" s="34"/>
      <c r="LNJ142" s="34"/>
      <c r="LNK142" s="34"/>
      <c r="LNL142" s="34"/>
      <c r="LNM142" s="34"/>
      <c r="LNN142" s="34"/>
      <c r="LNO142" s="34"/>
      <c r="LNP142" s="34"/>
      <c r="LNQ142" s="34"/>
      <c r="LNR142" s="34"/>
      <c r="LNS142" s="34"/>
      <c r="LNT142" s="34"/>
      <c r="LNU142" s="34"/>
      <c r="LNV142" s="34"/>
      <c r="LNW142" s="34"/>
      <c r="LNX142" s="34"/>
      <c r="LNY142" s="34"/>
      <c r="LNZ142" s="34"/>
      <c r="LOA142" s="34"/>
      <c r="LOB142" s="34"/>
      <c r="LOC142" s="34"/>
      <c r="LOD142" s="34"/>
      <c r="LOE142" s="34"/>
      <c r="LOF142" s="34"/>
      <c r="LOG142" s="34"/>
      <c r="LOH142" s="34"/>
      <c r="LOI142" s="34"/>
      <c r="LOJ142" s="34"/>
      <c r="LOK142" s="34"/>
      <c r="LOL142" s="34"/>
      <c r="LOM142" s="34"/>
      <c r="LON142" s="34"/>
      <c r="LOO142" s="34"/>
      <c r="LOP142" s="34"/>
      <c r="LOQ142" s="34"/>
      <c r="LOR142" s="34"/>
      <c r="LOS142" s="34"/>
      <c r="LOT142" s="34"/>
      <c r="LOU142" s="34"/>
      <c r="LOV142" s="34"/>
      <c r="LOW142" s="34"/>
      <c r="LOX142" s="34"/>
      <c r="LOY142" s="34"/>
      <c r="LOZ142" s="34"/>
      <c r="LPA142" s="34"/>
      <c r="LPB142" s="34"/>
      <c r="LPC142" s="34"/>
      <c r="LPD142" s="34"/>
      <c r="LPE142" s="34"/>
      <c r="LPF142" s="34"/>
      <c r="LPG142" s="34"/>
      <c r="LPH142" s="34"/>
      <c r="LPI142" s="34"/>
      <c r="LPJ142" s="34"/>
      <c r="LPK142" s="34"/>
      <c r="LPL142" s="34"/>
      <c r="LPM142" s="34"/>
      <c r="LPN142" s="34"/>
      <c r="LPO142" s="34"/>
      <c r="LPP142" s="34"/>
      <c r="LPQ142" s="34"/>
      <c r="LPR142" s="34"/>
      <c r="LPS142" s="34"/>
      <c r="LPT142" s="34"/>
      <c r="LPU142" s="34"/>
      <c r="LPV142" s="34"/>
      <c r="LPW142" s="34"/>
      <c r="LPX142" s="34"/>
      <c r="LPY142" s="34"/>
      <c r="LPZ142" s="34"/>
      <c r="LQA142" s="34"/>
      <c r="LQB142" s="34"/>
      <c r="LQC142" s="34"/>
      <c r="LQD142" s="34"/>
      <c r="LQE142" s="34"/>
      <c r="LQF142" s="34"/>
      <c r="LQG142" s="34"/>
      <c r="LQH142" s="34"/>
      <c r="LQI142" s="34"/>
      <c r="LQJ142" s="34"/>
      <c r="LQK142" s="34"/>
      <c r="LQL142" s="34"/>
      <c r="LQM142" s="34"/>
      <c r="LQN142" s="34"/>
      <c r="LQO142" s="34"/>
      <c r="LQP142" s="34"/>
      <c r="LQQ142" s="34"/>
      <c r="LQR142" s="34"/>
      <c r="LQS142" s="34"/>
      <c r="LQT142" s="34"/>
      <c r="LQU142" s="34"/>
      <c r="LQV142" s="34"/>
      <c r="LQW142" s="34"/>
      <c r="LQX142" s="34"/>
      <c r="LQY142" s="34"/>
      <c r="LQZ142" s="34"/>
      <c r="LRA142" s="34"/>
      <c r="LRB142" s="34"/>
      <c r="LRC142" s="34"/>
      <c r="LRD142" s="34"/>
      <c r="LRE142" s="34"/>
      <c r="LRF142" s="34"/>
      <c r="LRG142" s="34"/>
      <c r="LRH142" s="34"/>
      <c r="LRI142" s="34"/>
      <c r="LRJ142" s="34"/>
      <c r="LRK142" s="34"/>
      <c r="LRL142" s="34"/>
      <c r="LRM142" s="34"/>
      <c r="LRN142" s="34"/>
      <c r="LRO142" s="34"/>
      <c r="LRP142" s="34"/>
      <c r="LRQ142" s="34"/>
      <c r="LRR142" s="34"/>
      <c r="LRS142" s="34"/>
      <c r="LRT142" s="34"/>
      <c r="LRU142" s="34"/>
      <c r="LRV142" s="34"/>
      <c r="LRW142" s="34"/>
      <c r="LRX142" s="34"/>
      <c r="LRY142" s="34"/>
      <c r="LRZ142" s="34"/>
      <c r="LSA142" s="34"/>
      <c r="LSB142" s="34"/>
      <c r="LSC142" s="34"/>
      <c r="LSD142" s="34"/>
      <c r="LSE142" s="34"/>
      <c r="LSF142" s="34"/>
      <c r="LSG142" s="34"/>
      <c r="LSH142" s="34"/>
      <c r="LSI142" s="34"/>
      <c r="LSJ142" s="34"/>
      <c r="LSK142" s="34"/>
      <c r="LSL142" s="34"/>
      <c r="LSM142" s="34"/>
      <c r="LSN142" s="34"/>
      <c r="LSO142" s="34"/>
      <c r="LSP142" s="34"/>
      <c r="LSQ142" s="34"/>
      <c r="LSR142" s="34"/>
      <c r="LSS142" s="34"/>
      <c r="LST142" s="34"/>
      <c r="LSU142" s="34"/>
      <c r="LSV142" s="34"/>
      <c r="LSW142" s="34"/>
      <c r="LSX142" s="34"/>
      <c r="LSY142" s="34"/>
      <c r="LSZ142" s="34"/>
      <c r="LTA142" s="34"/>
      <c r="LTB142" s="34"/>
      <c r="LTC142" s="34"/>
      <c r="LTD142" s="34"/>
      <c r="LTE142" s="34"/>
      <c r="LTF142" s="34"/>
      <c r="LTG142" s="34"/>
      <c r="LTH142" s="34"/>
      <c r="LTI142" s="34"/>
      <c r="LTJ142" s="34"/>
      <c r="LTK142" s="34"/>
      <c r="LTL142" s="34"/>
      <c r="LTM142" s="34"/>
      <c r="LTN142" s="34"/>
      <c r="LTO142" s="34"/>
      <c r="LTP142" s="34"/>
      <c r="LTQ142" s="34"/>
      <c r="LTR142" s="34"/>
      <c r="LTS142" s="34"/>
      <c r="LTT142" s="34"/>
      <c r="LTU142" s="34"/>
      <c r="LTV142" s="34"/>
      <c r="LTW142" s="34"/>
      <c r="LTX142" s="34"/>
      <c r="LTY142" s="34"/>
      <c r="LTZ142" s="34"/>
      <c r="LUA142" s="34"/>
      <c r="LUB142" s="34"/>
      <c r="LUC142" s="34"/>
      <c r="LUD142" s="34"/>
      <c r="LUE142" s="34"/>
      <c r="LUF142" s="34"/>
      <c r="LUG142" s="34"/>
      <c r="LUH142" s="34"/>
      <c r="LUI142" s="34"/>
      <c r="LUJ142" s="34"/>
      <c r="LUK142" s="34"/>
      <c r="LUL142" s="34"/>
      <c r="LUM142" s="34"/>
      <c r="LUN142" s="34"/>
      <c r="LUO142" s="34"/>
      <c r="LUP142" s="34"/>
      <c r="LUQ142" s="34"/>
      <c r="LUR142" s="34"/>
      <c r="LUS142" s="34"/>
      <c r="LUT142" s="34"/>
      <c r="LUU142" s="34"/>
      <c r="LUV142" s="34"/>
      <c r="LUW142" s="34"/>
      <c r="LUX142" s="34"/>
      <c r="LUY142" s="34"/>
      <c r="LUZ142" s="34"/>
      <c r="LVA142" s="34"/>
      <c r="LVB142" s="34"/>
      <c r="LVC142" s="34"/>
      <c r="LVD142" s="34"/>
      <c r="LVE142" s="34"/>
      <c r="LVF142" s="34"/>
      <c r="LVG142" s="34"/>
      <c r="LVH142" s="34"/>
      <c r="LVI142" s="34"/>
      <c r="LVJ142" s="34"/>
      <c r="LVK142" s="34"/>
      <c r="LVL142" s="34"/>
      <c r="LVM142" s="34"/>
      <c r="LVN142" s="34"/>
      <c r="LVO142" s="34"/>
      <c r="LVP142" s="34"/>
      <c r="LVQ142" s="34"/>
      <c r="LVR142" s="34"/>
      <c r="LVS142" s="34"/>
      <c r="LVT142" s="34"/>
      <c r="LVU142" s="34"/>
      <c r="LVV142" s="34"/>
      <c r="LVW142" s="34"/>
      <c r="LVX142" s="34"/>
      <c r="LVY142" s="34"/>
      <c r="LVZ142" s="34"/>
      <c r="LWA142" s="34"/>
      <c r="LWB142" s="34"/>
      <c r="LWC142" s="34"/>
      <c r="LWD142" s="34"/>
      <c r="LWE142" s="34"/>
      <c r="LWF142" s="34"/>
      <c r="LWG142" s="34"/>
      <c r="LWH142" s="34"/>
      <c r="LWI142" s="34"/>
      <c r="LWJ142" s="34"/>
      <c r="LWK142" s="34"/>
      <c r="LWL142" s="34"/>
      <c r="LWM142" s="34"/>
      <c r="LWN142" s="34"/>
      <c r="LWO142" s="34"/>
      <c r="LWP142" s="34"/>
      <c r="LWQ142" s="34"/>
      <c r="LWR142" s="34"/>
      <c r="LWS142" s="34"/>
      <c r="LWT142" s="34"/>
      <c r="LWU142" s="34"/>
      <c r="LWV142" s="34"/>
      <c r="LWW142" s="34"/>
      <c r="LWX142" s="34"/>
      <c r="LWY142" s="34"/>
      <c r="LWZ142" s="34"/>
      <c r="LXA142" s="34"/>
      <c r="LXB142" s="34"/>
      <c r="LXC142" s="34"/>
      <c r="LXD142" s="34"/>
      <c r="LXE142" s="34"/>
      <c r="LXF142" s="34"/>
      <c r="LXG142" s="34"/>
      <c r="LXH142" s="34"/>
      <c r="LXI142" s="34"/>
      <c r="LXJ142" s="34"/>
      <c r="LXK142" s="34"/>
      <c r="LXL142" s="34"/>
      <c r="LXM142" s="34"/>
      <c r="LXN142" s="34"/>
      <c r="LXO142" s="34"/>
      <c r="LXP142" s="34"/>
      <c r="LXQ142" s="34"/>
      <c r="LXR142" s="34"/>
      <c r="LXS142" s="34"/>
      <c r="LXT142" s="34"/>
      <c r="LXU142" s="34"/>
      <c r="LXV142" s="34"/>
      <c r="LXW142" s="34"/>
      <c r="LXX142" s="34"/>
      <c r="LXY142" s="34"/>
      <c r="LXZ142" s="34"/>
      <c r="LYA142" s="34"/>
      <c r="LYB142" s="34"/>
      <c r="LYC142" s="34"/>
      <c r="LYD142" s="34"/>
      <c r="LYE142" s="34"/>
      <c r="LYF142" s="34"/>
      <c r="LYG142" s="34"/>
      <c r="LYH142" s="34"/>
      <c r="LYI142" s="34"/>
      <c r="LYJ142" s="34"/>
      <c r="LYK142" s="34"/>
      <c r="LYL142" s="34"/>
      <c r="LYM142" s="34"/>
      <c r="LYN142" s="34"/>
      <c r="LYO142" s="34"/>
      <c r="LYP142" s="34"/>
      <c r="LYQ142" s="34"/>
      <c r="LYR142" s="34"/>
      <c r="LYS142" s="34"/>
      <c r="LYT142" s="34"/>
      <c r="LYU142" s="34"/>
      <c r="LYV142" s="34"/>
      <c r="LYW142" s="34"/>
      <c r="LYX142" s="34"/>
      <c r="LYY142" s="34"/>
      <c r="LYZ142" s="34"/>
      <c r="LZA142" s="34"/>
      <c r="LZB142" s="34"/>
      <c r="LZC142" s="34"/>
      <c r="LZD142" s="34"/>
      <c r="LZE142" s="34"/>
      <c r="LZF142" s="34"/>
      <c r="LZG142" s="34"/>
      <c r="LZH142" s="34"/>
      <c r="LZI142" s="34"/>
      <c r="LZJ142" s="34"/>
      <c r="LZK142" s="34"/>
      <c r="LZL142" s="34"/>
      <c r="LZM142" s="34"/>
      <c r="LZN142" s="34"/>
      <c r="LZO142" s="34"/>
      <c r="LZP142" s="34"/>
      <c r="LZQ142" s="34"/>
      <c r="LZR142" s="34"/>
      <c r="LZS142" s="34"/>
      <c r="LZT142" s="34"/>
      <c r="LZU142" s="34"/>
      <c r="LZV142" s="34"/>
      <c r="LZW142" s="34"/>
      <c r="LZX142" s="34"/>
      <c r="LZY142" s="34"/>
      <c r="LZZ142" s="34"/>
      <c r="MAA142" s="34"/>
      <c r="MAB142" s="34"/>
      <c r="MAC142" s="34"/>
      <c r="MAD142" s="34"/>
      <c r="MAE142" s="34"/>
      <c r="MAF142" s="34"/>
      <c r="MAG142" s="34"/>
      <c r="MAH142" s="34"/>
      <c r="MAI142" s="34"/>
      <c r="MAJ142" s="34"/>
      <c r="MAK142" s="34"/>
      <c r="MAL142" s="34"/>
      <c r="MAM142" s="34"/>
      <c r="MAN142" s="34"/>
      <c r="MAO142" s="34"/>
      <c r="MAP142" s="34"/>
      <c r="MAQ142" s="34"/>
      <c r="MAR142" s="34"/>
      <c r="MAS142" s="34"/>
      <c r="MAT142" s="34"/>
      <c r="MAU142" s="34"/>
      <c r="MAV142" s="34"/>
      <c r="MAW142" s="34"/>
      <c r="MAX142" s="34"/>
      <c r="MAY142" s="34"/>
      <c r="MAZ142" s="34"/>
      <c r="MBA142" s="34"/>
      <c r="MBB142" s="34"/>
      <c r="MBC142" s="34"/>
      <c r="MBD142" s="34"/>
      <c r="MBE142" s="34"/>
      <c r="MBF142" s="34"/>
      <c r="MBG142" s="34"/>
      <c r="MBH142" s="34"/>
      <c r="MBI142" s="34"/>
      <c r="MBJ142" s="34"/>
      <c r="MBK142" s="34"/>
      <c r="MBL142" s="34"/>
      <c r="MBM142" s="34"/>
      <c r="MBN142" s="34"/>
      <c r="MBO142" s="34"/>
      <c r="MBP142" s="34"/>
      <c r="MBQ142" s="34"/>
      <c r="MBR142" s="34"/>
      <c r="MBS142" s="34"/>
      <c r="MBT142" s="34"/>
      <c r="MBU142" s="34"/>
      <c r="MBV142" s="34"/>
      <c r="MBW142" s="34"/>
      <c r="MBX142" s="34"/>
      <c r="MBY142" s="34"/>
      <c r="MBZ142" s="34"/>
      <c r="MCA142" s="34"/>
      <c r="MCB142" s="34"/>
      <c r="MCC142" s="34"/>
      <c r="MCD142" s="34"/>
      <c r="MCE142" s="34"/>
      <c r="MCF142" s="34"/>
      <c r="MCG142" s="34"/>
      <c r="MCH142" s="34"/>
      <c r="MCI142" s="34"/>
      <c r="MCJ142" s="34"/>
      <c r="MCK142" s="34"/>
      <c r="MCL142" s="34"/>
      <c r="MCM142" s="34"/>
      <c r="MCN142" s="34"/>
      <c r="MCO142" s="34"/>
      <c r="MCP142" s="34"/>
      <c r="MCQ142" s="34"/>
      <c r="MCR142" s="34"/>
      <c r="MCS142" s="34"/>
      <c r="MCT142" s="34"/>
      <c r="MCU142" s="34"/>
      <c r="MCV142" s="34"/>
      <c r="MCW142" s="34"/>
      <c r="MCX142" s="34"/>
      <c r="MCY142" s="34"/>
      <c r="MCZ142" s="34"/>
      <c r="MDA142" s="34"/>
      <c r="MDB142" s="34"/>
      <c r="MDC142" s="34"/>
      <c r="MDD142" s="34"/>
      <c r="MDE142" s="34"/>
      <c r="MDF142" s="34"/>
      <c r="MDG142" s="34"/>
      <c r="MDH142" s="34"/>
      <c r="MDI142" s="34"/>
      <c r="MDJ142" s="34"/>
      <c r="MDK142" s="34"/>
      <c r="MDL142" s="34"/>
      <c r="MDM142" s="34"/>
      <c r="MDN142" s="34"/>
      <c r="MDO142" s="34"/>
      <c r="MDP142" s="34"/>
      <c r="MDQ142" s="34"/>
      <c r="MDR142" s="34"/>
      <c r="MDS142" s="34"/>
      <c r="MDT142" s="34"/>
      <c r="MDU142" s="34"/>
      <c r="MDV142" s="34"/>
      <c r="MDW142" s="34"/>
      <c r="MDX142" s="34"/>
      <c r="MDY142" s="34"/>
      <c r="MDZ142" s="34"/>
      <c r="MEA142" s="34"/>
      <c r="MEB142" s="34"/>
      <c r="MEC142" s="34"/>
      <c r="MED142" s="34"/>
      <c r="MEE142" s="34"/>
      <c r="MEF142" s="34"/>
      <c r="MEG142" s="34"/>
      <c r="MEH142" s="34"/>
      <c r="MEI142" s="34"/>
      <c r="MEJ142" s="34"/>
      <c r="MEK142" s="34"/>
      <c r="MEL142" s="34"/>
      <c r="MEM142" s="34"/>
      <c r="MEN142" s="34"/>
      <c r="MEO142" s="34"/>
      <c r="MEP142" s="34"/>
      <c r="MEQ142" s="34"/>
      <c r="MER142" s="34"/>
      <c r="MES142" s="34"/>
      <c r="MET142" s="34"/>
      <c r="MEU142" s="34"/>
      <c r="MEV142" s="34"/>
      <c r="MEW142" s="34"/>
      <c r="MEX142" s="34"/>
      <c r="MEY142" s="34"/>
      <c r="MEZ142" s="34"/>
      <c r="MFA142" s="34"/>
      <c r="MFB142" s="34"/>
      <c r="MFC142" s="34"/>
      <c r="MFD142" s="34"/>
      <c r="MFE142" s="34"/>
      <c r="MFF142" s="34"/>
      <c r="MFG142" s="34"/>
      <c r="MFH142" s="34"/>
      <c r="MFI142" s="34"/>
      <c r="MFJ142" s="34"/>
      <c r="MFK142" s="34"/>
      <c r="MFL142" s="34"/>
      <c r="MFM142" s="34"/>
      <c r="MFN142" s="34"/>
      <c r="MFO142" s="34"/>
      <c r="MFP142" s="34"/>
      <c r="MFQ142" s="34"/>
      <c r="MFR142" s="34"/>
      <c r="MFS142" s="34"/>
      <c r="MFT142" s="34"/>
      <c r="MFU142" s="34"/>
      <c r="MFV142" s="34"/>
      <c r="MFW142" s="34"/>
      <c r="MFX142" s="34"/>
      <c r="MFY142" s="34"/>
      <c r="MFZ142" s="34"/>
      <c r="MGA142" s="34"/>
      <c r="MGB142" s="34"/>
      <c r="MGC142" s="34"/>
      <c r="MGD142" s="34"/>
      <c r="MGE142" s="34"/>
      <c r="MGF142" s="34"/>
      <c r="MGG142" s="34"/>
      <c r="MGH142" s="34"/>
      <c r="MGI142" s="34"/>
      <c r="MGJ142" s="34"/>
      <c r="MGK142" s="34"/>
      <c r="MGL142" s="34"/>
      <c r="MGM142" s="34"/>
      <c r="MGN142" s="34"/>
      <c r="MGO142" s="34"/>
      <c r="MGP142" s="34"/>
      <c r="MGQ142" s="34"/>
      <c r="MGR142" s="34"/>
      <c r="MGS142" s="34"/>
      <c r="MGT142" s="34"/>
      <c r="MGU142" s="34"/>
      <c r="MGV142" s="34"/>
      <c r="MGW142" s="34"/>
      <c r="MGX142" s="34"/>
      <c r="MGY142" s="34"/>
      <c r="MGZ142" s="34"/>
      <c r="MHA142" s="34"/>
      <c r="MHB142" s="34"/>
      <c r="MHC142" s="34"/>
      <c r="MHD142" s="34"/>
      <c r="MHE142" s="34"/>
      <c r="MHF142" s="34"/>
      <c r="MHG142" s="34"/>
      <c r="MHH142" s="34"/>
      <c r="MHI142" s="34"/>
      <c r="MHJ142" s="34"/>
      <c r="MHK142" s="34"/>
      <c r="MHL142" s="34"/>
      <c r="MHM142" s="34"/>
      <c r="MHN142" s="34"/>
      <c r="MHO142" s="34"/>
      <c r="MHP142" s="34"/>
      <c r="MHQ142" s="34"/>
      <c r="MHR142" s="34"/>
      <c r="MHS142" s="34"/>
      <c r="MHT142" s="34"/>
      <c r="MHU142" s="34"/>
      <c r="MHV142" s="34"/>
      <c r="MHW142" s="34"/>
      <c r="MHX142" s="34"/>
      <c r="MHY142" s="34"/>
      <c r="MHZ142" s="34"/>
      <c r="MIA142" s="34"/>
      <c r="MIB142" s="34"/>
      <c r="MIC142" s="34"/>
      <c r="MID142" s="34"/>
      <c r="MIE142" s="34"/>
      <c r="MIF142" s="34"/>
      <c r="MIG142" s="34"/>
      <c r="MIH142" s="34"/>
      <c r="MII142" s="34"/>
      <c r="MIJ142" s="34"/>
      <c r="MIK142" s="34"/>
      <c r="MIL142" s="34"/>
      <c r="MIM142" s="34"/>
      <c r="MIN142" s="34"/>
      <c r="MIO142" s="34"/>
      <c r="MIP142" s="34"/>
      <c r="MIQ142" s="34"/>
      <c r="MIR142" s="34"/>
      <c r="MIS142" s="34"/>
      <c r="MIT142" s="34"/>
      <c r="MIU142" s="34"/>
      <c r="MIV142" s="34"/>
      <c r="MIW142" s="34"/>
      <c r="MIX142" s="34"/>
      <c r="MIY142" s="34"/>
      <c r="MIZ142" s="34"/>
      <c r="MJA142" s="34"/>
      <c r="MJB142" s="34"/>
      <c r="MJC142" s="34"/>
      <c r="MJD142" s="34"/>
      <c r="MJE142" s="34"/>
      <c r="MJF142" s="34"/>
      <c r="MJG142" s="34"/>
      <c r="MJH142" s="34"/>
      <c r="MJI142" s="34"/>
      <c r="MJJ142" s="34"/>
      <c r="MJK142" s="34"/>
      <c r="MJL142" s="34"/>
      <c r="MJM142" s="34"/>
      <c r="MJN142" s="34"/>
      <c r="MJO142" s="34"/>
      <c r="MJP142" s="34"/>
      <c r="MJQ142" s="34"/>
      <c r="MJR142" s="34"/>
      <c r="MJS142" s="34"/>
      <c r="MJT142" s="34"/>
      <c r="MJU142" s="34"/>
      <c r="MJV142" s="34"/>
      <c r="MJW142" s="34"/>
      <c r="MJX142" s="34"/>
      <c r="MJY142" s="34"/>
      <c r="MJZ142" s="34"/>
      <c r="MKA142" s="34"/>
      <c r="MKB142" s="34"/>
      <c r="MKC142" s="34"/>
      <c r="MKD142" s="34"/>
      <c r="MKE142" s="34"/>
      <c r="MKF142" s="34"/>
      <c r="MKG142" s="34"/>
      <c r="MKH142" s="34"/>
      <c r="MKI142" s="34"/>
      <c r="MKJ142" s="34"/>
      <c r="MKK142" s="34"/>
      <c r="MKL142" s="34"/>
      <c r="MKM142" s="34"/>
      <c r="MKN142" s="34"/>
      <c r="MKO142" s="34"/>
      <c r="MKP142" s="34"/>
      <c r="MKQ142" s="34"/>
      <c r="MKR142" s="34"/>
      <c r="MKS142" s="34"/>
      <c r="MKT142" s="34"/>
      <c r="MKU142" s="34"/>
      <c r="MKV142" s="34"/>
      <c r="MKW142" s="34"/>
      <c r="MKX142" s="34"/>
      <c r="MKY142" s="34"/>
      <c r="MKZ142" s="34"/>
      <c r="MLA142" s="34"/>
      <c r="MLB142" s="34"/>
      <c r="MLC142" s="34"/>
      <c r="MLD142" s="34"/>
      <c r="MLE142" s="34"/>
      <c r="MLF142" s="34"/>
      <c r="MLG142" s="34"/>
      <c r="MLH142" s="34"/>
      <c r="MLI142" s="34"/>
      <c r="MLJ142" s="34"/>
      <c r="MLK142" s="34"/>
      <c r="MLL142" s="34"/>
      <c r="MLM142" s="34"/>
      <c r="MLN142" s="34"/>
      <c r="MLO142" s="34"/>
      <c r="MLP142" s="34"/>
      <c r="MLQ142" s="34"/>
      <c r="MLR142" s="34"/>
      <c r="MLS142" s="34"/>
      <c r="MLT142" s="34"/>
      <c r="MLU142" s="34"/>
      <c r="MLV142" s="34"/>
      <c r="MLW142" s="34"/>
      <c r="MLX142" s="34"/>
      <c r="MLY142" s="34"/>
      <c r="MLZ142" s="34"/>
      <c r="MMA142" s="34"/>
      <c r="MMB142" s="34"/>
      <c r="MMC142" s="34"/>
      <c r="MMD142" s="34"/>
      <c r="MME142" s="34"/>
      <c r="MMF142" s="34"/>
      <c r="MMG142" s="34"/>
      <c r="MMH142" s="34"/>
      <c r="MMI142" s="34"/>
      <c r="MMJ142" s="34"/>
      <c r="MMK142" s="34"/>
      <c r="MML142" s="34"/>
      <c r="MMM142" s="34"/>
      <c r="MMN142" s="34"/>
      <c r="MMO142" s="34"/>
      <c r="MMP142" s="34"/>
      <c r="MMQ142" s="34"/>
      <c r="MMR142" s="34"/>
      <c r="MMS142" s="34"/>
      <c r="MMT142" s="34"/>
      <c r="MMU142" s="34"/>
      <c r="MMV142" s="34"/>
      <c r="MMW142" s="34"/>
      <c r="MMX142" s="34"/>
      <c r="MMY142" s="34"/>
      <c r="MMZ142" s="34"/>
      <c r="MNA142" s="34"/>
      <c r="MNB142" s="34"/>
      <c r="MNC142" s="34"/>
      <c r="MND142" s="34"/>
      <c r="MNE142" s="34"/>
      <c r="MNF142" s="34"/>
      <c r="MNG142" s="34"/>
      <c r="MNH142" s="34"/>
      <c r="MNI142" s="34"/>
      <c r="MNJ142" s="34"/>
      <c r="MNK142" s="34"/>
      <c r="MNL142" s="34"/>
      <c r="MNM142" s="34"/>
      <c r="MNN142" s="34"/>
      <c r="MNO142" s="34"/>
      <c r="MNP142" s="34"/>
      <c r="MNQ142" s="34"/>
      <c r="MNR142" s="34"/>
      <c r="MNS142" s="34"/>
      <c r="MNT142" s="34"/>
      <c r="MNU142" s="34"/>
      <c r="MNV142" s="34"/>
      <c r="MNW142" s="34"/>
      <c r="MNX142" s="34"/>
      <c r="MNY142" s="34"/>
      <c r="MNZ142" s="34"/>
      <c r="MOA142" s="34"/>
      <c r="MOB142" s="34"/>
      <c r="MOC142" s="34"/>
      <c r="MOD142" s="34"/>
      <c r="MOE142" s="34"/>
      <c r="MOF142" s="34"/>
      <c r="MOG142" s="34"/>
      <c r="MOH142" s="34"/>
      <c r="MOI142" s="34"/>
      <c r="MOJ142" s="34"/>
      <c r="MOK142" s="34"/>
      <c r="MOL142" s="34"/>
      <c r="MOM142" s="34"/>
      <c r="MON142" s="34"/>
      <c r="MOO142" s="34"/>
      <c r="MOP142" s="34"/>
      <c r="MOQ142" s="34"/>
      <c r="MOR142" s="34"/>
      <c r="MOS142" s="34"/>
      <c r="MOT142" s="34"/>
      <c r="MOU142" s="34"/>
      <c r="MOV142" s="34"/>
      <c r="MOW142" s="34"/>
      <c r="MOX142" s="34"/>
      <c r="MOY142" s="34"/>
      <c r="MOZ142" s="34"/>
      <c r="MPA142" s="34"/>
      <c r="MPB142" s="34"/>
      <c r="MPC142" s="34"/>
      <c r="MPD142" s="34"/>
      <c r="MPE142" s="34"/>
      <c r="MPF142" s="34"/>
      <c r="MPG142" s="34"/>
      <c r="MPH142" s="34"/>
      <c r="MPI142" s="34"/>
      <c r="MPJ142" s="34"/>
      <c r="MPK142" s="34"/>
      <c r="MPL142" s="34"/>
      <c r="MPM142" s="34"/>
      <c r="MPN142" s="34"/>
      <c r="MPO142" s="34"/>
      <c r="MPP142" s="34"/>
      <c r="MPQ142" s="34"/>
      <c r="MPR142" s="34"/>
      <c r="MPS142" s="34"/>
      <c r="MPT142" s="34"/>
      <c r="MPU142" s="34"/>
      <c r="MPV142" s="34"/>
      <c r="MPW142" s="34"/>
      <c r="MPX142" s="34"/>
      <c r="MPY142" s="34"/>
      <c r="MPZ142" s="34"/>
      <c r="MQA142" s="34"/>
      <c r="MQB142" s="34"/>
      <c r="MQC142" s="34"/>
      <c r="MQD142" s="34"/>
      <c r="MQE142" s="34"/>
      <c r="MQF142" s="34"/>
      <c r="MQG142" s="34"/>
      <c r="MQH142" s="34"/>
      <c r="MQI142" s="34"/>
      <c r="MQJ142" s="34"/>
      <c r="MQK142" s="34"/>
      <c r="MQL142" s="34"/>
      <c r="MQM142" s="34"/>
      <c r="MQN142" s="34"/>
      <c r="MQO142" s="34"/>
      <c r="MQP142" s="34"/>
      <c r="MQQ142" s="34"/>
      <c r="MQR142" s="34"/>
      <c r="MQS142" s="34"/>
      <c r="MQT142" s="34"/>
      <c r="MQU142" s="34"/>
      <c r="MQV142" s="34"/>
      <c r="MQW142" s="34"/>
      <c r="MQX142" s="34"/>
      <c r="MQY142" s="34"/>
      <c r="MQZ142" s="34"/>
      <c r="MRA142" s="34"/>
      <c r="MRB142" s="34"/>
      <c r="MRC142" s="34"/>
      <c r="MRD142" s="34"/>
      <c r="MRE142" s="34"/>
      <c r="MRF142" s="34"/>
      <c r="MRG142" s="34"/>
      <c r="MRH142" s="34"/>
      <c r="MRI142" s="34"/>
      <c r="MRJ142" s="34"/>
      <c r="MRK142" s="34"/>
      <c r="MRL142" s="34"/>
      <c r="MRM142" s="34"/>
      <c r="MRN142" s="34"/>
      <c r="MRO142" s="34"/>
      <c r="MRP142" s="34"/>
      <c r="MRQ142" s="34"/>
      <c r="MRR142" s="34"/>
      <c r="MRS142" s="34"/>
      <c r="MRT142" s="34"/>
      <c r="MRU142" s="34"/>
      <c r="MRV142" s="34"/>
      <c r="MRW142" s="34"/>
      <c r="MRX142" s="34"/>
      <c r="MRY142" s="34"/>
      <c r="MRZ142" s="34"/>
      <c r="MSA142" s="34"/>
      <c r="MSB142" s="34"/>
      <c r="MSC142" s="34"/>
      <c r="MSD142" s="34"/>
      <c r="MSE142" s="34"/>
      <c r="MSF142" s="34"/>
      <c r="MSG142" s="34"/>
      <c r="MSH142" s="34"/>
      <c r="MSI142" s="34"/>
      <c r="MSJ142" s="34"/>
      <c r="MSK142" s="34"/>
      <c r="MSL142" s="34"/>
      <c r="MSM142" s="34"/>
      <c r="MSN142" s="34"/>
      <c r="MSO142" s="34"/>
      <c r="MSP142" s="34"/>
      <c r="MSQ142" s="34"/>
      <c r="MSR142" s="34"/>
      <c r="MSS142" s="34"/>
      <c r="MST142" s="34"/>
      <c r="MSU142" s="34"/>
      <c r="MSV142" s="34"/>
      <c r="MSW142" s="34"/>
      <c r="MSX142" s="34"/>
      <c r="MSY142" s="34"/>
      <c r="MSZ142" s="34"/>
      <c r="MTA142" s="34"/>
      <c r="MTB142" s="34"/>
      <c r="MTC142" s="34"/>
      <c r="MTD142" s="34"/>
      <c r="MTE142" s="34"/>
      <c r="MTF142" s="34"/>
      <c r="MTG142" s="34"/>
      <c r="MTH142" s="34"/>
      <c r="MTI142" s="34"/>
      <c r="MTJ142" s="34"/>
      <c r="MTK142" s="34"/>
      <c r="MTL142" s="34"/>
      <c r="MTM142" s="34"/>
      <c r="MTN142" s="34"/>
      <c r="MTO142" s="34"/>
      <c r="MTP142" s="34"/>
      <c r="MTQ142" s="34"/>
      <c r="MTR142" s="34"/>
      <c r="MTS142" s="34"/>
      <c r="MTT142" s="34"/>
      <c r="MTU142" s="34"/>
      <c r="MTV142" s="34"/>
      <c r="MTW142" s="34"/>
      <c r="MTX142" s="34"/>
      <c r="MTY142" s="34"/>
      <c r="MTZ142" s="34"/>
      <c r="MUA142" s="34"/>
      <c r="MUB142" s="34"/>
      <c r="MUC142" s="34"/>
      <c r="MUD142" s="34"/>
      <c r="MUE142" s="34"/>
      <c r="MUF142" s="34"/>
      <c r="MUG142" s="34"/>
      <c r="MUH142" s="34"/>
      <c r="MUI142" s="34"/>
      <c r="MUJ142" s="34"/>
      <c r="MUK142" s="34"/>
      <c r="MUL142" s="34"/>
      <c r="MUM142" s="34"/>
      <c r="MUN142" s="34"/>
      <c r="MUO142" s="34"/>
      <c r="MUP142" s="34"/>
      <c r="MUQ142" s="34"/>
      <c r="MUR142" s="34"/>
      <c r="MUS142" s="34"/>
      <c r="MUT142" s="34"/>
      <c r="MUU142" s="34"/>
      <c r="MUV142" s="34"/>
      <c r="MUW142" s="34"/>
      <c r="MUX142" s="34"/>
      <c r="MUY142" s="34"/>
      <c r="MUZ142" s="34"/>
      <c r="MVA142" s="34"/>
      <c r="MVB142" s="34"/>
      <c r="MVC142" s="34"/>
      <c r="MVD142" s="34"/>
      <c r="MVE142" s="34"/>
      <c r="MVF142" s="34"/>
      <c r="MVG142" s="34"/>
      <c r="MVH142" s="34"/>
      <c r="MVI142" s="34"/>
      <c r="MVJ142" s="34"/>
      <c r="MVK142" s="34"/>
      <c r="MVL142" s="34"/>
      <c r="MVM142" s="34"/>
      <c r="MVN142" s="34"/>
      <c r="MVO142" s="34"/>
      <c r="MVP142" s="34"/>
      <c r="MVQ142" s="34"/>
      <c r="MVR142" s="34"/>
      <c r="MVS142" s="34"/>
      <c r="MVT142" s="34"/>
      <c r="MVU142" s="34"/>
      <c r="MVV142" s="34"/>
      <c r="MVW142" s="34"/>
      <c r="MVX142" s="34"/>
      <c r="MVY142" s="34"/>
      <c r="MVZ142" s="34"/>
      <c r="MWA142" s="34"/>
      <c r="MWB142" s="34"/>
      <c r="MWC142" s="34"/>
      <c r="MWD142" s="34"/>
      <c r="MWE142" s="34"/>
      <c r="MWF142" s="34"/>
      <c r="MWG142" s="34"/>
      <c r="MWH142" s="34"/>
      <c r="MWI142" s="34"/>
      <c r="MWJ142" s="34"/>
      <c r="MWK142" s="34"/>
      <c r="MWL142" s="34"/>
      <c r="MWM142" s="34"/>
      <c r="MWN142" s="34"/>
      <c r="MWO142" s="34"/>
      <c r="MWP142" s="34"/>
      <c r="MWQ142" s="34"/>
      <c r="MWR142" s="34"/>
      <c r="MWS142" s="34"/>
      <c r="MWT142" s="34"/>
      <c r="MWU142" s="34"/>
      <c r="MWV142" s="34"/>
      <c r="MWW142" s="34"/>
      <c r="MWX142" s="34"/>
      <c r="MWY142" s="34"/>
      <c r="MWZ142" s="34"/>
      <c r="MXA142" s="34"/>
      <c r="MXB142" s="34"/>
      <c r="MXC142" s="34"/>
      <c r="MXD142" s="34"/>
      <c r="MXE142" s="34"/>
      <c r="MXF142" s="34"/>
      <c r="MXG142" s="34"/>
      <c r="MXH142" s="34"/>
      <c r="MXI142" s="34"/>
      <c r="MXJ142" s="34"/>
      <c r="MXK142" s="34"/>
      <c r="MXL142" s="34"/>
      <c r="MXM142" s="34"/>
      <c r="MXN142" s="34"/>
      <c r="MXO142" s="34"/>
      <c r="MXP142" s="34"/>
      <c r="MXQ142" s="34"/>
      <c r="MXR142" s="34"/>
      <c r="MXS142" s="34"/>
      <c r="MXT142" s="34"/>
      <c r="MXU142" s="34"/>
      <c r="MXV142" s="34"/>
      <c r="MXW142" s="34"/>
      <c r="MXX142" s="34"/>
      <c r="MXY142" s="34"/>
      <c r="MXZ142" s="34"/>
      <c r="MYA142" s="34"/>
      <c r="MYB142" s="34"/>
      <c r="MYC142" s="34"/>
      <c r="MYD142" s="34"/>
      <c r="MYE142" s="34"/>
      <c r="MYF142" s="34"/>
      <c r="MYG142" s="34"/>
      <c r="MYH142" s="34"/>
      <c r="MYI142" s="34"/>
      <c r="MYJ142" s="34"/>
      <c r="MYK142" s="34"/>
      <c r="MYL142" s="34"/>
      <c r="MYM142" s="34"/>
      <c r="MYN142" s="34"/>
      <c r="MYO142" s="34"/>
      <c r="MYP142" s="34"/>
      <c r="MYQ142" s="34"/>
      <c r="MYR142" s="34"/>
      <c r="MYS142" s="34"/>
      <c r="MYT142" s="34"/>
      <c r="MYU142" s="34"/>
      <c r="MYV142" s="34"/>
      <c r="MYW142" s="34"/>
      <c r="MYX142" s="34"/>
      <c r="MYY142" s="34"/>
      <c r="MYZ142" s="34"/>
      <c r="MZA142" s="34"/>
      <c r="MZB142" s="34"/>
      <c r="MZC142" s="34"/>
      <c r="MZD142" s="34"/>
      <c r="MZE142" s="34"/>
      <c r="MZF142" s="34"/>
      <c r="MZG142" s="34"/>
      <c r="MZH142" s="34"/>
      <c r="MZI142" s="34"/>
      <c r="MZJ142" s="34"/>
      <c r="MZK142" s="34"/>
      <c r="MZL142" s="34"/>
      <c r="MZM142" s="34"/>
      <c r="MZN142" s="34"/>
      <c r="MZO142" s="34"/>
      <c r="MZP142" s="34"/>
      <c r="MZQ142" s="34"/>
      <c r="MZR142" s="34"/>
      <c r="MZS142" s="34"/>
      <c r="MZT142" s="34"/>
      <c r="MZU142" s="34"/>
      <c r="MZV142" s="34"/>
      <c r="MZW142" s="34"/>
      <c r="MZX142" s="34"/>
      <c r="MZY142" s="34"/>
      <c r="MZZ142" s="34"/>
      <c r="NAA142" s="34"/>
      <c r="NAB142" s="34"/>
      <c r="NAC142" s="34"/>
      <c r="NAD142" s="34"/>
      <c r="NAE142" s="34"/>
      <c r="NAF142" s="34"/>
      <c r="NAG142" s="34"/>
      <c r="NAH142" s="34"/>
      <c r="NAI142" s="34"/>
      <c r="NAJ142" s="34"/>
      <c r="NAK142" s="34"/>
      <c r="NAL142" s="34"/>
      <c r="NAM142" s="34"/>
      <c r="NAN142" s="34"/>
      <c r="NAO142" s="34"/>
      <c r="NAP142" s="34"/>
      <c r="NAQ142" s="34"/>
      <c r="NAR142" s="34"/>
      <c r="NAS142" s="34"/>
      <c r="NAT142" s="34"/>
      <c r="NAU142" s="34"/>
      <c r="NAV142" s="34"/>
      <c r="NAW142" s="34"/>
      <c r="NAX142" s="34"/>
      <c r="NAY142" s="34"/>
      <c r="NAZ142" s="34"/>
      <c r="NBA142" s="34"/>
      <c r="NBB142" s="34"/>
      <c r="NBC142" s="34"/>
      <c r="NBD142" s="34"/>
      <c r="NBE142" s="34"/>
      <c r="NBF142" s="34"/>
      <c r="NBG142" s="34"/>
      <c r="NBH142" s="34"/>
      <c r="NBI142" s="34"/>
      <c r="NBJ142" s="34"/>
      <c r="NBK142" s="34"/>
      <c r="NBL142" s="34"/>
      <c r="NBM142" s="34"/>
      <c r="NBN142" s="34"/>
      <c r="NBO142" s="34"/>
      <c r="NBP142" s="34"/>
      <c r="NBQ142" s="34"/>
      <c r="NBR142" s="34"/>
      <c r="NBS142" s="34"/>
      <c r="NBT142" s="34"/>
      <c r="NBU142" s="34"/>
      <c r="NBV142" s="34"/>
      <c r="NBW142" s="34"/>
      <c r="NBX142" s="34"/>
      <c r="NBY142" s="34"/>
      <c r="NBZ142" s="34"/>
      <c r="NCA142" s="34"/>
      <c r="NCB142" s="34"/>
      <c r="NCC142" s="34"/>
      <c r="NCD142" s="34"/>
      <c r="NCE142" s="34"/>
      <c r="NCF142" s="34"/>
      <c r="NCG142" s="34"/>
      <c r="NCH142" s="34"/>
      <c r="NCI142" s="34"/>
      <c r="NCJ142" s="34"/>
      <c r="NCK142" s="34"/>
      <c r="NCL142" s="34"/>
      <c r="NCM142" s="34"/>
      <c r="NCN142" s="34"/>
      <c r="NCO142" s="34"/>
      <c r="NCP142" s="34"/>
      <c r="NCQ142" s="34"/>
      <c r="NCR142" s="34"/>
      <c r="NCS142" s="34"/>
      <c r="NCT142" s="34"/>
      <c r="NCU142" s="34"/>
      <c r="NCV142" s="34"/>
      <c r="NCW142" s="34"/>
      <c r="NCX142" s="34"/>
      <c r="NCY142" s="34"/>
      <c r="NCZ142" s="34"/>
      <c r="NDA142" s="34"/>
      <c r="NDB142" s="34"/>
      <c r="NDC142" s="34"/>
      <c r="NDD142" s="34"/>
      <c r="NDE142" s="34"/>
      <c r="NDF142" s="34"/>
      <c r="NDG142" s="34"/>
      <c r="NDH142" s="34"/>
      <c r="NDI142" s="34"/>
      <c r="NDJ142" s="34"/>
      <c r="NDK142" s="34"/>
      <c r="NDL142" s="34"/>
      <c r="NDM142" s="34"/>
      <c r="NDN142" s="34"/>
      <c r="NDO142" s="34"/>
      <c r="NDP142" s="34"/>
      <c r="NDQ142" s="34"/>
      <c r="NDR142" s="34"/>
      <c r="NDS142" s="34"/>
      <c r="NDT142" s="34"/>
      <c r="NDU142" s="34"/>
      <c r="NDV142" s="34"/>
      <c r="NDW142" s="34"/>
      <c r="NDX142" s="34"/>
      <c r="NDY142" s="34"/>
      <c r="NDZ142" s="34"/>
      <c r="NEA142" s="34"/>
      <c r="NEB142" s="34"/>
      <c r="NEC142" s="34"/>
      <c r="NED142" s="34"/>
      <c r="NEE142" s="34"/>
      <c r="NEF142" s="34"/>
      <c r="NEG142" s="34"/>
      <c r="NEH142" s="34"/>
      <c r="NEI142" s="34"/>
      <c r="NEJ142" s="34"/>
      <c r="NEK142" s="34"/>
      <c r="NEL142" s="34"/>
      <c r="NEM142" s="34"/>
      <c r="NEN142" s="34"/>
      <c r="NEO142" s="34"/>
      <c r="NEP142" s="34"/>
      <c r="NEQ142" s="34"/>
      <c r="NER142" s="34"/>
      <c r="NES142" s="34"/>
      <c r="NET142" s="34"/>
      <c r="NEU142" s="34"/>
      <c r="NEV142" s="34"/>
      <c r="NEW142" s="34"/>
      <c r="NEX142" s="34"/>
      <c r="NEY142" s="34"/>
      <c r="NEZ142" s="34"/>
      <c r="NFA142" s="34"/>
      <c r="NFB142" s="34"/>
      <c r="NFC142" s="34"/>
      <c r="NFD142" s="34"/>
      <c r="NFE142" s="34"/>
      <c r="NFF142" s="34"/>
      <c r="NFG142" s="34"/>
      <c r="NFH142" s="34"/>
      <c r="NFI142" s="34"/>
      <c r="NFJ142" s="34"/>
      <c r="NFK142" s="34"/>
      <c r="NFL142" s="34"/>
      <c r="NFM142" s="34"/>
      <c r="NFN142" s="34"/>
      <c r="NFO142" s="34"/>
      <c r="NFP142" s="34"/>
      <c r="NFQ142" s="34"/>
      <c r="NFR142" s="34"/>
      <c r="NFS142" s="34"/>
      <c r="NFT142" s="34"/>
      <c r="NFU142" s="34"/>
      <c r="NFV142" s="34"/>
      <c r="NFW142" s="34"/>
      <c r="NFX142" s="34"/>
      <c r="NFY142" s="34"/>
      <c r="NFZ142" s="34"/>
      <c r="NGA142" s="34"/>
      <c r="NGB142" s="34"/>
      <c r="NGC142" s="34"/>
      <c r="NGD142" s="34"/>
      <c r="NGE142" s="34"/>
      <c r="NGF142" s="34"/>
      <c r="NGG142" s="34"/>
      <c r="NGH142" s="34"/>
      <c r="NGI142" s="34"/>
      <c r="NGJ142" s="34"/>
      <c r="NGK142" s="34"/>
      <c r="NGL142" s="34"/>
      <c r="NGM142" s="34"/>
      <c r="NGN142" s="34"/>
      <c r="NGO142" s="34"/>
      <c r="NGP142" s="34"/>
      <c r="NGQ142" s="34"/>
      <c r="NGR142" s="34"/>
      <c r="NGS142" s="34"/>
      <c r="NGT142" s="34"/>
      <c r="NGU142" s="34"/>
      <c r="NGV142" s="34"/>
      <c r="NGW142" s="34"/>
      <c r="NGX142" s="34"/>
      <c r="NGY142" s="34"/>
      <c r="NGZ142" s="34"/>
      <c r="NHA142" s="34"/>
      <c r="NHB142" s="34"/>
      <c r="NHC142" s="34"/>
      <c r="NHD142" s="34"/>
      <c r="NHE142" s="34"/>
      <c r="NHF142" s="34"/>
      <c r="NHG142" s="34"/>
      <c r="NHH142" s="34"/>
      <c r="NHI142" s="34"/>
      <c r="NHJ142" s="34"/>
      <c r="NHK142" s="34"/>
      <c r="NHL142" s="34"/>
      <c r="NHM142" s="34"/>
      <c r="NHN142" s="34"/>
      <c r="NHO142" s="34"/>
      <c r="NHP142" s="34"/>
      <c r="NHQ142" s="34"/>
      <c r="NHR142" s="34"/>
      <c r="NHS142" s="34"/>
      <c r="NHT142" s="34"/>
      <c r="NHU142" s="34"/>
      <c r="NHV142" s="34"/>
      <c r="NHW142" s="34"/>
      <c r="NHX142" s="34"/>
      <c r="NHY142" s="34"/>
      <c r="NHZ142" s="34"/>
      <c r="NIA142" s="34"/>
      <c r="NIB142" s="34"/>
      <c r="NIC142" s="34"/>
      <c r="NID142" s="34"/>
      <c r="NIE142" s="34"/>
      <c r="NIF142" s="34"/>
      <c r="NIG142" s="34"/>
      <c r="NIH142" s="34"/>
      <c r="NII142" s="34"/>
      <c r="NIJ142" s="34"/>
      <c r="NIK142" s="34"/>
      <c r="NIL142" s="34"/>
      <c r="NIM142" s="34"/>
      <c r="NIN142" s="34"/>
      <c r="NIO142" s="34"/>
      <c r="NIP142" s="34"/>
      <c r="NIQ142" s="34"/>
      <c r="NIR142" s="34"/>
      <c r="NIS142" s="34"/>
      <c r="NIT142" s="34"/>
      <c r="NIU142" s="34"/>
      <c r="NIV142" s="34"/>
      <c r="NIW142" s="34"/>
      <c r="NIX142" s="34"/>
      <c r="NIY142" s="34"/>
      <c r="NIZ142" s="34"/>
      <c r="NJA142" s="34"/>
      <c r="NJB142" s="34"/>
      <c r="NJC142" s="34"/>
      <c r="NJD142" s="34"/>
      <c r="NJE142" s="34"/>
      <c r="NJF142" s="34"/>
      <c r="NJG142" s="34"/>
      <c r="NJH142" s="34"/>
      <c r="NJI142" s="34"/>
      <c r="NJJ142" s="34"/>
      <c r="NJK142" s="34"/>
      <c r="NJL142" s="34"/>
      <c r="NJM142" s="34"/>
      <c r="NJN142" s="34"/>
      <c r="NJO142" s="34"/>
      <c r="NJP142" s="34"/>
      <c r="NJQ142" s="34"/>
      <c r="NJR142" s="34"/>
      <c r="NJS142" s="34"/>
      <c r="NJT142" s="34"/>
      <c r="NJU142" s="34"/>
      <c r="NJV142" s="34"/>
      <c r="NJW142" s="34"/>
      <c r="NJX142" s="34"/>
      <c r="NJY142" s="34"/>
      <c r="NJZ142" s="34"/>
      <c r="NKA142" s="34"/>
      <c r="NKB142" s="34"/>
      <c r="NKC142" s="34"/>
      <c r="NKD142" s="34"/>
      <c r="NKE142" s="34"/>
      <c r="NKF142" s="34"/>
      <c r="NKG142" s="34"/>
      <c r="NKH142" s="34"/>
      <c r="NKI142" s="34"/>
      <c r="NKJ142" s="34"/>
      <c r="NKK142" s="34"/>
      <c r="NKL142" s="34"/>
      <c r="NKM142" s="34"/>
      <c r="NKN142" s="34"/>
      <c r="NKO142" s="34"/>
      <c r="NKP142" s="34"/>
      <c r="NKQ142" s="34"/>
      <c r="NKR142" s="34"/>
      <c r="NKS142" s="34"/>
      <c r="NKT142" s="34"/>
      <c r="NKU142" s="34"/>
      <c r="NKV142" s="34"/>
      <c r="NKW142" s="34"/>
      <c r="NKX142" s="34"/>
      <c r="NKY142" s="34"/>
      <c r="NKZ142" s="34"/>
      <c r="NLA142" s="34"/>
      <c r="NLB142" s="34"/>
      <c r="NLC142" s="34"/>
      <c r="NLD142" s="34"/>
      <c r="NLE142" s="34"/>
      <c r="NLF142" s="34"/>
      <c r="NLG142" s="34"/>
      <c r="NLH142" s="34"/>
      <c r="NLI142" s="34"/>
      <c r="NLJ142" s="34"/>
      <c r="NLK142" s="34"/>
      <c r="NLL142" s="34"/>
      <c r="NLM142" s="34"/>
      <c r="NLN142" s="34"/>
      <c r="NLO142" s="34"/>
      <c r="NLP142" s="34"/>
      <c r="NLQ142" s="34"/>
      <c r="NLR142" s="34"/>
      <c r="NLS142" s="34"/>
      <c r="NLT142" s="34"/>
      <c r="NLU142" s="34"/>
      <c r="NLV142" s="34"/>
      <c r="NLW142" s="34"/>
      <c r="NLX142" s="34"/>
      <c r="NLY142" s="34"/>
      <c r="NLZ142" s="34"/>
      <c r="NMA142" s="34"/>
      <c r="NMB142" s="34"/>
      <c r="NMC142" s="34"/>
      <c r="NMD142" s="34"/>
      <c r="NME142" s="34"/>
      <c r="NMF142" s="34"/>
      <c r="NMG142" s="34"/>
      <c r="NMH142" s="34"/>
      <c r="NMI142" s="34"/>
      <c r="NMJ142" s="34"/>
      <c r="NMK142" s="34"/>
      <c r="NML142" s="34"/>
      <c r="NMM142" s="34"/>
      <c r="NMN142" s="34"/>
      <c r="NMO142" s="34"/>
      <c r="NMP142" s="34"/>
      <c r="NMQ142" s="34"/>
      <c r="NMR142" s="34"/>
      <c r="NMS142" s="34"/>
      <c r="NMT142" s="34"/>
      <c r="NMU142" s="34"/>
      <c r="NMV142" s="34"/>
      <c r="NMW142" s="34"/>
      <c r="NMX142" s="34"/>
      <c r="NMY142" s="34"/>
      <c r="NMZ142" s="34"/>
      <c r="NNA142" s="34"/>
      <c r="NNB142" s="34"/>
      <c r="NNC142" s="34"/>
      <c r="NND142" s="34"/>
      <c r="NNE142" s="34"/>
      <c r="NNF142" s="34"/>
      <c r="NNG142" s="34"/>
      <c r="NNH142" s="34"/>
      <c r="NNI142" s="34"/>
      <c r="NNJ142" s="34"/>
      <c r="NNK142" s="34"/>
      <c r="NNL142" s="34"/>
      <c r="NNM142" s="34"/>
      <c r="NNN142" s="34"/>
      <c r="NNO142" s="34"/>
      <c r="NNP142" s="34"/>
      <c r="NNQ142" s="34"/>
      <c r="NNR142" s="34"/>
      <c r="NNS142" s="34"/>
      <c r="NNT142" s="34"/>
      <c r="NNU142" s="34"/>
      <c r="NNV142" s="34"/>
      <c r="NNW142" s="34"/>
      <c r="NNX142" s="34"/>
      <c r="NNY142" s="34"/>
      <c r="NNZ142" s="34"/>
      <c r="NOA142" s="34"/>
      <c r="NOB142" s="34"/>
      <c r="NOC142" s="34"/>
      <c r="NOD142" s="34"/>
      <c r="NOE142" s="34"/>
      <c r="NOF142" s="34"/>
      <c r="NOG142" s="34"/>
      <c r="NOH142" s="34"/>
      <c r="NOI142" s="34"/>
      <c r="NOJ142" s="34"/>
      <c r="NOK142" s="34"/>
      <c r="NOL142" s="34"/>
      <c r="NOM142" s="34"/>
      <c r="NON142" s="34"/>
      <c r="NOO142" s="34"/>
      <c r="NOP142" s="34"/>
      <c r="NOQ142" s="34"/>
      <c r="NOR142" s="34"/>
      <c r="NOS142" s="34"/>
      <c r="NOT142" s="34"/>
      <c r="NOU142" s="34"/>
      <c r="NOV142" s="34"/>
      <c r="NOW142" s="34"/>
      <c r="NOX142" s="34"/>
      <c r="NOY142" s="34"/>
      <c r="NOZ142" s="34"/>
      <c r="NPA142" s="34"/>
      <c r="NPB142" s="34"/>
      <c r="NPC142" s="34"/>
      <c r="NPD142" s="34"/>
      <c r="NPE142" s="34"/>
      <c r="NPF142" s="34"/>
      <c r="NPG142" s="34"/>
      <c r="NPH142" s="34"/>
      <c r="NPI142" s="34"/>
      <c r="NPJ142" s="34"/>
      <c r="NPK142" s="34"/>
      <c r="NPL142" s="34"/>
      <c r="NPM142" s="34"/>
      <c r="NPN142" s="34"/>
      <c r="NPO142" s="34"/>
      <c r="NPP142" s="34"/>
      <c r="NPQ142" s="34"/>
      <c r="NPR142" s="34"/>
      <c r="NPS142" s="34"/>
      <c r="NPT142" s="34"/>
      <c r="NPU142" s="34"/>
      <c r="NPV142" s="34"/>
      <c r="NPW142" s="34"/>
      <c r="NPX142" s="34"/>
      <c r="NPY142" s="34"/>
      <c r="NPZ142" s="34"/>
      <c r="NQA142" s="34"/>
      <c r="NQB142" s="34"/>
      <c r="NQC142" s="34"/>
      <c r="NQD142" s="34"/>
      <c r="NQE142" s="34"/>
      <c r="NQF142" s="34"/>
      <c r="NQG142" s="34"/>
      <c r="NQH142" s="34"/>
      <c r="NQI142" s="34"/>
      <c r="NQJ142" s="34"/>
      <c r="NQK142" s="34"/>
      <c r="NQL142" s="34"/>
      <c r="NQM142" s="34"/>
      <c r="NQN142" s="34"/>
      <c r="NQO142" s="34"/>
      <c r="NQP142" s="34"/>
      <c r="NQQ142" s="34"/>
      <c r="NQR142" s="34"/>
      <c r="NQS142" s="34"/>
      <c r="NQT142" s="34"/>
      <c r="NQU142" s="34"/>
      <c r="NQV142" s="34"/>
      <c r="NQW142" s="34"/>
      <c r="NQX142" s="34"/>
      <c r="NQY142" s="34"/>
      <c r="NQZ142" s="34"/>
      <c r="NRA142" s="34"/>
      <c r="NRB142" s="34"/>
      <c r="NRC142" s="34"/>
      <c r="NRD142" s="34"/>
      <c r="NRE142" s="34"/>
      <c r="NRF142" s="34"/>
      <c r="NRG142" s="34"/>
      <c r="NRH142" s="34"/>
      <c r="NRI142" s="34"/>
      <c r="NRJ142" s="34"/>
      <c r="NRK142" s="34"/>
      <c r="NRL142" s="34"/>
      <c r="NRM142" s="34"/>
      <c r="NRN142" s="34"/>
      <c r="NRO142" s="34"/>
      <c r="NRP142" s="34"/>
      <c r="NRQ142" s="34"/>
      <c r="NRR142" s="34"/>
      <c r="NRS142" s="34"/>
      <c r="NRT142" s="34"/>
      <c r="NRU142" s="34"/>
      <c r="NRV142" s="34"/>
      <c r="NRW142" s="34"/>
      <c r="NRX142" s="34"/>
      <c r="NRY142" s="34"/>
      <c r="NRZ142" s="34"/>
      <c r="NSA142" s="34"/>
      <c r="NSB142" s="34"/>
      <c r="NSC142" s="34"/>
      <c r="NSD142" s="34"/>
      <c r="NSE142" s="34"/>
      <c r="NSF142" s="34"/>
      <c r="NSG142" s="34"/>
      <c r="NSH142" s="34"/>
      <c r="NSI142" s="34"/>
      <c r="NSJ142" s="34"/>
      <c r="NSK142" s="34"/>
      <c r="NSL142" s="34"/>
      <c r="NSM142" s="34"/>
      <c r="NSN142" s="34"/>
      <c r="NSO142" s="34"/>
      <c r="NSP142" s="34"/>
      <c r="NSQ142" s="34"/>
      <c r="NSR142" s="34"/>
      <c r="NSS142" s="34"/>
      <c r="NST142" s="34"/>
      <c r="NSU142" s="34"/>
      <c r="NSV142" s="34"/>
      <c r="NSW142" s="34"/>
      <c r="NSX142" s="34"/>
      <c r="NSY142" s="34"/>
      <c r="NSZ142" s="34"/>
      <c r="NTA142" s="34"/>
      <c r="NTB142" s="34"/>
      <c r="NTC142" s="34"/>
      <c r="NTD142" s="34"/>
      <c r="NTE142" s="34"/>
      <c r="NTF142" s="34"/>
      <c r="NTG142" s="34"/>
      <c r="NTH142" s="34"/>
      <c r="NTI142" s="34"/>
      <c r="NTJ142" s="34"/>
      <c r="NTK142" s="34"/>
      <c r="NTL142" s="34"/>
      <c r="NTM142" s="34"/>
      <c r="NTN142" s="34"/>
      <c r="NTO142" s="34"/>
      <c r="NTP142" s="34"/>
      <c r="NTQ142" s="34"/>
      <c r="NTR142" s="34"/>
      <c r="NTS142" s="34"/>
      <c r="NTT142" s="34"/>
      <c r="NTU142" s="34"/>
      <c r="NTV142" s="34"/>
      <c r="NTW142" s="34"/>
      <c r="NTX142" s="34"/>
      <c r="NTY142" s="34"/>
      <c r="NTZ142" s="34"/>
      <c r="NUA142" s="34"/>
      <c r="NUB142" s="34"/>
      <c r="NUC142" s="34"/>
      <c r="NUD142" s="34"/>
      <c r="NUE142" s="34"/>
      <c r="NUF142" s="34"/>
      <c r="NUG142" s="34"/>
      <c r="NUH142" s="34"/>
      <c r="NUI142" s="34"/>
      <c r="NUJ142" s="34"/>
      <c r="NUK142" s="34"/>
      <c r="NUL142" s="34"/>
      <c r="NUM142" s="34"/>
      <c r="NUN142" s="34"/>
      <c r="NUO142" s="34"/>
      <c r="NUP142" s="34"/>
      <c r="NUQ142" s="34"/>
      <c r="NUR142" s="34"/>
      <c r="NUS142" s="34"/>
      <c r="NUT142" s="34"/>
      <c r="NUU142" s="34"/>
      <c r="NUV142" s="34"/>
      <c r="NUW142" s="34"/>
      <c r="NUX142" s="34"/>
      <c r="NUY142" s="34"/>
      <c r="NUZ142" s="34"/>
      <c r="NVA142" s="34"/>
      <c r="NVB142" s="34"/>
      <c r="NVC142" s="34"/>
      <c r="NVD142" s="34"/>
      <c r="NVE142" s="34"/>
      <c r="NVF142" s="34"/>
      <c r="NVG142" s="34"/>
      <c r="NVH142" s="34"/>
      <c r="NVI142" s="34"/>
      <c r="NVJ142" s="34"/>
      <c r="NVK142" s="34"/>
      <c r="NVL142" s="34"/>
      <c r="NVM142" s="34"/>
      <c r="NVN142" s="34"/>
      <c r="NVO142" s="34"/>
      <c r="NVP142" s="34"/>
      <c r="NVQ142" s="34"/>
      <c r="NVR142" s="34"/>
      <c r="NVS142" s="34"/>
      <c r="NVT142" s="34"/>
      <c r="NVU142" s="34"/>
      <c r="NVV142" s="34"/>
      <c r="NVW142" s="34"/>
      <c r="NVX142" s="34"/>
      <c r="NVY142" s="34"/>
      <c r="NVZ142" s="34"/>
      <c r="NWA142" s="34"/>
      <c r="NWB142" s="34"/>
      <c r="NWC142" s="34"/>
      <c r="NWD142" s="34"/>
      <c r="NWE142" s="34"/>
      <c r="NWF142" s="34"/>
      <c r="NWG142" s="34"/>
      <c r="NWH142" s="34"/>
      <c r="NWI142" s="34"/>
      <c r="NWJ142" s="34"/>
      <c r="NWK142" s="34"/>
      <c r="NWL142" s="34"/>
      <c r="NWM142" s="34"/>
      <c r="NWN142" s="34"/>
      <c r="NWO142" s="34"/>
      <c r="NWP142" s="34"/>
      <c r="NWQ142" s="34"/>
      <c r="NWR142" s="34"/>
      <c r="NWS142" s="34"/>
      <c r="NWT142" s="34"/>
      <c r="NWU142" s="34"/>
      <c r="NWV142" s="34"/>
      <c r="NWW142" s="34"/>
      <c r="NWX142" s="34"/>
      <c r="NWY142" s="34"/>
      <c r="NWZ142" s="34"/>
      <c r="NXA142" s="34"/>
      <c r="NXB142" s="34"/>
      <c r="NXC142" s="34"/>
      <c r="NXD142" s="34"/>
      <c r="NXE142" s="34"/>
      <c r="NXF142" s="34"/>
      <c r="NXG142" s="34"/>
      <c r="NXH142" s="34"/>
      <c r="NXI142" s="34"/>
      <c r="NXJ142" s="34"/>
      <c r="NXK142" s="34"/>
      <c r="NXL142" s="34"/>
      <c r="NXM142" s="34"/>
      <c r="NXN142" s="34"/>
      <c r="NXO142" s="34"/>
      <c r="NXP142" s="34"/>
      <c r="NXQ142" s="34"/>
      <c r="NXR142" s="34"/>
      <c r="NXS142" s="34"/>
      <c r="NXT142" s="34"/>
      <c r="NXU142" s="34"/>
      <c r="NXV142" s="34"/>
      <c r="NXW142" s="34"/>
      <c r="NXX142" s="34"/>
      <c r="NXY142" s="34"/>
      <c r="NXZ142" s="34"/>
      <c r="NYA142" s="34"/>
      <c r="NYB142" s="34"/>
      <c r="NYC142" s="34"/>
      <c r="NYD142" s="34"/>
      <c r="NYE142" s="34"/>
      <c r="NYF142" s="34"/>
      <c r="NYG142" s="34"/>
      <c r="NYH142" s="34"/>
      <c r="NYI142" s="34"/>
      <c r="NYJ142" s="34"/>
      <c r="NYK142" s="34"/>
      <c r="NYL142" s="34"/>
      <c r="NYM142" s="34"/>
      <c r="NYN142" s="34"/>
      <c r="NYO142" s="34"/>
      <c r="NYP142" s="34"/>
      <c r="NYQ142" s="34"/>
      <c r="NYR142" s="34"/>
      <c r="NYS142" s="34"/>
      <c r="NYT142" s="34"/>
      <c r="NYU142" s="34"/>
      <c r="NYV142" s="34"/>
      <c r="NYW142" s="34"/>
      <c r="NYX142" s="34"/>
      <c r="NYY142" s="34"/>
      <c r="NYZ142" s="34"/>
      <c r="NZA142" s="34"/>
      <c r="NZB142" s="34"/>
      <c r="NZC142" s="34"/>
      <c r="NZD142" s="34"/>
      <c r="NZE142" s="34"/>
      <c r="NZF142" s="34"/>
      <c r="NZG142" s="34"/>
      <c r="NZH142" s="34"/>
      <c r="NZI142" s="34"/>
      <c r="NZJ142" s="34"/>
      <c r="NZK142" s="34"/>
      <c r="NZL142" s="34"/>
      <c r="NZM142" s="34"/>
      <c r="NZN142" s="34"/>
      <c r="NZO142" s="34"/>
      <c r="NZP142" s="34"/>
      <c r="NZQ142" s="34"/>
      <c r="NZR142" s="34"/>
      <c r="NZS142" s="34"/>
      <c r="NZT142" s="34"/>
      <c r="NZU142" s="34"/>
      <c r="NZV142" s="34"/>
      <c r="NZW142" s="34"/>
      <c r="NZX142" s="34"/>
      <c r="NZY142" s="34"/>
      <c r="NZZ142" s="34"/>
      <c r="OAA142" s="34"/>
      <c r="OAB142" s="34"/>
      <c r="OAC142" s="34"/>
      <c r="OAD142" s="34"/>
      <c r="OAE142" s="34"/>
      <c r="OAF142" s="34"/>
      <c r="OAG142" s="34"/>
      <c r="OAH142" s="34"/>
      <c r="OAI142" s="34"/>
      <c r="OAJ142" s="34"/>
      <c r="OAK142" s="34"/>
      <c r="OAL142" s="34"/>
      <c r="OAM142" s="34"/>
      <c r="OAN142" s="34"/>
      <c r="OAO142" s="34"/>
      <c r="OAP142" s="34"/>
      <c r="OAQ142" s="34"/>
      <c r="OAR142" s="34"/>
      <c r="OAS142" s="34"/>
      <c r="OAT142" s="34"/>
      <c r="OAU142" s="34"/>
      <c r="OAV142" s="34"/>
      <c r="OAW142" s="34"/>
      <c r="OAX142" s="34"/>
      <c r="OAY142" s="34"/>
      <c r="OAZ142" s="34"/>
      <c r="OBA142" s="34"/>
      <c r="OBB142" s="34"/>
      <c r="OBC142" s="34"/>
      <c r="OBD142" s="34"/>
      <c r="OBE142" s="34"/>
      <c r="OBF142" s="34"/>
      <c r="OBG142" s="34"/>
      <c r="OBH142" s="34"/>
      <c r="OBI142" s="34"/>
      <c r="OBJ142" s="34"/>
      <c r="OBK142" s="34"/>
      <c r="OBL142" s="34"/>
      <c r="OBM142" s="34"/>
      <c r="OBN142" s="34"/>
      <c r="OBO142" s="34"/>
      <c r="OBP142" s="34"/>
      <c r="OBQ142" s="34"/>
      <c r="OBR142" s="34"/>
      <c r="OBS142" s="34"/>
      <c r="OBT142" s="34"/>
      <c r="OBU142" s="34"/>
      <c r="OBV142" s="34"/>
      <c r="OBW142" s="34"/>
      <c r="OBX142" s="34"/>
      <c r="OBY142" s="34"/>
      <c r="OBZ142" s="34"/>
      <c r="OCA142" s="34"/>
      <c r="OCB142" s="34"/>
      <c r="OCC142" s="34"/>
      <c r="OCD142" s="34"/>
      <c r="OCE142" s="34"/>
      <c r="OCF142" s="34"/>
      <c r="OCG142" s="34"/>
      <c r="OCH142" s="34"/>
      <c r="OCI142" s="34"/>
      <c r="OCJ142" s="34"/>
      <c r="OCK142" s="34"/>
      <c r="OCL142" s="34"/>
      <c r="OCM142" s="34"/>
      <c r="OCN142" s="34"/>
      <c r="OCO142" s="34"/>
      <c r="OCP142" s="34"/>
      <c r="OCQ142" s="34"/>
      <c r="OCR142" s="34"/>
      <c r="OCS142" s="34"/>
      <c r="OCT142" s="34"/>
      <c r="OCU142" s="34"/>
      <c r="OCV142" s="34"/>
      <c r="OCW142" s="34"/>
      <c r="OCX142" s="34"/>
      <c r="OCY142" s="34"/>
      <c r="OCZ142" s="34"/>
      <c r="ODA142" s="34"/>
      <c r="ODB142" s="34"/>
      <c r="ODC142" s="34"/>
      <c r="ODD142" s="34"/>
      <c r="ODE142" s="34"/>
      <c r="ODF142" s="34"/>
      <c r="ODG142" s="34"/>
      <c r="ODH142" s="34"/>
      <c r="ODI142" s="34"/>
      <c r="ODJ142" s="34"/>
      <c r="ODK142" s="34"/>
      <c r="ODL142" s="34"/>
      <c r="ODM142" s="34"/>
      <c r="ODN142" s="34"/>
      <c r="ODO142" s="34"/>
      <c r="ODP142" s="34"/>
      <c r="ODQ142" s="34"/>
      <c r="ODR142" s="34"/>
      <c r="ODS142" s="34"/>
      <c r="ODT142" s="34"/>
      <c r="ODU142" s="34"/>
      <c r="ODV142" s="34"/>
      <c r="ODW142" s="34"/>
      <c r="ODX142" s="34"/>
      <c r="ODY142" s="34"/>
      <c r="ODZ142" s="34"/>
      <c r="OEA142" s="34"/>
      <c r="OEB142" s="34"/>
      <c r="OEC142" s="34"/>
      <c r="OED142" s="34"/>
      <c r="OEE142" s="34"/>
      <c r="OEF142" s="34"/>
      <c r="OEG142" s="34"/>
      <c r="OEH142" s="34"/>
      <c r="OEI142" s="34"/>
      <c r="OEJ142" s="34"/>
      <c r="OEK142" s="34"/>
      <c r="OEL142" s="34"/>
      <c r="OEM142" s="34"/>
      <c r="OEN142" s="34"/>
      <c r="OEO142" s="34"/>
      <c r="OEP142" s="34"/>
      <c r="OEQ142" s="34"/>
      <c r="OER142" s="34"/>
      <c r="OES142" s="34"/>
      <c r="OET142" s="34"/>
      <c r="OEU142" s="34"/>
      <c r="OEV142" s="34"/>
      <c r="OEW142" s="34"/>
      <c r="OEX142" s="34"/>
      <c r="OEY142" s="34"/>
      <c r="OEZ142" s="34"/>
      <c r="OFA142" s="34"/>
      <c r="OFB142" s="34"/>
      <c r="OFC142" s="34"/>
      <c r="OFD142" s="34"/>
      <c r="OFE142" s="34"/>
      <c r="OFF142" s="34"/>
      <c r="OFG142" s="34"/>
      <c r="OFH142" s="34"/>
      <c r="OFI142" s="34"/>
      <c r="OFJ142" s="34"/>
      <c r="OFK142" s="34"/>
      <c r="OFL142" s="34"/>
      <c r="OFM142" s="34"/>
      <c r="OFN142" s="34"/>
      <c r="OFO142" s="34"/>
      <c r="OFP142" s="34"/>
      <c r="OFQ142" s="34"/>
      <c r="OFR142" s="34"/>
      <c r="OFS142" s="34"/>
      <c r="OFT142" s="34"/>
      <c r="OFU142" s="34"/>
      <c r="OFV142" s="34"/>
      <c r="OFW142" s="34"/>
      <c r="OFX142" s="34"/>
      <c r="OFY142" s="34"/>
      <c r="OFZ142" s="34"/>
      <c r="OGA142" s="34"/>
      <c r="OGB142" s="34"/>
      <c r="OGC142" s="34"/>
      <c r="OGD142" s="34"/>
      <c r="OGE142" s="34"/>
      <c r="OGF142" s="34"/>
      <c r="OGG142" s="34"/>
      <c r="OGH142" s="34"/>
      <c r="OGI142" s="34"/>
      <c r="OGJ142" s="34"/>
      <c r="OGK142" s="34"/>
      <c r="OGL142" s="34"/>
      <c r="OGM142" s="34"/>
      <c r="OGN142" s="34"/>
      <c r="OGO142" s="34"/>
      <c r="OGP142" s="34"/>
      <c r="OGQ142" s="34"/>
      <c r="OGR142" s="34"/>
      <c r="OGS142" s="34"/>
      <c r="OGT142" s="34"/>
      <c r="OGU142" s="34"/>
      <c r="OGV142" s="34"/>
      <c r="OGW142" s="34"/>
      <c r="OGX142" s="34"/>
      <c r="OGY142" s="34"/>
      <c r="OGZ142" s="34"/>
      <c r="OHA142" s="34"/>
      <c r="OHB142" s="34"/>
      <c r="OHC142" s="34"/>
      <c r="OHD142" s="34"/>
      <c r="OHE142" s="34"/>
      <c r="OHF142" s="34"/>
      <c r="OHG142" s="34"/>
      <c r="OHH142" s="34"/>
      <c r="OHI142" s="34"/>
      <c r="OHJ142" s="34"/>
      <c r="OHK142" s="34"/>
      <c r="OHL142" s="34"/>
      <c r="OHM142" s="34"/>
      <c r="OHN142" s="34"/>
      <c r="OHO142" s="34"/>
      <c r="OHP142" s="34"/>
      <c r="OHQ142" s="34"/>
      <c r="OHR142" s="34"/>
      <c r="OHS142" s="34"/>
      <c r="OHT142" s="34"/>
      <c r="OHU142" s="34"/>
      <c r="OHV142" s="34"/>
      <c r="OHW142" s="34"/>
      <c r="OHX142" s="34"/>
      <c r="OHY142" s="34"/>
      <c r="OHZ142" s="34"/>
      <c r="OIA142" s="34"/>
      <c r="OIB142" s="34"/>
      <c r="OIC142" s="34"/>
      <c r="OID142" s="34"/>
      <c r="OIE142" s="34"/>
      <c r="OIF142" s="34"/>
      <c r="OIG142" s="34"/>
      <c r="OIH142" s="34"/>
      <c r="OII142" s="34"/>
      <c r="OIJ142" s="34"/>
      <c r="OIK142" s="34"/>
      <c r="OIL142" s="34"/>
      <c r="OIM142" s="34"/>
      <c r="OIN142" s="34"/>
      <c r="OIO142" s="34"/>
      <c r="OIP142" s="34"/>
      <c r="OIQ142" s="34"/>
      <c r="OIR142" s="34"/>
      <c r="OIS142" s="34"/>
      <c r="OIT142" s="34"/>
      <c r="OIU142" s="34"/>
      <c r="OIV142" s="34"/>
      <c r="OIW142" s="34"/>
      <c r="OIX142" s="34"/>
      <c r="OIY142" s="34"/>
      <c r="OIZ142" s="34"/>
      <c r="OJA142" s="34"/>
      <c r="OJB142" s="34"/>
      <c r="OJC142" s="34"/>
      <c r="OJD142" s="34"/>
      <c r="OJE142" s="34"/>
      <c r="OJF142" s="34"/>
      <c r="OJG142" s="34"/>
      <c r="OJH142" s="34"/>
      <c r="OJI142" s="34"/>
      <c r="OJJ142" s="34"/>
      <c r="OJK142" s="34"/>
      <c r="OJL142" s="34"/>
      <c r="OJM142" s="34"/>
      <c r="OJN142" s="34"/>
      <c r="OJO142" s="34"/>
      <c r="OJP142" s="34"/>
      <c r="OJQ142" s="34"/>
      <c r="OJR142" s="34"/>
      <c r="OJS142" s="34"/>
      <c r="OJT142" s="34"/>
      <c r="OJU142" s="34"/>
      <c r="OJV142" s="34"/>
      <c r="OJW142" s="34"/>
      <c r="OJX142" s="34"/>
      <c r="OJY142" s="34"/>
      <c r="OJZ142" s="34"/>
      <c r="OKA142" s="34"/>
      <c r="OKB142" s="34"/>
      <c r="OKC142" s="34"/>
      <c r="OKD142" s="34"/>
      <c r="OKE142" s="34"/>
      <c r="OKF142" s="34"/>
      <c r="OKG142" s="34"/>
      <c r="OKH142" s="34"/>
      <c r="OKI142" s="34"/>
      <c r="OKJ142" s="34"/>
      <c r="OKK142" s="34"/>
      <c r="OKL142" s="34"/>
      <c r="OKM142" s="34"/>
      <c r="OKN142" s="34"/>
      <c r="OKO142" s="34"/>
      <c r="OKP142" s="34"/>
      <c r="OKQ142" s="34"/>
      <c r="OKR142" s="34"/>
      <c r="OKS142" s="34"/>
      <c r="OKT142" s="34"/>
      <c r="OKU142" s="34"/>
      <c r="OKV142" s="34"/>
      <c r="OKW142" s="34"/>
      <c r="OKX142" s="34"/>
      <c r="OKY142" s="34"/>
      <c r="OKZ142" s="34"/>
      <c r="OLA142" s="34"/>
      <c r="OLB142" s="34"/>
      <c r="OLC142" s="34"/>
      <c r="OLD142" s="34"/>
      <c r="OLE142" s="34"/>
      <c r="OLF142" s="34"/>
      <c r="OLG142" s="34"/>
      <c r="OLH142" s="34"/>
      <c r="OLI142" s="34"/>
      <c r="OLJ142" s="34"/>
      <c r="OLK142" s="34"/>
      <c r="OLL142" s="34"/>
      <c r="OLM142" s="34"/>
      <c r="OLN142" s="34"/>
      <c r="OLO142" s="34"/>
      <c r="OLP142" s="34"/>
      <c r="OLQ142" s="34"/>
      <c r="OLR142" s="34"/>
      <c r="OLS142" s="34"/>
      <c r="OLT142" s="34"/>
      <c r="OLU142" s="34"/>
      <c r="OLV142" s="34"/>
      <c r="OLW142" s="34"/>
      <c r="OLX142" s="34"/>
      <c r="OLY142" s="34"/>
      <c r="OLZ142" s="34"/>
      <c r="OMA142" s="34"/>
      <c r="OMB142" s="34"/>
      <c r="OMC142" s="34"/>
      <c r="OMD142" s="34"/>
      <c r="OME142" s="34"/>
      <c r="OMF142" s="34"/>
      <c r="OMG142" s="34"/>
      <c r="OMH142" s="34"/>
      <c r="OMI142" s="34"/>
      <c r="OMJ142" s="34"/>
      <c r="OMK142" s="34"/>
      <c r="OML142" s="34"/>
      <c r="OMM142" s="34"/>
      <c r="OMN142" s="34"/>
      <c r="OMO142" s="34"/>
      <c r="OMP142" s="34"/>
      <c r="OMQ142" s="34"/>
      <c r="OMR142" s="34"/>
      <c r="OMS142" s="34"/>
      <c r="OMT142" s="34"/>
      <c r="OMU142" s="34"/>
      <c r="OMV142" s="34"/>
      <c r="OMW142" s="34"/>
      <c r="OMX142" s="34"/>
      <c r="OMY142" s="34"/>
      <c r="OMZ142" s="34"/>
      <c r="ONA142" s="34"/>
      <c r="ONB142" s="34"/>
      <c r="ONC142" s="34"/>
      <c r="OND142" s="34"/>
      <c r="ONE142" s="34"/>
      <c r="ONF142" s="34"/>
      <c r="ONG142" s="34"/>
      <c r="ONH142" s="34"/>
      <c r="ONI142" s="34"/>
      <c r="ONJ142" s="34"/>
      <c r="ONK142" s="34"/>
      <c r="ONL142" s="34"/>
      <c r="ONM142" s="34"/>
      <c r="ONN142" s="34"/>
      <c r="ONO142" s="34"/>
      <c r="ONP142" s="34"/>
      <c r="ONQ142" s="34"/>
      <c r="ONR142" s="34"/>
      <c r="ONS142" s="34"/>
      <c r="ONT142" s="34"/>
      <c r="ONU142" s="34"/>
      <c r="ONV142" s="34"/>
      <c r="ONW142" s="34"/>
      <c r="ONX142" s="34"/>
      <c r="ONY142" s="34"/>
      <c r="ONZ142" s="34"/>
      <c r="OOA142" s="34"/>
      <c r="OOB142" s="34"/>
      <c r="OOC142" s="34"/>
      <c r="OOD142" s="34"/>
      <c r="OOE142" s="34"/>
      <c r="OOF142" s="34"/>
      <c r="OOG142" s="34"/>
      <c r="OOH142" s="34"/>
      <c r="OOI142" s="34"/>
      <c r="OOJ142" s="34"/>
      <c r="OOK142" s="34"/>
      <c r="OOL142" s="34"/>
      <c r="OOM142" s="34"/>
      <c r="OON142" s="34"/>
      <c r="OOO142" s="34"/>
      <c r="OOP142" s="34"/>
      <c r="OOQ142" s="34"/>
      <c r="OOR142" s="34"/>
      <c r="OOS142" s="34"/>
      <c r="OOT142" s="34"/>
      <c r="OOU142" s="34"/>
      <c r="OOV142" s="34"/>
      <c r="OOW142" s="34"/>
      <c r="OOX142" s="34"/>
      <c r="OOY142" s="34"/>
      <c r="OOZ142" s="34"/>
      <c r="OPA142" s="34"/>
      <c r="OPB142" s="34"/>
      <c r="OPC142" s="34"/>
      <c r="OPD142" s="34"/>
      <c r="OPE142" s="34"/>
      <c r="OPF142" s="34"/>
      <c r="OPG142" s="34"/>
      <c r="OPH142" s="34"/>
      <c r="OPI142" s="34"/>
      <c r="OPJ142" s="34"/>
      <c r="OPK142" s="34"/>
      <c r="OPL142" s="34"/>
      <c r="OPM142" s="34"/>
      <c r="OPN142" s="34"/>
      <c r="OPO142" s="34"/>
      <c r="OPP142" s="34"/>
      <c r="OPQ142" s="34"/>
      <c r="OPR142" s="34"/>
      <c r="OPS142" s="34"/>
      <c r="OPT142" s="34"/>
      <c r="OPU142" s="34"/>
      <c r="OPV142" s="34"/>
      <c r="OPW142" s="34"/>
      <c r="OPX142" s="34"/>
      <c r="OPY142" s="34"/>
      <c r="OPZ142" s="34"/>
      <c r="OQA142" s="34"/>
      <c r="OQB142" s="34"/>
      <c r="OQC142" s="34"/>
      <c r="OQD142" s="34"/>
      <c r="OQE142" s="34"/>
      <c r="OQF142" s="34"/>
      <c r="OQG142" s="34"/>
      <c r="OQH142" s="34"/>
      <c r="OQI142" s="34"/>
      <c r="OQJ142" s="34"/>
      <c r="OQK142" s="34"/>
      <c r="OQL142" s="34"/>
      <c r="OQM142" s="34"/>
      <c r="OQN142" s="34"/>
      <c r="OQO142" s="34"/>
      <c r="OQP142" s="34"/>
      <c r="OQQ142" s="34"/>
      <c r="OQR142" s="34"/>
      <c r="OQS142" s="34"/>
      <c r="OQT142" s="34"/>
      <c r="OQU142" s="34"/>
      <c r="OQV142" s="34"/>
      <c r="OQW142" s="34"/>
      <c r="OQX142" s="34"/>
      <c r="OQY142" s="34"/>
      <c r="OQZ142" s="34"/>
      <c r="ORA142" s="34"/>
      <c r="ORB142" s="34"/>
      <c r="ORC142" s="34"/>
      <c r="ORD142" s="34"/>
      <c r="ORE142" s="34"/>
      <c r="ORF142" s="34"/>
      <c r="ORG142" s="34"/>
      <c r="ORH142" s="34"/>
      <c r="ORI142" s="34"/>
      <c r="ORJ142" s="34"/>
      <c r="ORK142" s="34"/>
      <c r="ORL142" s="34"/>
      <c r="ORM142" s="34"/>
      <c r="ORN142" s="34"/>
      <c r="ORO142" s="34"/>
      <c r="ORP142" s="34"/>
      <c r="ORQ142" s="34"/>
      <c r="ORR142" s="34"/>
      <c r="ORS142" s="34"/>
      <c r="ORT142" s="34"/>
      <c r="ORU142" s="34"/>
      <c r="ORV142" s="34"/>
      <c r="ORW142" s="34"/>
      <c r="ORX142" s="34"/>
      <c r="ORY142" s="34"/>
      <c r="ORZ142" s="34"/>
      <c r="OSA142" s="34"/>
      <c r="OSB142" s="34"/>
      <c r="OSC142" s="34"/>
      <c r="OSD142" s="34"/>
      <c r="OSE142" s="34"/>
      <c r="OSF142" s="34"/>
      <c r="OSG142" s="34"/>
      <c r="OSH142" s="34"/>
      <c r="OSI142" s="34"/>
      <c r="OSJ142" s="34"/>
      <c r="OSK142" s="34"/>
      <c r="OSL142" s="34"/>
      <c r="OSM142" s="34"/>
      <c r="OSN142" s="34"/>
      <c r="OSO142" s="34"/>
      <c r="OSP142" s="34"/>
      <c r="OSQ142" s="34"/>
      <c r="OSR142" s="34"/>
      <c r="OSS142" s="34"/>
      <c r="OST142" s="34"/>
      <c r="OSU142" s="34"/>
      <c r="OSV142" s="34"/>
      <c r="OSW142" s="34"/>
      <c r="OSX142" s="34"/>
      <c r="OSY142" s="34"/>
      <c r="OSZ142" s="34"/>
      <c r="OTA142" s="34"/>
      <c r="OTB142" s="34"/>
      <c r="OTC142" s="34"/>
      <c r="OTD142" s="34"/>
      <c r="OTE142" s="34"/>
      <c r="OTF142" s="34"/>
      <c r="OTG142" s="34"/>
      <c r="OTH142" s="34"/>
      <c r="OTI142" s="34"/>
      <c r="OTJ142" s="34"/>
      <c r="OTK142" s="34"/>
      <c r="OTL142" s="34"/>
      <c r="OTM142" s="34"/>
      <c r="OTN142" s="34"/>
      <c r="OTO142" s="34"/>
      <c r="OTP142" s="34"/>
      <c r="OTQ142" s="34"/>
      <c r="OTR142" s="34"/>
      <c r="OTS142" s="34"/>
      <c r="OTT142" s="34"/>
      <c r="OTU142" s="34"/>
      <c r="OTV142" s="34"/>
      <c r="OTW142" s="34"/>
      <c r="OTX142" s="34"/>
      <c r="OTY142" s="34"/>
      <c r="OTZ142" s="34"/>
      <c r="OUA142" s="34"/>
      <c r="OUB142" s="34"/>
      <c r="OUC142" s="34"/>
      <c r="OUD142" s="34"/>
      <c r="OUE142" s="34"/>
      <c r="OUF142" s="34"/>
      <c r="OUG142" s="34"/>
      <c r="OUH142" s="34"/>
      <c r="OUI142" s="34"/>
      <c r="OUJ142" s="34"/>
      <c r="OUK142" s="34"/>
      <c r="OUL142" s="34"/>
      <c r="OUM142" s="34"/>
      <c r="OUN142" s="34"/>
      <c r="OUO142" s="34"/>
      <c r="OUP142" s="34"/>
      <c r="OUQ142" s="34"/>
      <c r="OUR142" s="34"/>
      <c r="OUS142" s="34"/>
      <c r="OUT142" s="34"/>
      <c r="OUU142" s="34"/>
      <c r="OUV142" s="34"/>
      <c r="OUW142" s="34"/>
      <c r="OUX142" s="34"/>
      <c r="OUY142" s="34"/>
      <c r="OUZ142" s="34"/>
      <c r="OVA142" s="34"/>
      <c r="OVB142" s="34"/>
      <c r="OVC142" s="34"/>
      <c r="OVD142" s="34"/>
      <c r="OVE142" s="34"/>
      <c r="OVF142" s="34"/>
      <c r="OVG142" s="34"/>
      <c r="OVH142" s="34"/>
      <c r="OVI142" s="34"/>
      <c r="OVJ142" s="34"/>
      <c r="OVK142" s="34"/>
      <c r="OVL142" s="34"/>
      <c r="OVM142" s="34"/>
      <c r="OVN142" s="34"/>
      <c r="OVO142" s="34"/>
      <c r="OVP142" s="34"/>
      <c r="OVQ142" s="34"/>
      <c r="OVR142" s="34"/>
      <c r="OVS142" s="34"/>
      <c r="OVT142" s="34"/>
      <c r="OVU142" s="34"/>
      <c r="OVV142" s="34"/>
      <c r="OVW142" s="34"/>
      <c r="OVX142" s="34"/>
      <c r="OVY142" s="34"/>
      <c r="OVZ142" s="34"/>
      <c r="OWA142" s="34"/>
      <c r="OWB142" s="34"/>
      <c r="OWC142" s="34"/>
      <c r="OWD142" s="34"/>
      <c r="OWE142" s="34"/>
      <c r="OWF142" s="34"/>
      <c r="OWG142" s="34"/>
      <c r="OWH142" s="34"/>
      <c r="OWI142" s="34"/>
      <c r="OWJ142" s="34"/>
      <c r="OWK142" s="34"/>
      <c r="OWL142" s="34"/>
      <c r="OWM142" s="34"/>
      <c r="OWN142" s="34"/>
      <c r="OWO142" s="34"/>
      <c r="OWP142" s="34"/>
      <c r="OWQ142" s="34"/>
      <c r="OWR142" s="34"/>
      <c r="OWS142" s="34"/>
      <c r="OWT142" s="34"/>
      <c r="OWU142" s="34"/>
      <c r="OWV142" s="34"/>
      <c r="OWW142" s="34"/>
      <c r="OWX142" s="34"/>
      <c r="OWY142" s="34"/>
      <c r="OWZ142" s="34"/>
      <c r="OXA142" s="34"/>
      <c r="OXB142" s="34"/>
      <c r="OXC142" s="34"/>
      <c r="OXD142" s="34"/>
      <c r="OXE142" s="34"/>
      <c r="OXF142" s="34"/>
      <c r="OXG142" s="34"/>
      <c r="OXH142" s="34"/>
      <c r="OXI142" s="34"/>
      <c r="OXJ142" s="34"/>
      <c r="OXK142" s="34"/>
      <c r="OXL142" s="34"/>
      <c r="OXM142" s="34"/>
      <c r="OXN142" s="34"/>
      <c r="OXO142" s="34"/>
      <c r="OXP142" s="34"/>
      <c r="OXQ142" s="34"/>
      <c r="OXR142" s="34"/>
      <c r="OXS142" s="34"/>
      <c r="OXT142" s="34"/>
      <c r="OXU142" s="34"/>
      <c r="OXV142" s="34"/>
      <c r="OXW142" s="34"/>
      <c r="OXX142" s="34"/>
      <c r="OXY142" s="34"/>
      <c r="OXZ142" s="34"/>
      <c r="OYA142" s="34"/>
      <c r="OYB142" s="34"/>
      <c r="OYC142" s="34"/>
      <c r="OYD142" s="34"/>
      <c r="OYE142" s="34"/>
      <c r="OYF142" s="34"/>
      <c r="OYG142" s="34"/>
      <c r="OYH142" s="34"/>
      <c r="OYI142" s="34"/>
      <c r="OYJ142" s="34"/>
      <c r="OYK142" s="34"/>
      <c r="OYL142" s="34"/>
      <c r="OYM142" s="34"/>
      <c r="OYN142" s="34"/>
      <c r="OYO142" s="34"/>
      <c r="OYP142" s="34"/>
      <c r="OYQ142" s="34"/>
      <c r="OYR142" s="34"/>
      <c r="OYS142" s="34"/>
      <c r="OYT142" s="34"/>
      <c r="OYU142" s="34"/>
      <c r="OYV142" s="34"/>
      <c r="OYW142" s="34"/>
      <c r="OYX142" s="34"/>
      <c r="OYY142" s="34"/>
      <c r="OYZ142" s="34"/>
      <c r="OZA142" s="34"/>
      <c r="OZB142" s="34"/>
      <c r="OZC142" s="34"/>
      <c r="OZD142" s="34"/>
      <c r="OZE142" s="34"/>
      <c r="OZF142" s="34"/>
      <c r="OZG142" s="34"/>
      <c r="OZH142" s="34"/>
      <c r="OZI142" s="34"/>
      <c r="OZJ142" s="34"/>
      <c r="OZK142" s="34"/>
      <c r="OZL142" s="34"/>
      <c r="OZM142" s="34"/>
      <c r="OZN142" s="34"/>
      <c r="OZO142" s="34"/>
      <c r="OZP142" s="34"/>
      <c r="OZQ142" s="34"/>
      <c r="OZR142" s="34"/>
      <c r="OZS142" s="34"/>
      <c r="OZT142" s="34"/>
      <c r="OZU142" s="34"/>
      <c r="OZV142" s="34"/>
      <c r="OZW142" s="34"/>
      <c r="OZX142" s="34"/>
      <c r="OZY142" s="34"/>
      <c r="OZZ142" s="34"/>
      <c r="PAA142" s="34"/>
      <c r="PAB142" s="34"/>
      <c r="PAC142" s="34"/>
      <c r="PAD142" s="34"/>
      <c r="PAE142" s="34"/>
      <c r="PAF142" s="34"/>
      <c r="PAG142" s="34"/>
      <c r="PAH142" s="34"/>
      <c r="PAI142" s="34"/>
      <c r="PAJ142" s="34"/>
      <c r="PAK142" s="34"/>
      <c r="PAL142" s="34"/>
      <c r="PAM142" s="34"/>
      <c r="PAN142" s="34"/>
      <c r="PAO142" s="34"/>
      <c r="PAP142" s="34"/>
      <c r="PAQ142" s="34"/>
      <c r="PAR142" s="34"/>
      <c r="PAS142" s="34"/>
      <c r="PAT142" s="34"/>
      <c r="PAU142" s="34"/>
      <c r="PAV142" s="34"/>
      <c r="PAW142" s="34"/>
      <c r="PAX142" s="34"/>
      <c r="PAY142" s="34"/>
      <c r="PAZ142" s="34"/>
      <c r="PBA142" s="34"/>
      <c r="PBB142" s="34"/>
      <c r="PBC142" s="34"/>
      <c r="PBD142" s="34"/>
      <c r="PBE142" s="34"/>
      <c r="PBF142" s="34"/>
      <c r="PBG142" s="34"/>
      <c r="PBH142" s="34"/>
      <c r="PBI142" s="34"/>
      <c r="PBJ142" s="34"/>
      <c r="PBK142" s="34"/>
      <c r="PBL142" s="34"/>
      <c r="PBM142" s="34"/>
      <c r="PBN142" s="34"/>
      <c r="PBO142" s="34"/>
      <c r="PBP142" s="34"/>
      <c r="PBQ142" s="34"/>
      <c r="PBR142" s="34"/>
      <c r="PBS142" s="34"/>
      <c r="PBT142" s="34"/>
      <c r="PBU142" s="34"/>
      <c r="PBV142" s="34"/>
      <c r="PBW142" s="34"/>
      <c r="PBX142" s="34"/>
      <c r="PBY142" s="34"/>
      <c r="PBZ142" s="34"/>
      <c r="PCA142" s="34"/>
      <c r="PCB142" s="34"/>
      <c r="PCC142" s="34"/>
      <c r="PCD142" s="34"/>
      <c r="PCE142" s="34"/>
      <c r="PCF142" s="34"/>
      <c r="PCG142" s="34"/>
      <c r="PCH142" s="34"/>
      <c r="PCI142" s="34"/>
      <c r="PCJ142" s="34"/>
      <c r="PCK142" s="34"/>
      <c r="PCL142" s="34"/>
      <c r="PCM142" s="34"/>
      <c r="PCN142" s="34"/>
      <c r="PCO142" s="34"/>
      <c r="PCP142" s="34"/>
      <c r="PCQ142" s="34"/>
      <c r="PCR142" s="34"/>
      <c r="PCS142" s="34"/>
      <c r="PCT142" s="34"/>
      <c r="PCU142" s="34"/>
      <c r="PCV142" s="34"/>
      <c r="PCW142" s="34"/>
      <c r="PCX142" s="34"/>
      <c r="PCY142" s="34"/>
      <c r="PCZ142" s="34"/>
      <c r="PDA142" s="34"/>
      <c r="PDB142" s="34"/>
      <c r="PDC142" s="34"/>
      <c r="PDD142" s="34"/>
      <c r="PDE142" s="34"/>
      <c r="PDF142" s="34"/>
      <c r="PDG142" s="34"/>
      <c r="PDH142" s="34"/>
      <c r="PDI142" s="34"/>
      <c r="PDJ142" s="34"/>
      <c r="PDK142" s="34"/>
      <c r="PDL142" s="34"/>
      <c r="PDM142" s="34"/>
      <c r="PDN142" s="34"/>
      <c r="PDO142" s="34"/>
      <c r="PDP142" s="34"/>
      <c r="PDQ142" s="34"/>
      <c r="PDR142" s="34"/>
      <c r="PDS142" s="34"/>
      <c r="PDT142" s="34"/>
      <c r="PDU142" s="34"/>
      <c r="PDV142" s="34"/>
      <c r="PDW142" s="34"/>
      <c r="PDX142" s="34"/>
      <c r="PDY142" s="34"/>
      <c r="PDZ142" s="34"/>
      <c r="PEA142" s="34"/>
      <c r="PEB142" s="34"/>
      <c r="PEC142" s="34"/>
      <c r="PED142" s="34"/>
      <c r="PEE142" s="34"/>
      <c r="PEF142" s="34"/>
      <c r="PEG142" s="34"/>
      <c r="PEH142" s="34"/>
      <c r="PEI142" s="34"/>
      <c r="PEJ142" s="34"/>
      <c r="PEK142" s="34"/>
      <c r="PEL142" s="34"/>
      <c r="PEM142" s="34"/>
      <c r="PEN142" s="34"/>
      <c r="PEO142" s="34"/>
      <c r="PEP142" s="34"/>
      <c r="PEQ142" s="34"/>
      <c r="PER142" s="34"/>
      <c r="PES142" s="34"/>
      <c r="PET142" s="34"/>
      <c r="PEU142" s="34"/>
      <c r="PEV142" s="34"/>
      <c r="PEW142" s="34"/>
      <c r="PEX142" s="34"/>
      <c r="PEY142" s="34"/>
      <c r="PEZ142" s="34"/>
      <c r="PFA142" s="34"/>
      <c r="PFB142" s="34"/>
      <c r="PFC142" s="34"/>
      <c r="PFD142" s="34"/>
      <c r="PFE142" s="34"/>
      <c r="PFF142" s="34"/>
      <c r="PFG142" s="34"/>
      <c r="PFH142" s="34"/>
      <c r="PFI142" s="34"/>
      <c r="PFJ142" s="34"/>
      <c r="PFK142" s="34"/>
      <c r="PFL142" s="34"/>
      <c r="PFM142" s="34"/>
      <c r="PFN142" s="34"/>
      <c r="PFO142" s="34"/>
      <c r="PFP142" s="34"/>
      <c r="PFQ142" s="34"/>
      <c r="PFR142" s="34"/>
      <c r="PFS142" s="34"/>
      <c r="PFT142" s="34"/>
      <c r="PFU142" s="34"/>
      <c r="PFV142" s="34"/>
      <c r="PFW142" s="34"/>
      <c r="PFX142" s="34"/>
      <c r="PFY142" s="34"/>
      <c r="PFZ142" s="34"/>
      <c r="PGA142" s="34"/>
      <c r="PGB142" s="34"/>
      <c r="PGC142" s="34"/>
      <c r="PGD142" s="34"/>
      <c r="PGE142" s="34"/>
      <c r="PGF142" s="34"/>
      <c r="PGG142" s="34"/>
      <c r="PGH142" s="34"/>
      <c r="PGI142" s="34"/>
      <c r="PGJ142" s="34"/>
      <c r="PGK142" s="34"/>
      <c r="PGL142" s="34"/>
      <c r="PGM142" s="34"/>
      <c r="PGN142" s="34"/>
      <c r="PGO142" s="34"/>
      <c r="PGP142" s="34"/>
      <c r="PGQ142" s="34"/>
      <c r="PGR142" s="34"/>
      <c r="PGS142" s="34"/>
      <c r="PGT142" s="34"/>
      <c r="PGU142" s="34"/>
      <c r="PGV142" s="34"/>
      <c r="PGW142" s="34"/>
      <c r="PGX142" s="34"/>
      <c r="PGY142" s="34"/>
      <c r="PGZ142" s="34"/>
      <c r="PHA142" s="34"/>
      <c r="PHB142" s="34"/>
      <c r="PHC142" s="34"/>
      <c r="PHD142" s="34"/>
      <c r="PHE142" s="34"/>
      <c r="PHF142" s="34"/>
      <c r="PHG142" s="34"/>
      <c r="PHH142" s="34"/>
      <c r="PHI142" s="34"/>
      <c r="PHJ142" s="34"/>
      <c r="PHK142" s="34"/>
      <c r="PHL142" s="34"/>
      <c r="PHM142" s="34"/>
      <c r="PHN142" s="34"/>
      <c r="PHO142" s="34"/>
      <c r="PHP142" s="34"/>
      <c r="PHQ142" s="34"/>
      <c r="PHR142" s="34"/>
      <c r="PHS142" s="34"/>
      <c r="PHT142" s="34"/>
      <c r="PHU142" s="34"/>
      <c r="PHV142" s="34"/>
      <c r="PHW142" s="34"/>
      <c r="PHX142" s="34"/>
      <c r="PHY142" s="34"/>
      <c r="PHZ142" s="34"/>
      <c r="PIA142" s="34"/>
      <c r="PIB142" s="34"/>
      <c r="PIC142" s="34"/>
      <c r="PID142" s="34"/>
      <c r="PIE142" s="34"/>
      <c r="PIF142" s="34"/>
      <c r="PIG142" s="34"/>
      <c r="PIH142" s="34"/>
      <c r="PII142" s="34"/>
      <c r="PIJ142" s="34"/>
      <c r="PIK142" s="34"/>
      <c r="PIL142" s="34"/>
      <c r="PIM142" s="34"/>
      <c r="PIN142" s="34"/>
      <c r="PIO142" s="34"/>
      <c r="PIP142" s="34"/>
      <c r="PIQ142" s="34"/>
      <c r="PIR142" s="34"/>
      <c r="PIS142" s="34"/>
      <c r="PIT142" s="34"/>
      <c r="PIU142" s="34"/>
      <c r="PIV142" s="34"/>
      <c r="PIW142" s="34"/>
      <c r="PIX142" s="34"/>
      <c r="PIY142" s="34"/>
      <c r="PIZ142" s="34"/>
      <c r="PJA142" s="34"/>
      <c r="PJB142" s="34"/>
      <c r="PJC142" s="34"/>
      <c r="PJD142" s="34"/>
      <c r="PJE142" s="34"/>
      <c r="PJF142" s="34"/>
      <c r="PJG142" s="34"/>
      <c r="PJH142" s="34"/>
      <c r="PJI142" s="34"/>
      <c r="PJJ142" s="34"/>
      <c r="PJK142" s="34"/>
      <c r="PJL142" s="34"/>
      <c r="PJM142" s="34"/>
      <c r="PJN142" s="34"/>
      <c r="PJO142" s="34"/>
      <c r="PJP142" s="34"/>
      <c r="PJQ142" s="34"/>
      <c r="PJR142" s="34"/>
      <c r="PJS142" s="34"/>
      <c r="PJT142" s="34"/>
      <c r="PJU142" s="34"/>
      <c r="PJV142" s="34"/>
      <c r="PJW142" s="34"/>
      <c r="PJX142" s="34"/>
      <c r="PJY142" s="34"/>
      <c r="PJZ142" s="34"/>
      <c r="PKA142" s="34"/>
      <c r="PKB142" s="34"/>
      <c r="PKC142" s="34"/>
      <c r="PKD142" s="34"/>
      <c r="PKE142" s="34"/>
      <c r="PKF142" s="34"/>
      <c r="PKG142" s="34"/>
      <c r="PKH142" s="34"/>
      <c r="PKI142" s="34"/>
      <c r="PKJ142" s="34"/>
      <c r="PKK142" s="34"/>
      <c r="PKL142" s="34"/>
      <c r="PKM142" s="34"/>
      <c r="PKN142" s="34"/>
      <c r="PKO142" s="34"/>
      <c r="PKP142" s="34"/>
      <c r="PKQ142" s="34"/>
      <c r="PKR142" s="34"/>
      <c r="PKS142" s="34"/>
      <c r="PKT142" s="34"/>
      <c r="PKU142" s="34"/>
      <c r="PKV142" s="34"/>
      <c r="PKW142" s="34"/>
      <c r="PKX142" s="34"/>
      <c r="PKY142" s="34"/>
      <c r="PKZ142" s="34"/>
      <c r="PLA142" s="34"/>
      <c r="PLB142" s="34"/>
      <c r="PLC142" s="34"/>
      <c r="PLD142" s="34"/>
      <c r="PLE142" s="34"/>
      <c r="PLF142" s="34"/>
      <c r="PLG142" s="34"/>
      <c r="PLH142" s="34"/>
      <c r="PLI142" s="34"/>
      <c r="PLJ142" s="34"/>
      <c r="PLK142" s="34"/>
      <c r="PLL142" s="34"/>
      <c r="PLM142" s="34"/>
      <c r="PLN142" s="34"/>
      <c r="PLO142" s="34"/>
      <c r="PLP142" s="34"/>
      <c r="PLQ142" s="34"/>
      <c r="PLR142" s="34"/>
      <c r="PLS142" s="34"/>
      <c r="PLT142" s="34"/>
      <c r="PLU142" s="34"/>
      <c r="PLV142" s="34"/>
      <c r="PLW142" s="34"/>
      <c r="PLX142" s="34"/>
      <c r="PLY142" s="34"/>
      <c r="PLZ142" s="34"/>
      <c r="PMA142" s="34"/>
      <c r="PMB142" s="34"/>
      <c r="PMC142" s="34"/>
      <c r="PMD142" s="34"/>
      <c r="PME142" s="34"/>
      <c r="PMF142" s="34"/>
      <c r="PMG142" s="34"/>
      <c r="PMH142" s="34"/>
      <c r="PMI142" s="34"/>
      <c r="PMJ142" s="34"/>
      <c r="PMK142" s="34"/>
      <c r="PML142" s="34"/>
      <c r="PMM142" s="34"/>
      <c r="PMN142" s="34"/>
      <c r="PMO142" s="34"/>
      <c r="PMP142" s="34"/>
      <c r="PMQ142" s="34"/>
      <c r="PMR142" s="34"/>
      <c r="PMS142" s="34"/>
      <c r="PMT142" s="34"/>
      <c r="PMU142" s="34"/>
      <c r="PMV142" s="34"/>
      <c r="PMW142" s="34"/>
      <c r="PMX142" s="34"/>
      <c r="PMY142" s="34"/>
      <c r="PMZ142" s="34"/>
      <c r="PNA142" s="34"/>
      <c r="PNB142" s="34"/>
      <c r="PNC142" s="34"/>
      <c r="PND142" s="34"/>
      <c r="PNE142" s="34"/>
      <c r="PNF142" s="34"/>
      <c r="PNG142" s="34"/>
      <c r="PNH142" s="34"/>
      <c r="PNI142" s="34"/>
      <c r="PNJ142" s="34"/>
      <c r="PNK142" s="34"/>
      <c r="PNL142" s="34"/>
      <c r="PNM142" s="34"/>
      <c r="PNN142" s="34"/>
      <c r="PNO142" s="34"/>
      <c r="PNP142" s="34"/>
      <c r="PNQ142" s="34"/>
      <c r="PNR142" s="34"/>
      <c r="PNS142" s="34"/>
      <c r="PNT142" s="34"/>
      <c r="PNU142" s="34"/>
      <c r="PNV142" s="34"/>
      <c r="PNW142" s="34"/>
      <c r="PNX142" s="34"/>
      <c r="PNY142" s="34"/>
      <c r="PNZ142" s="34"/>
      <c r="POA142" s="34"/>
      <c r="POB142" s="34"/>
      <c r="POC142" s="34"/>
      <c r="POD142" s="34"/>
      <c r="POE142" s="34"/>
      <c r="POF142" s="34"/>
      <c r="POG142" s="34"/>
      <c r="POH142" s="34"/>
      <c r="POI142" s="34"/>
      <c r="POJ142" s="34"/>
      <c r="POK142" s="34"/>
      <c r="POL142" s="34"/>
      <c r="POM142" s="34"/>
      <c r="PON142" s="34"/>
      <c r="POO142" s="34"/>
      <c r="POP142" s="34"/>
      <c r="POQ142" s="34"/>
      <c r="POR142" s="34"/>
      <c r="POS142" s="34"/>
      <c r="POT142" s="34"/>
      <c r="POU142" s="34"/>
      <c r="POV142" s="34"/>
      <c r="POW142" s="34"/>
      <c r="POX142" s="34"/>
      <c r="POY142" s="34"/>
      <c r="POZ142" s="34"/>
      <c r="PPA142" s="34"/>
      <c r="PPB142" s="34"/>
      <c r="PPC142" s="34"/>
      <c r="PPD142" s="34"/>
      <c r="PPE142" s="34"/>
      <c r="PPF142" s="34"/>
      <c r="PPG142" s="34"/>
      <c r="PPH142" s="34"/>
      <c r="PPI142" s="34"/>
      <c r="PPJ142" s="34"/>
      <c r="PPK142" s="34"/>
      <c r="PPL142" s="34"/>
      <c r="PPM142" s="34"/>
      <c r="PPN142" s="34"/>
      <c r="PPO142" s="34"/>
      <c r="PPP142" s="34"/>
      <c r="PPQ142" s="34"/>
      <c r="PPR142" s="34"/>
      <c r="PPS142" s="34"/>
      <c r="PPT142" s="34"/>
      <c r="PPU142" s="34"/>
      <c r="PPV142" s="34"/>
      <c r="PPW142" s="34"/>
      <c r="PPX142" s="34"/>
      <c r="PPY142" s="34"/>
      <c r="PPZ142" s="34"/>
      <c r="PQA142" s="34"/>
      <c r="PQB142" s="34"/>
      <c r="PQC142" s="34"/>
      <c r="PQD142" s="34"/>
      <c r="PQE142" s="34"/>
      <c r="PQF142" s="34"/>
      <c r="PQG142" s="34"/>
      <c r="PQH142" s="34"/>
      <c r="PQI142" s="34"/>
      <c r="PQJ142" s="34"/>
      <c r="PQK142" s="34"/>
      <c r="PQL142" s="34"/>
      <c r="PQM142" s="34"/>
      <c r="PQN142" s="34"/>
      <c r="PQO142" s="34"/>
      <c r="PQP142" s="34"/>
      <c r="PQQ142" s="34"/>
      <c r="PQR142" s="34"/>
      <c r="PQS142" s="34"/>
      <c r="PQT142" s="34"/>
      <c r="PQU142" s="34"/>
      <c r="PQV142" s="34"/>
      <c r="PQW142" s="34"/>
      <c r="PQX142" s="34"/>
      <c r="PQY142" s="34"/>
      <c r="PQZ142" s="34"/>
      <c r="PRA142" s="34"/>
      <c r="PRB142" s="34"/>
      <c r="PRC142" s="34"/>
      <c r="PRD142" s="34"/>
      <c r="PRE142" s="34"/>
      <c r="PRF142" s="34"/>
      <c r="PRG142" s="34"/>
      <c r="PRH142" s="34"/>
      <c r="PRI142" s="34"/>
      <c r="PRJ142" s="34"/>
      <c r="PRK142" s="34"/>
      <c r="PRL142" s="34"/>
      <c r="PRM142" s="34"/>
      <c r="PRN142" s="34"/>
      <c r="PRO142" s="34"/>
      <c r="PRP142" s="34"/>
      <c r="PRQ142" s="34"/>
      <c r="PRR142" s="34"/>
      <c r="PRS142" s="34"/>
      <c r="PRT142" s="34"/>
      <c r="PRU142" s="34"/>
      <c r="PRV142" s="34"/>
      <c r="PRW142" s="34"/>
      <c r="PRX142" s="34"/>
      <c r="PRY142" s="34"/>
      <c r="PRZ142" s="34"/>
      <c r="PSA142" s="34"/>
      <c r="PSB142" s="34"/>
      <c r="PSC142" s="34"/>
      <c r="PSD142" s="34"/>
      <c r="PSE142" s="34"/>
      <c r="PSF142" s="34"/>
      <c r="PSG142" s="34"/>
      <c r="PSH142" s="34"/>
      <c r="PSI142" s="34"/>
      <c r="PSJ142" s="34"/>
      <c r="PSK142" s="34"/>
      <c r="PSL142" s="34"/>
      <c r="PSM142" s="34"/>
      <c r="PSN142" s="34"/>
      <c r="PSO142" s="34"/>
      <c r="PSP142" s="34"/>
      <c r="PSQ142" s="34"/>
      <c r="PSR142" s="34"/>
      <c r="PSS142" s="34"/>
      <c r="PST142" s="34"/>
      <c r="PSU142" s="34"/>
      <c r="PSV142" s="34"/>
      <c r="PSW142" s="34"/>
      <c r="PSX142" s="34"/>
      <c r="PSY142" s="34"/>
      <c r="PSZ142" s="34"/>
      <c r="PTA142" s="34"/>
      <c r="PTB142" s="34"/>
      <c r="PTC142" s="34"/>
      <c r="PTD142" s="34"/>
      <c r="PTE142" s="34"/>
      <c r="PTF142" s="34"/>
      <c r="PTG142" s="34"/>
      <c r="PTH142" s="34"/>
      <c r="PTI142" s="34"/>
      <c r="PTJ142" s="34"/>
      <c r="PTK142" s="34"/>
      <c r="PTL142" s="34"/>
      <c r="PTM142" s="34"/>
      <c r="PTN142" s="34"/>
      <c r="PTO142" s="34"/>
      <c r="PTP142" s="34"/>
      <c r="PTQ142" s="34"/>
      <c r="PTR142" s="34"/>
      <c r="PTS142" s="34"/>
      <c r="PTT142" s="34"/>
      <c r="PTU142" s="34"/>
      <c r="PTV142" s="34"/>
      <c r="PTW142" s="34"/>
      <c r="PTX142" s="34"/>
      <c r="PTY142" s="34"/>
      <c r="PTZ142" s="34"/>
      <c r="PUA142" s="34"/>
      <c r="PUB142" s="34"/>
      <c r="PUC142" s="34"/>
      <c r="PUD142" s="34"/>
      <c r="PUE142" s="34"/>
      <c r="PUF142" s="34"/>
      <c r="PUG142" s="34"/>
      <c r="PUH142" s="34"/>
      <c r="PUI142" s="34"/>
      <c r="PUJ142" s="34"/>
      <c r="PUK142" s="34"/>
      <c r="PUL142" s="34"/>
      <c r="PUM142" s="34"/>
      <c r="PUN142" s="34"/>
      <c r="PUO142" s="34"/>
      <c r="PUP142" s="34"/>
      <c r="PUQ142" s="34"/>
      <c r="PUR142" s="34"/>
      <c r="PUS142" s="34"/>
      <c r="PUT142" s="34"/>
      <c r="PUU142" s="34"/>
      <c r="PUV142" s="34"/>
      <c r="PUW142" s="34"/>
      <c r="PUX142" s="34"/>
      <c r="PUY142" s="34"/>
      <c r="PUZ142" s="34"/>
      <c r="PVA142" s="34"/>
      <c r="PVB142" s="34"/>
      <c r="PVC142" s="34"/>
      <c r="PVD142" s="34"/>
      <c r="PVE142" s="34"/>
      <c r="PVF142" s="34"/>
      <c r="PVG142" s="34"/>
      <c r="PVH142" s="34"/>
      <c r="PVI142" s="34"/>
      <c r="PVJ142" s="34"/>
      <c r="PVK142" s="34"/>
      <c r="PVL142" s="34"/>
      <c r="PVM142" s="34"/>
      <c r="PVN142" s="34"/>
      <c r="PVO142" s="34"/>
      <c r="PVP142" s="34"/>
      <c r="PVQ142" s="34"/>
      <c r="PVR142" s="34"/>
      <c r="PVS142" s="34"/>
      <c r="PVT142" s="34"/>
      <c r="PVU142" s="34"/>
      <c r="PVV142" s="34"/>
      <c r="PVW142" s="34"/>
      <c r="PVX142" s="34"/>
      <c r="PVY142" s="34"/>
      <c r="PVZ142" s="34"/>
      <c r="PWA142" s="34"/>
      <c r="PWB142" s="34"/>
      <c r="PWC142" s="34"/>
      <c r="PWD142" s="34"/>
      <c r="PWE142" s="34"/>
      <c r="PWF142" s="34"/>
      <c r="PWG142" s="34"/>
      <c r="PWH142" s="34"/>
      <c r="PWI142" s="34"/>
      <c r="PWJ142" s="34"/>
      <c r="PWK142" s="34"/>
      <c r="PWL142" s="34"/>
      <c r="PWM142" s="34"/>
      <c r="PWN142" s="34"/>
      <c r="PWO142" s="34"/>
      <c r="PWP142" s="34"/>
      <c r="PWQ142" s="34"/>
      <c r="PWR142" s="34"/>
      <c r="PWS142" s="34"/>
      <c r="PWT142" s="34"/>
      <c r="PWU142" s="34"/>
      <c r="PWV142" s="34"/>
      <c r="PWW142" s="34"/>
      <c r="PWX142" s="34"/>
      <c r="PWY142" s="34"/>
      <c r="PWZ142" s="34"/>
      <c r="PXA142" s="34"/>
      <c r="PXB142" s="34"/>
      <c r="PXC142" s="34"/>
      <c r="PXD142" s="34"/>
      <c r="PXE142" s="34"/>
      <c r="PXF142" s="34"/>
      <c r="PXG142" s="34"/>
      <c r="PXH142" s="34"/>
      <c r="PXI142" s="34"/>
      <c r="PXJ142" s="34"/>
      <c r="PXK142" s="34"/>
      <c r="PXL142" s="34"/>
      <c r="PXM142" s="34"/>
      <c r="PXN142" s="34"/>
      <c r="PXO142" s="34"/>
      <c r="PXP142" s="34"/>
      <c r="PXQ142" s="34"/>
      <c r="PXR142" s="34"/>
      <c r="PXS142" s="34"/>
      <c r="PXT142" s="34"/>
      <c r="PXU142" s="34"/>
      <c r="PXV142" s="34"/>
      <c r="PXW142" s="34"/>
      <c r="PXX142" s="34"/>
      <c r="PXY142" s="34"/>
      <c r="PXZ142" s="34"/>
      <c r="PYA142" s="34"/>
      <c r="PYB142" s="34"/>
      <c r="PYC142" s="34"/>
      <c r="PYD142" s="34"/>
      <c r="PYE142" s="34"/>
      <c r="PYF142" s="34"/>
      <c r="PYG142" s="34"/>
      <c r="PYH142" s="34"/>
      <c r="PYI142" s="34"/>
      <c r="PYJ142" s="34"/>
      <c r="PYK142" s="34"/>
      <c r="PYL142" s="34"/>
      <c r="PYM142" s="34"/>
      <c r="PYN142" s="34"/>
      <c r="PYO142" s="34"/>
      <c r="PYP142" s="34"/>
      <c r="PYQ142" s="34"/>
      <c r="PYR142" s="34"/>
      <c r="PYS142" s="34"/>
      <c r="PYT142" s="34"/>
      <c r="PYU142" s="34"/>
      <c r="PYV142" s="34"/>
      <c r="PYW142" s="34"/>
      <c r="PYX142" s="34"/>
      <c r="PYY142" s="34"/>
      <c r="PYZ142" s="34"/>
      <c r="PZA142" s="34"/>
      <c r="PZB142" s="34"/>
      <c r="PZC142" s="34"/>
      <c r="PZD142" s="34"/>
      <c r="PZE142" s="34"/>
      <c r="PZF142" s="34"/>
      <c r="PZG142" s="34"/>
      <c r="PZH142" s="34"/>
      <c r="PZI142" s="34"/>
      <c r="PZJ142" s="34"/>
      <c r="PZK142" s="34"/>
      <c r="PZL142" s="34"/>
      <c r="PZM142" s="34"/>
      <c r="PZN142" s="34"/>
      <c r="PZO142" s="34"/>
      <c r="PZP142" s="34"/>
      <c r="PZQ142" s="34"/>
      <c r="PZR142" s="34"/>
      <c r="PZS142" s="34"/>
      <c r="PZT142" s="34"/>
      <c r="PZU142" s="34"/>
      <c r="PZV142" s="34"/>
      <c r="PZW142" s="34"/>
      <c r="PZX142" s="34"/>
      <c r="PZY142" s="34"/>
      <c r="PZZ142" s="34"/>
      <c r="QAA142" s="34"/>
      <c r="QAB142" s="34"/>
      <c r="QAC142" s="34"/>
      <c r="QAD142" s="34"/>
      <c r="QAE142" s="34"/>
      <c r="QAF142" s="34"/>
      <c r="QAG142" s="34"/>
      <c r="QAH142" s="34"/>
      <c r="QAI142" s="34"/>
      <c r="QAJ142" s="34"/>
      <c r="QAK142" s="34"/>
      <c r="QAL142" s="34"/>
      <c r="QAM142" s="34"/>
      <c r="QAN142" s="34"/>
      <c r="QAO142" s="34"/>
      <c r="QAP142" s="34"/>
      <c r="QAQ142" s="34"/>
      <c r="QAR142" s="34"/>
      <c r="QAS142" s="34"/>
      <c r="QAT142" s="34"/>
      <c r="QAU142" s="34"/>
      <c r="QAV142" s="34"/>
      <c r="QAW142" s="34"/>
      <c r="QAX142" s="34"/>
      <c r="QAY142" s="34"/>
      <c r="QAZ142" s="34"/>
      <c r="QBA142" s="34"/>
      <c r="QBB142" s="34"/>
      <c r="QBC142" s="34"/>
      <c r="QBD142" s="34"/>
      <c r="QBE142" s="34"/>
      <c r="QBF142" s="34"/>
      <c r="QBG142" s="34"/>
      <c r="QBH142" s="34"/>
      <c r="QBI142" s="34"/>
      <c r="QBJ142" s="34"/>
      <c r="QBK142" s="34"/>
      <c r="QBL142" s="34"/>
      <c r="QBM142" s="34"/>
      <c r="QBN142" s="34"/>
      <c r="QBO142" s="34"/>
      <c r="QBP142" s="34"/>
      <c r="QBQ142" s="34"/>
      <c r="QBR142" s="34"/>
      <c r="QBS142" s="34"/>
      <c r="QBT142" s="34"/>
      <c r="QBU142" s="34"/>
      <c r="QBV142" s="34"/>
      <c r="QBW142" s="34"/>
      <c r="QBX142" s="34"/>
      <c r="QBY142" s="34"/>
      <c r="QBZ142" s="34"/>
      <c r="QCA142" s="34"/>
      <c r="QCB142" s="34"/>
      <c r="QCC142" s="34"/>
      <c r="QCD142" s="34"/>
      <c r="QCE142" s="34"/>
      <c r="QCF142" s="34"/>
      <c r="QCG142" s="34"/>
      <c r="QCH142" s="34"/>
      <c r="QCI142" s="34"/>
      <c r="QCJ142" s="34"/>
      <c r="QCK142" s="34"/>
      <c r="QCL142" s="34"/>
      <c r="QCM142" s="34"/>
      <c r="QCN142" s="34"/>
      <c r="QCO142" s="34"/>
      <c r="QCP142" s="34"/>
      <c r="QCQ142" s="34"/>
      <c r="QCR142" s="34"/>
      <c r="QCS142" s="34"/>
      <c r="QCT142" s="34"/>
      <c r="QCU142" s="34"/>
      <c r="QCV142" s="34"/>
      <c r="QCW142" s="34"/>
      <c r="QCX142" s="34"/>
      <c r="QCY142" s="34"/>
      <c r="QCZ142" s="34"/>
      <c r="QDA142" s="34"/>
      <c r="QDB142" s="34"/>
      <c r="QDC142" s="34"/>
      <c r="QDD142" s="34"/>
      <c r="QDE142" s="34"/>
      <c r="QDF142" s="34"/>
      <c r="QDG142" s="34"/>
      <c r="QDH142" s="34"/>
      <c r="QDI142" s="34"/>
      <c r="QDJ142" s="34"/>
      <c r="QDK142" s="34"/>
      <c r="QDL142" s="34"/>
      <c r="QDM142" s="34"/>
      <c r="QDN142" s="34"/>
      <c r="QDO142" s="34"/>
      <c r="QDP142" s="34"/>
      <c r="QDQ142" s="34"/>
      <c r="QDR142" s="34"/>
      <c r="QDS142" s="34"/>
      <c r="QDT142" s="34"/>
      <c r="QDU142" s="34"/>
      <c r="QDV142" s="34"/>
      <c r="QDW142" s="34"/>
      <c r="QDX142" s="34"/>
      <c r="QDY142" s="34"/>
      <c r="QDZ142" s="34"/>
      <c r="QEA142" s="34"/>
      <c r="QEB142" s="34"/>
      <c r="QEC142" s="34"/>
      <c r="QED142" s="34"/>
      <c r="QEE142" s="34"/>
      <c r="QEF142" s="34"/>
      <c r="QEG142" s="34"/>
      <c r="QEH142" s="34"/>
      <c r="QEI142" s="34"/>
      <c r="QEJ142" s="34"/>
      <c r="QEK142" s="34"/>
      <c r="QEL142" s="34"/>
      <c r="QEM142" s="34"/>
      <c r="QEN142" s="34"/>
      <c r="QEO142" s="34"/>
      <c r="QEP142" s="34"/>
      <c r="QEQ142" s="34"/>
      <c r="QER142" s="34"/>
      <c r="QES142" s="34"/>
      <c r="QET142" s="34"/>
      <c r="QEU142" s="34"/>
      <c r="QEV142" s="34"/>
      <c r="QEW142" s="34"/>
      <c r="QEX142" s="34"/>
      <c r="QEY142" s="34"/>
      <c r="QEZ142" s="34"/>
      <c r="QFA142" s="34"/>
      <c r="QFB142" s="34"/>
      <c r="QFC142" s="34"/>
      <c r="QFD142" s="34"/>
      <c r="QFE142" s="34"/>
      <c r="QFF142" s="34"/>
      <c r="QFG142" s="34"/>
      <c r="QFH142" s="34"/>
      <c r="QFI142" s="34"/>
      <c r="QFJ142" s="34"/>
      <c r="QFK142" s="34"/>
      <c r="QFL142" s="34"/>
      <c r="QFM142" s="34"/>
      <c r="QFN142" s="34"/>
      <c r="QFO142" s="34"/>
      <c r="QFP142" s="34"/>
      <c r="QFQ142" s="34"/>
      <c r="QFR142" s="34"/>
      <c r="QFS142" s="34"/>
      <c r="QFT142" s="34"/>
      <c r="QFU142" s="34"/>
      <c r="QFV142" s="34"/>
      <c r="QFW142" s="34"/>
      <c r="QFX142" s="34"/>
      <c r="QFY142" s="34"/>
      <c r="QFZ142" s="34"/>
      <c r="QGA142" s="34"/>
      <c r="QGB142" s="34"/>
      <c r="QGC142" s="34"/>
      <c r="QGD142" s="34"/>
      <c r="QGE142" s="34"/>
      <c r="QGF142" s="34"/>
      <c r="QGG142" s="34"/>
      <c r="QGH142" s="34"/>
      <c r="QGI142" s="34"/>
      <c r="QGJ142" s="34"/>
      <c r="QGK142" s="34"/>
      <c r="QGL142" s="34"/>
      <c r="QGM142" s="34"/>
      <c r="QGN142" s="34"/>
      <c r="QGO142" s="34"/>
      <c r="QGP142" s="34"/>
      <c r="QGQ142" s="34"/>
      <c r="QGR142" s="34"/>
      <c r="QGS142" s="34"/>
      <c r="QGT142" s="34"/>
      <c r="QGU142" s="34"/>
      <c r="QGV142" s="34"/>
      <c r="QGW142" s="34"/>
      <c r="QGX142" s="34"/>
      <c r="QGY142" s="34"/>
      <c r="QGZ142" s="34"/>
      <c r="QHA142" s="34"/>
      <c r="QHB142" s="34"/>
      <c r="QHC142" s="34"/>
      <c r="QHD142" s="34"/>
      <c r="QHE142" s="34"/>
      <c r="QHF142" s="34"/>
      <c r="QHG142" s="34"/>
      <c r="QHH142" s="34"/>
      <c r="QHI142" s="34"/>
      <c r="QHJ142" s="34"/>
      <c r="QHK142" s="34"/>
      <c r="QHL142" s="34"/>
      <c r="QHM142" s="34"/>
      <c r="QHN142" s="34"/>
      <c r="QHO142" s="34"/>
      <c r="QHP142" s="34"/>
      <c r="QHQ142" s="34"/>
      <c r="QHR142" s="34"/>
      <c r="QHS142" s="34"/>
      <c r="QHT142" s="34"/>
      <c r="QHU142" s="34"/>
      <c r="QHV142" s="34"/>
      <c r="QHW142" s="34"/>
      <c r="QHX142" s="34"/>
      <c r="QHY142" s="34"/>
      <c r="QHZ142" s="34"/>
      <c r="QIA142" s="34"/>
      <c r="QIB142" s="34"/>
      <c r="QIC142" s="34"/>
      <c r="QID142" s="34"/>
      <c r="QIE142" s="34"/>
      <c r="QIF142" s="34"/>
      <c r="QIG142" s="34"/>
      <c r="QIH142" s="34"/>
      <c r="QII142" s="34"/>
      <c r="QIJ142" s="34"/>
      <c r="QIK142" s="34"/>
      <c r="QIL142" s="34"/>
      <c r="QIM142" s="34"/>
      <c r="QIN142" s="34"/>
      <c r="QIO142" s="34"/>
      <c r="QIP142" s="34"/>
      <c r="QIQ142" s="34"/>
      <c r="QIR142" s="34"/>
      <c r="QIS142" s="34"/>
      <c r="QIT142" s="34"/>
      <c r="QIU142" s="34"/>
      <c r="QIV142" s="34"/>
      <c r="QIW142" s="34"/>
      <c r="QIX142" s="34"/>
      <c r="QIY142" s="34"/>
      <c r="QIZ142" s="34"/>
      <c r="QJA142" s="34"/>
      <c r="QJB142" s="34"/>
      <c r="QJC142" s="34"/>
      <c r="QJD142" s="34"/>
      <c r="QJE142" s="34"/>
      <c r="QJF142" s="34"/>
      <c r="QJG142" s="34"/>
      <c r="QJH142" s="34"/>
      <c r="QJI142" s="34"/>
      <c r="QJJ142" s="34"/>
      <c r="QJK142" s="34"/>
      <c r="QJL142" s="34"/>
      <c r="QJM142" s="34"/>
      <c r="QJN142" s="34"/>
      <c r="QJO142" s="34"/>
      <c r="QJP142" s="34"/>
      <c r="QJQ142" s="34"/>
      <c r="QJR142" s="34"/>
      <c r="QJS142" s="34"/>
      <c r="QJT142" s="34"/>
      <c r="QJU142" s="34"/>
      <c r="QJV142" s="34"/>
      <c r="QJW142" s="34"/>
      <c r="QJX142" s="34"/>
      <c r="QJY142" s="34"/>
      <c r="QJZ142" s="34"/>
      <c r="QKA142" s="34"/>
      <c r="QKB142" s="34"/>
      <c r="QKC142" s="34"/>
      <c r="QKD142" s="34"/>
      <c r="QKE142" s="34"/>
      <c r="QKF142" s="34"/>
      <c r="QKG142" s="34"/>
      <c r="QKH142" s="34"/>
      <c r="QKI142" s="34"/>
      <c r="QKJ142" s="34"/>
      <c r="QKK142" s="34"/>
      <c r="QKL142" s="34"/>
      <c r="QKM142" s="34"/>
      <c r="QKN142" s="34"/>
      <c r="QKO142" s="34"/>
      <c r="QKP142" s="34"/>
      <c r="QKQ142" s="34"/>
      <c r="QKR142" s="34"/>
      <c r="QKS142" s="34"/>
      <c r="QKT142" s="34"/>
      <c r="QKU142" s="34"/>
      <c r="QKV142" s="34"/>
      <c r="QKW142" s="34"/>
      <c r="QKX142" s="34"/>
      <c r="QKY142" s="34"/>
      <c r="QKZ142" s="34"/>
      <c r="QLA142" s="34"/>
      <c r="QLB142" s="34"/>
      <c r="QLC142" s="34"/>
      <c r="QLD142" s="34"/>
      <c r="QLE142" s="34"/>
      <c r="QLF142" s="34"/>
      <c r="QLG142" s="34"/>
      <c r="QLH142" s="34"/>
      <c r="QLI142" s="34"/>
      <c r="QLJ142" s="34"/>
      <c r="QLK142" s="34"/>
      <c r="QLL142" s="34"/>
      <c r="QLM142" s="34"/>
      <c r="QLN142" s="34"/>
      <c r="QLO142" s="34"/>
      <c r="QLP142" s="34"/>
      <c r="QLQ142" s="34"/>
      <c r="QLR142" s="34"/>
      <c r="QLS142" s="34"/>
      <c r="QLT142" s="34"/>
      <c r="QLU142" s="34"/>
      <c r="QLV142" s="34"/>
      <c r="QLW142" s="34"/>
      <c r="QLX142" s="34"/>
      <c r="QLY142" s="34"/>
      <c r="QLZ142" s="34"/>
      <c r="QMA142" s="34"/>
      <c r="QMB142" s="34"/>
      <c r="QMC142" s="34"/>
      <c r="QMD142" s="34"/>
      <c r="QME142" s="34"/>
      <c r="QMF142" s="34"/>
      <c r="QMG142" s="34"/>
      <c r="QMH142" s="34"/>
      <c r="QMI142" s="34"/>
      <c r="QMJ142" s="34"/>
      <c r="QMK142" s="34"/>
      <c r="QML142" s="34"/>
      <c r="QMM142" s="34"/>
      <c r="QMN142" s="34"/>
      <c r="QMO142" s="34"/>
      <c r="QMP142" s="34"/>
      <c r="QMQ142" s="34"/>
      <c r="QMR142" s="34"/>
      <c r="QMS142" s="34"/>
      <c r="QMT142" s="34"/>
      <c r="QMU142" s="34"/>
      <c r="QMV142" s="34"/>
      <c r="QMW142" s="34"/>
      <c r="QMX142" s="34"/>
      <c r="QMY142" s="34"/>
      <c r="QMZ142" s="34"/>
      <c r="QNA142" s="34"/>
      <c r="QNB142" s="34"/>
      <c r="QNC142" s="34"/>
      <c r="QND142" s="34"/>
      <c r="QNE142" s="34"/>
      <c r="QNF142" s="34"/>
      <c r="QNG142" s="34"/>
      <c r="QNH142" s="34"/>
      <c r="QNI142" s="34"/>
      <c r="QNJ142" s="34"/>
      <c r="QNK142" s="34"/>
      <c r="QNL142" s="34"/>
      <c r="QNM142" s="34"/>
      <c r="QNN142" s="34"/>
      <c r="QNO142" s="34"/>
      <c r="QNP142" s="34"/>
      <c r="QNQ142" s="34"/>
      <c r="QNR142" s="34"/>
      <c r="QNS142" s="34"/>
      <c r="QNT142" s="34"/>
      <c r="QNU142" s="34"/>
      <c r="QNV142" s="34"/>
      <c r="QNW142" s="34"/>
      <c r="QNX142" s="34"/>
      <c r="QNY142" s="34"/>
      <c r="QNZ142" s="34"/>
      <c r="QOA142" s="34"/>
      <c r="QOB142" s="34"/>
      <c r="QOC142" s="34"/>
      <c r="QOD142" s="34"/>
      <c r="QOE142" s="34"/>
      <c r="QOF142" s="34"/>
      <c r="QOG142" s="34"/>
      <c r="QOH142" s="34"/>
      <c r="QOI142" s="34"/>
      <c r="QOJ142" s="34"/>
      <c r="QOK142" s="34"/>
      <c r="QOL142" s="34"/>
      <c r="QOM142" s="34"/>
      <c r="QON142" s="34"/>
      <c r="QOO142" s="34"/>
      <c r="QOP142" s="34"/>
      <c r="QOQ142" s="34"/>
      <c r="QOR142" s="34"/>
      <c r="QOS142" s="34"/>
      <c r="QOT142" s="34"/>
      <c r="QOU142" s="34"/>
      <c r="QOV142" s="34"/>
      <c r="QOW142" s="34"/>
      <c r="QOX142" s="34"/>
      <c r="QOY142" s="34"/>
      <c r="QOZ142" s="34"/>
      <c r="QPA142" s="34"/>
      <c r="QPB142" s="34"/>
      <c r="QPC142" s="34"/>
      <c r="QPD142" s="34"/>
      <c r="QPE142" s="34"/>
      <c r="QPF142" s="34"/>
      <c r="QPG142" s="34"/>
      <c r="QPH142" s="34"/>
      <c r="QPI142" s="34"/>
      <c r="QPJ142" s="34"/>
      <c r="QPK142" s="34"/>
      <c r="QPL142" s="34"/>
      <c r="QPM142" s="34"/>
      <c r="QPN142" s="34"/>
      <c r="QPO142" s="34"/>
      <c r="QPP142" s="34"/>
      <c r="QPQ142" s="34"/>
      <c r="QPR142" s="34"/>
      <c r="QPS142" s="34"/>
      <c r="QPT142" s="34"/>
      <c r="QPU142" s="34"/>
      <c r="QPV142" s="34"/>
      <c r="QPW142" s="34"/>
      <c r="QPX142" s="34"/>
      <c r="QPY142" s="34"/>
      <c r="QPZ142" s="34"/>
      <c r="QQA142" s="34"/>
      <c r="QQB142" s="34"/>
      <c r="QQC142" s="34"/>
      <c r="QQD142" s="34"/>
      <c r="QQE142" s="34"/>
      <c r="QQF142" s="34"/>
      <c r="QQG142" s="34"/>
      <c r="QQH142" s="34"/>
      <c r="QQI142" s="34"/>
      <c r="QQJ142" s="34"/>
      <c r="QQK142" s="34"/>
      <c r="QQL142" s="34"/>
      <c r="QQM142" s="34"/>
      <c r="QQN142" s="34"/>
      <c r="QQO142" s="34"/>
      <c r="QQP142" s="34"/>
      <c r="QQQ142" s="34"/>
      <c r="QQR142" s="34"/>
      <c r="QQS142" s="34"/>
      <c r="QQT142" s="34"/>
      <c r="QQU142" s="34"/>
      <c r="QQV142" s="34"/>
      <c r="QQW142" s="34"/>
      <c r="QQX142" s="34"/>
      <c r="QQY142" s="34"/>
      <c r="QQZ142" s="34"/>
      <c r="QRA142" s="34"/>
      <c r="QRB142" s="34"/>
      <c r="QRC142" s="34"/>
      <c r="QRD142" s="34"/>
      <c r="QRE142" s="34"/>
      <c r="QRF142" s="34"/>
      <c r="QRG142" s="34"/>
      <c r="QRH142" s="34"/>
      <c r="QRI142" s="34"/>
      <c r="QRJ142" s="34"/>
      <c r="QRK142" s="34"/>
      <c r="QRL142" s="34"/>
      <c r="QRM142" s="34"/>
      <c r="QRN142" s="34"/>
      <c r="QRO142" s="34"/>
      <c r="QRP142" s="34"/>
      <c r="QRQ142" s="34"/>
      <c r="QRR142" s="34"/>
      <c r="QRS142" s="34"/>
      <c r="QRT142" s="34"/>
      <c r="QRU142" s="34"/>
      <c r="QRV142" s="34"/>
      <c r="QRW142" s="34"/>
      <c r="QRX142" s="34"/>
      <c r="QRY142" s="34"/>
      <c r="QRZ142" s="34"/>
      <c r="QSA142" s="34"/>
      <c r="QSB142" s="34"/>
      <c r="QSC142" s="34"/>
      <c r="QSD142" s="34"/>
      <c r="QSE142" s="34"/>
      <c r="QSF142" s="34"/>
      <c r="QSG142" s="34"/>
      <c r="QSH142" s="34"/>
      <c r="QSI142" s="34"/>
      <c r="QSJ142" s="34"/>
      <c r="QSK142" s="34"/>
      <c r="QSL142" s="34"/>
      <c r="QSM142" s="34"/>
      <c r="QSN142" s="34"/>
      <c r="QSO142" s="34"/>
      <c r="QSP142" s="34"/>
      <c r="QSQ142" s="34"/>
      <c r="QSR142" s="34"/>
      <c r="QSS142" s="34"/>
      <c r="QST142" s="34"/>
      <c r="QSU142" s="34"/>
      <c r="QSV142" s="34"/>
      <c r="QSW142" s="34"/>
      <c r="QSX142" s="34"/>
      <c r="QSY142" s="34"/>
      <c r="QSZ142" s="34"/>
      <c r="QTA142" s="34"/>
      <c r="QTB142" s="34"/>
      <c r="QTC142" s="34"/>
      <c r="QTD142" s="34"/>
      <c r="QTE142" s="34"/>
      <c r="QTF142" s="34"/>
      <c r="QTG142" s="34"/>
      <c r="QTH142" s="34"/>
      <c r="QTI142" s="34"/>
      <c r="QTJ142" s="34"/>
      <c r="QTK142" s="34"/>
      <c r="QTL142" s="34"/>
      <c r="QTM142" s="34"/>
      <c r="QTN142" s="34"/>
      <c r="QTO142" s="34"/>
      <c r="QTP142" s="34"/>
      <c r="QTQ142" s="34"/>
      <c r="QTR142" s="34"/>
      <c r="QTS142" s="34"/>
      <c r="QTT142" s="34"/>
      <c r="QTU142" s="34"/>
      <c r="QTV142" s="34"/>
      <c r="QTW142" s="34"/>
      <c r="QTX142" s="34"/>
      <c r="QTY142" s="34"/>
      <c r="QTZ142" s="34"/>
      <c r="QUA142" s="34"/>
      <c r="QUB142" s="34"/>
      <c r="QUC142" s="34"/>
      <c r="QUD142" s="34"/>
      <c r="QUE142" s="34"/>
      <c r="QUF142" s="34"/>
      <c r="QUG142" s="34"/>
      <c r="QUH142" s="34"/>
      <c r="QUI142" s="34"/>
      <c r="QUJ142" s="34"/>
      <c r="QUK142" s="34"/>
      <c r="QUL142" s="34"/>
      <c r="QUM142" s="34"/>
      <c r="QUN142" s="34"/>
      <c r="QUO142" s="34"/>
      <c r="QUP142" s="34"/>
      <c r="QUQ142" s="34"/>
      <c r="QUR142" s="34"/>
      <c r="QUS142" s="34"/>
      <c r="QUT142" s="34"/>
      <c r="QUU142" s="34"/>
      <c r="QUV142" s="34"/>
      <c r="QUW142" s="34"/>
      <c r="QUX142" s="34"/>
      <c r="QUY142" s="34"/>
      <c r="QUZ142" s="34"/>
      <c r="QVA142" s="34"/>
      <c r="QVB142" s="34"/>
      <c r="QVC142" s="34"/>
      <c r="QVD142" s="34"/>
      <c r="QVE142" s="34"/>
      <c r="QVF142" s="34"/>
      <c r="QVG142" s="34"/>
      <c r="QVH142" s="34"/>
      <c r="QVI142" s="34"/>
      <c r="QVJ142" s="34"/>
      <c r="QVK142" s="34"/>
      <c r="QVL142" s="34"/>
      <c r="QVM142" s="34"/>
      <c r="QVN142" s="34"/>
      <c r="QVO142" s="34"/>
      <c r="QVP142" s="34"/>
      <c r="QVQ142" s="34"/>
      <c r="QVR142" s="34"/>
      <c r="QVS142" s="34"/>
      <c r="QVT142" s="34"/>
      <c r="QVU142" s="34"/>
      <c r="QVV142" s="34"/>
      <c r="QVW142" s="34"/>
      <c r="QVX142" s="34"/>
      <c r="QVY142" s="34"/>
      <c r="QVZ142" s="34"/>
      <c r="QWA142" s="34"/>
      <c r="QWB142" s="34"/>
      <c r="QWC142" s="34"/>
      <c r="QWD142" s="34"/>
      <c r="QWE142" s="34"/>
      <c r="QWF142" s="34"/>
      <c r="QWG142" s="34"/>
      <c r="QWH142" s="34"/>
      <c r="QWI142" s="34"/>
      <c r="QWJ142" s="34"/>
      <c r="QWK142" s="34"/>
      <c r="QWL142" s="34"/>
      <c r="QWM142" s="34"/>
      <c r="QWN142" s="34"/>
      <c r="QWO142" s="34"/>
      <c r="QWP142" s="34"/>
      <c r="QWQ142" s="34"/>
      <c r="QWR142" s="34"/>
      <c r="QWS142" s="34"/>
      <c r="QWT142" s="34"/>
      <c r="QWU142" s="34"/>
      <c r="QWV142" s="34"/>
      <c r="QWW142" s="34"/>
      <c r="QWX142" s="34"/>
      <c r="QWY142" s="34"/>
      <c r="QWZ142" s="34"/>
      <c r="QXA142" s="34"/>
      <c r="QXB142" s="34"/>
      <c r="QXC142" s="34"/>
      <c r="QXD142" s="34"/>
      <c r="QXE142" s="34"/>
      <c r="QXF142" s="34"/>
      <c r="QXG142" s="34"/>
      <c r="QXH142" s="34"/>
      <c r="QXI142" s="34"/>
      <c r="QXJ142" s="34"/>
      <c r="QXK142" s="34"/>
      <c r="QXL142" s="34"/>
      <c r="QXM142" s="34"/>
      <c r="QXN142" s="34"/>
      <c r="QXO142" s="34"/>
      <c r="QXP142" s="34"/>
      <c r="QXQ142" s="34"/>
      <c r="QXR142" s="34"/>
      <c r="QXS142" s="34"/>
      <c r="QXT142" s="34"/>
      <c r="QXU142" s="34"/>
      <c r="QXV142" s="34"/>
      <c r="QXW142" s="34"/>
      <c r="QXX142" s="34"/>
      <c r="QXY142" s="34"/>
      <c r="QXZ142" s="34"/>
      <c r="QYA142" s="34"/>
      <c r="QYB142" s="34"/>
      <c r="QYC142" s="34"/>
      <c r="QYD142" s="34"/>
      <c r="QYE142" s="34"/>
      <c r="QYF142" s="34"/>
      <c r="QYG142" s="34"/>
      <c r="QYH142" s="34"/>
      <c r="QYI142" s="34"/>
      <c r="QYJ142" s="34"/>
      <c r="QYK142" s="34"/>
      <c r="QYL142" s="34"/>
      <c r="QYM142" s="34"/>
      <c r="QYN142" s="34"/>
      <c r="QYO142" s="34"/>
      <c r="QYP142" s="34"/>
      <c r="QYQ142" s="34"/>
      <c r="QYR142" s="34"/>
      <c r="QYS142" s="34"/>
      <c r="QYT142" s="34"/>
      <c r="QYU142" s="34"/>
      <c r="QYV142" s="34"/>
      <c r="QYW142" s="34"/>
      <c r="QYX142" s="34"/>
      <c r="QYY142" s="34"/>
      <c r="QYZ142" s="34"/>
      <c r="QZA142" s="34"/>
      <c r="QZB142" s="34"/>
      <c r="QZC142" s="34"/>
      <c r="QZD142" s="34"/>
      <c r="QZE142" s="34"/>
      <c r="QZF142" s="34"/>
      <c r="QZG142" s="34"/>
      <c r="QZH142" s="34"/>
      <c r="QZI142" s="34"/>
      <c r="QZJ142" s="34"/>
      <c r="QZK142" s="34"/>
      <c r="QZL142" s="34"/>
      <c r="QZM142" s="34"/>
      <c r="QZN142" s="34"/>
      <c r="QZO142" s="34"/>
      <c r="QZP142" s="34"/>
      <c r="QZQ142" s="34"/>
      <c r="QZR142" s="34"/>
      <c r="QZS142" s="34"/>
      <c r="QZT142" s="34"/>
      <c r="QZU142" s="34"/>
      <c r="QZV142" s="34"/>
      <c r="QZW142" s="34"/>
      <c r="QZX142" s="34"/>
      <c r="QZY142" s="34"/>
      <c r="QZZ142" s="34"/>
      <c r="RAA142" s="34"/>
      <c r="RAB142" s="34"/>
      <c r="RAC142" s="34"/>
      <c r="RAD142" s="34"/>
      <c r="RAE142" s="34"/>
      <c r="RAF142" s="34"/>
      <c r="RAG142" s="34"/>
      <c r="RAH142" s="34"/>
      <c r="RAI142" s="34"/>
      <c r="RAJ142" s="34"/>
      <c r="RAK142" s="34"/>
      <c r="RAL142" s="34"/>
      <c r="RAM142" s="34"/>
      <c r="RAN142" s="34"/>
      <c r="RAO142" s="34"/>
      <c r="RAP142" s="34"/>
      <c r="RAQ142" s="34"/>
      <c r="RAR142" s="34"/>
      <c r="RAS142" s="34"/>
      <c r="RAT142" s="34"/>
      <c r="RAU142" s="34"/>
      <c r="RAV142" s="34"/>
      <c r="RAW142" s="34"/>
      <c r="RAX142" s="34"/>
      <c r="RAY142" s="34"/>
      <c r="RAZ142" s="34"/>
      <c r="RBA142" s="34"/>
      <c r="RBB142" s="34"/>
      <c r="RBC142" s="34"/>
      <c r="RBD142" s="34"/>
      <c r="RBE142" s="34"/>
      <c r="RBF142" s="34"/>
      <c r="RBG142" s="34"/>
      <c r="RBH142" s="34"/>
      <c r="RBI142" s="34"/>
      <c r="RBJ142" s="34"/>
      <c r="RBK142" s="34"/>
      <c r="RBL142" s="34"/>
      <c r="RBM142" s="34"/>
      <c r="RBN142" s="34"/>
      <c r="RBO142" s="34"/>
      <c r="RBP142" s="34"/>
      <c r="RBQ142" s="34"/>
      <c r="RBR142" s="34"/>
      <c r="RBS142" s="34"/>
      <c r="RBT142" s="34"/>
      <c r="RBU142" s="34"/>
      <c r="RBV142" s="34"/>
      <c r="RBW142" s="34"/>
      <c r="RBX142" s="34"/>
      <c r="RBY142" s="34"/>
      <c r="RBZ142" s="34"/>
      <c r="RCA142" s="34"/>
      <c r="RCB142" s="34"/>
      <c r="RCC142" s="34"/>
      <c r="RCD142" s="34"/>
      <c r="RCE142" s="34"/>
      <c r="RCF142" s="34"/>
      <c r="RCG142" s="34"/>
      <c r="RCH142" s="34"/>
      <c r="RCI142" s="34"/>
      <c r="RCJ142" s="34"/>
      <c r="RCK142" s="34"/>
      <c r="RCL142" s="34"/>
      <c r="RCM142" s="34"/>
      <c r="RCN142" s="34"/>
      <c r="RCO142" s="34"/>
      <c r="RCP142" s="34"/>
      <c r="RCQ142" s="34"/>
      <c r="RCR142" s="34"/>
      <c r="RCS142" s="34"/>
      <c r="RCT142" s="34"/>
      <c r="RCU142" s="34"/>
      <c r="RCV142" s="34"/>
      <c r="RCW142" s="34"/>
      <c r="RCX142" s="34"/>
      <c r="RCY142" s="34"/>
      <c r="RCZ142" s="34"/>
      <c r="RDA142" s="34"/>
      <c r="RDB142" s="34"/>
      <c r="RDC142" s="34"/>
      <c r="RDD142" s="34"/>
      <c r="RDE142" s="34"/>
      <c r="RDF142" s="34"/>
      <c r="RDG142" s="34"/>
      <c r="RDH142" s="34"/>
      <c r="RDI142" s="34"/>
      <c r="RDJ142" s="34"/>
      <c r="RDK142" s="34"/>
      <c r="RDL142" s="34"/>
      <c r="RDM142" s="34"/>
      <c r="RDN142" s="34"/>
      <c r="RDO142" s="34"/>
      <c r="RDP142" s="34"/>
      <c r="RDQ142" s="34"/>
      <c r="RDR142" s="34"/>
      <c r="RDS142" s="34"/>
      <c r="RDT142" s="34"/>
      <c r="RDU142" s="34"/>
      <c r="RDV142" s="34"/>
      <c r="RDW142" s="34"/>
      <c r="RDX142" s="34"/>
      <c r="RDY142" s="34"/>
      <c r="RDZ142" s="34"/>
      <c r="REA142" s="34"/>
      <c r="REB142" s="34"/>
      <c r="REC142" s="34"/>
      <c r="RED142" s="34"/>
      <c r="REE142" s="34"/>
      <c r="REF142" s="34"/>
      <c r="REG142" s="34"/>
      <c r="REH142" s="34"/>
      <c r="REI142" s="34"/>
      <c r="REJ142" s="34"/>
      <c r="REK142" s="34"/>
      <c r="REL142" s="34"/>
      <c r="REM142" s="34"/>
      <c r="REN142" s="34"/>
      <c r="REO142" s="34"/>
      <c r="REP142" s="34"/>
      <c r="REQ142" s="34"/>
      <c r="RER142" s="34"/>
      <c r="RES142" s="34"/>
      <c r="RET142" s="34"/>
      <c r="REU142" s="34"/>
      <c r="REV142" s="34"/>
      <c r="REW142" s="34"/>
      <c r="REX142" s="34"/>
      <c r="REY142" s="34"/>
      <c r="REZ142" s="34"/>
      <c r="RFA142" s="34"/>
      <c r="RFB142" s="34"/>
      <c r="RFC142" s="34"/>
      <c r="RFD142" s="34"/>
      <c r="RFE142" s="34"/>
      <c r="RFF142" s="34"/>
      <c r="RFG142" s="34"/>
      <c r="RFH142" s="34"/>
      <c r="RFI142" s="34"/>
      <c r="RFJ142" s="34"/>
      <c r="RFK142" s="34"/>
      <c r="RFL142" s="34"/>
      <c r="RFM142" s="34"/>
      <c r="RFN142" s="34"/>
      <c r="RFO142" s="34"/>
      <c r="RFP142" s="34"/>
      <c r="RFQ142" s="34"/>
      <c r="RFR142" s="34"/>
      <c r="RFS142" s="34"/>
      <c r="RFT142" s="34"/>
      <c r="RFU142" s="34"/>
      <c r="RFV142" s="34"/>
      <c r="RFW142" s="34"/>
      <c r="RFX142" s="34"/>
      <c r="RFY142" s="34"/>
      <c r="RFZ142" s="34"/>
      <c r="RGA142" s="34"/>
      <c r="RGB142" s="34"/>
      <c r="RGC142" s="34"/>
      <c r="RGD142" s="34"/>
      <c r="RGE142" s="34"/>
      <c r="RGF142" s="34"/>
      <c r="RGG142" s="34"/>
      <c r="RGH142" s="34"/>
      <c r="RGI142" s="34"/>
      <c r="RGJ142" s="34"/>
      <c r="RGK142" s="34"/>
      <c r="RGL142" s="34"/>
      <c r="RGM142" s="34"/>
      <c r="RGN142" s="34"/>
      <c r="RGO142" s="34"/>
      <c r="RGP142" s="34"/>
      <c r="RGQ142" s="34"/>
      <c r="RGR142" s="34"/>
      <c r="RGS142" s="34"/>
      <c r="RGT142" s="34"/>
      <c r="RGU142" s="34"/>
      <c r="RGV142" s="34"/>
      <c r="RGW142" s="34"/>
      <c r="RGX142" s="34"/>
      <c r="RGY142" s="34"/>
      <c r="RGZ142" s="34"/>
      <c r="RHA142" s="34"/>
      <c r="RHB142" s="34"/>
      <c r="RHC142" s="34"/>
      <c r="RHD142" s="34"/>
      <c r="RHE142" s="34"/>
      <c r="RHF142" s="34"/>
      <c r="RHG142" s="34"/>
      <c r="RHH142" s="34"/>
      <c r="RHI142" s="34"/>
      <c r="RHJ142" s="34"/>
      <c r="RHK142" s="34"/>
      <c r="RHL142" s="34"/>
      <c r="RHM142" s="34"/>
      <c r="RHN142" s="34"/>
      <c r="RHO142" s="34"/>
      <c r="RHP142" s="34"/>
      <c r="RHQ142" s="34"/>
      <c r="RHR142" s="34"/>
      <c r="RHS142" s="34"/>
      <c r="RHT142" s="34"/>
      <c r="RHU142" s="34"/>
      <c r="RHV142" s="34"/>
      <c r="RHW142" s="34"/>
      <c r="RHX142" s="34"/>
      <c r="RHY142" s="34"/>
      <c r="RHZ142" s="34"/>
      <c r="RIA142" s="34"/>
      <c r="RIB142" s="34"/>
      <c r="RIC142" s="34"/>
      <c r="RID142" s="34"/>
      <c r="RIE142" s="34"/>
      <c r="RIF142" s="34"/>
      <c r="RIG142" s="34"/>
      <c r="RIH142" s="34"/>
      <c r="RII142" s="34"/>
      <c r="RIJ142" s="34"/>
      <c r="RIK142" s="34"/>
      <c r="RIL142" s="34"/>
      <c r="RIM142" s="34"/>
      <c r="RIN142" s="34"/>
      <c r="RIO142" s="34"/>
      <c r="RIP142" s="34"/>
      <c r="RIQ142" s="34"/>
      <c r="RIR142" s="34"/>
      <c r="RIS142" s="34"/>
      <c r="RIT142" s="34"/>
      <c r="RIU142" s="34"/>
      <c r="RIV142" s="34"/>
      <c r="RIW142" s="34"/>
      <c r="RIX142" s="34"/>
      <c r="RIY142" s="34"/>
      <c r="RIZ142" s="34"/>
      <c r="RJA142" s="34"/>
      <c r="RJB142" s="34"/>
      <c r="RJC142" s="34"/>
      <c r="RJD142" s="34"/>
      <c r="RJE142" s="34"/>
      <c r="RJF142" s="34"/>
      <c r="RJG142" s="34"/>
      <c r="RJH142" s="34"/>
      <c r="RJI142" s="34"/>
      <c r="RJJ142" s="34"/>
      <c r="RJK142" s="34"/>
      <c r="RJL142" s="34"/>
      <c r="RJM142" s="34"/>
      <c r="RJN142" s="34"/>
      <c r="RJO142" s="34"/>
      <c r="RJP142" s="34"/>
      <c r="RJQ142" s="34"/>
      <c r="RJR142" s="34"/>
      <c r="RJS142" s="34"/>
      <c r="RJT142" s="34"/>
      <c r="RJU142" s="34"/>
      <c r="RJV142" s="34"/>
      <c r="RJW142" s="34"/>
      <c r="RJX142" s="34"/>
      <c r="RJY142" s="34"/>
      <c r="RJZ142" s="34"/>
      <c r="RKA142" s="34"/>
      <c r="RKB142" s="34"/>
      <c r="RKC142" s="34"/>
      <c r="RKD142" s="34"/>
      <c r="RKE142" s="34"/>
      <c r="RKF142" s="34"/>
      <c r="RKG142" s="34"/>
      <c r="RKH142" s="34"/>
      <c r="RKI142" s="34"/>
      <c r="RKJ142" s="34"/>
      <c r="RKK142" s="34"/>
      <c r="RKL142" s="34"/>
      <c r="RKM142" s="34"/>
      <c r="RKN142" s="34"/>
      <c r="RKO142" s="34"/>
      <c r="RKP142" s="34"/>
      <c r="RKQ142" s="34"/>
      <c r="RKR142" s="34"/>
      <c r="RKS142" s="34"/>
      <c r="RKT142" s="34"/>
      <c r="RKU142" s="34"/>
      <c r="RKV142" s="34"/>
      <c r="RKW142" s="34"/>
      <c r="RKX142" s="34"/>
      <c r="RKY142" s="34"/>
      <c r="RKZ142" s="34"/>
      <c r="RLA142" s="34"/>
      <c r="RLB142" s="34"/>
      <c r="RLC142" s="34"/>
      <c r="RLD142" s="34"/>
      <c r="RLE142" s="34"/>
      <c r="RLF142" s="34"/>
      <c r="RLG142" s="34"/>
      <c r="RLH142" s="34"/>
      <c r="RLI142" s="34"/>
      <c r="RLJ142" s="34"/>
      <c r="RLK142" s="34"/>
      <c r="RLL142" s="34"/>
      <c r="RLM142" s="34"/>
      <c r="RLN142" s="34"/>
      <c r="RLO142" s="34"/>
      <c r="RLP142" s="34"/>
      <c r="RLQ142" s="34"/>
      <c r="RLR142" s="34"/>
      <c r="RLS142" s="34"/>
      <c r="RLT142" s="34"/>
      <c r="RLU142" s="34"/>
      <c r="RLV142" s="34"/>
      <c r="RLW142" s="34"/>
      <c r="RLX142" s="34"/>
      <c r="RLY142" s="34"/>
      <c r="RLZ142" s="34"/>
      <c r="RMA142" s="34"/>
      <c r="RMB142" s="34"/>
      <c r="RMC142" s="34"/>
      <c r="RMD142" s="34"/>
      <c r="RME142" s="34"/>
      <c r="RMF142" s="34"/>
      <c r="RMG142" s="34"/>
      <c r="RMH142" s="34"/>
      <c r="RMI142" s="34"/>
      <c r="RMJ142" s="34"/>
      <c r="RMK142" s="34"/>
      <c r="RML142" s="34"/>
      <c r="RMM142" s="34"/>
      <c r="RMN142" s="34"/>
      <c r="RMO142" s="34"/>
      <c r="RMP142" s="34"/>
      <c r="RMQ142" s="34"/>
      <c r="RMR142" s="34"/>
      <c r="RMS142" s="34"/>
      <c r="RMT142" s="34"/>
      <c r="RMU142" s="34"/>
      <c r="RMV142" s="34"/>
      <c r="RMW142" s="34"/>
      <c r="RMX142" s="34"/>
      <c r="RMY142" s="34"/>
      <c r="RMZ142" s="34"/>
      <c r="RNA142" s="34"/>
      <c r="RNB142" s="34"/>
      <c r="RNC142" s="34"/>
      <c r="RND142" s="34"/>
      <c r="RNE142" s="34"/>
      <c r="RNF142" s="34"/>
      <c r="RNG142" s="34"/>
      <c r="RNH142" s="34"/>
      <c r="RNI142" s="34"/>
      <c r="RNJ142" s="34"/>
      <c r="RNK142" s="34"/>
      <c r="RNL142" s="34"/>
      <c r="RNM142" s="34"/>
      <c r="RNN142" s="34"/>
      <c r="RNO142" s="34"/>
      <c r="RNP142" s="34"/>
      <c r="RNQ142" s="34"/>
      <c r="RNR142" s="34"/>
      <c r="RNS142" s="34"/>
      <c r="RNT142" s="34"/>
      <c r="RNU142" s="34"/>
      <c r="RNV142" s="34"/>
      <c r="RNW142" s="34"/>
      <c r="RNX142" s="34"/>
      <c r="RNY142" s="34"/>
      <c r="RNZ142" s="34"/>
      <c r="ROA142" s="34"/>
      <c r="ROB142" s="34"/>
      <c r="ROC142" s="34"/>
      <c r="ROD142" s="34"/>
      <c r="ROE142" s="34"/>
      <c r="ROF142" s="34"/>
      <c r="ROG142" s="34"/>
      <c r="ROH142" s="34"/>
      <c r="ROI142" s="34"/>
      <c r="ROJ142" s="34"/>
      <c r="ROK142" s="34"/>
      <c r="ROL142" s="34"/>
      <c r="ROM142" s="34"/>
      <c r="RON142" s="34"/>
      <c r="ROO142" s="34"/>
      <c r="ROP142" s="34"/>
      <c r="ROQ142" s="34"/>
      <c r="ROR142" s="34"/>
      <c r="ROS142" s="34"/>
      <c r="ROT142" s="34"/>
      <c r="ROU142" s="34"/>
      <c r="ROV142" s="34"/>
      <c r="ROW142" s="34"/>
      <c r="ROX142" s="34"/>
      <c r="ROY142" s="34"/>
      <c r="ROZ142" s="34"/>
      <c r="RPA142" s="34"/>
      <c r="RPB142" s="34"/>
      <c r="RPC142" s="34"/>
      <c r="RPD142" s="34"/>
      <c r="RPE142" s="34"/>
      <c r="RPF142" s="34"/>
      <c r="RPG142" s="34"/>
      <c r="RPH142" s="34"/>
      <c r="RPI142" s="34"/>
      <c r="RPJ142" s="34"/>
      <c r="RPK142" s="34"/>
      <c r="RPL142" s="34"/>
      <c r="RPM142" s="34"/>
      <c r="RPN142" s="34"/>
      <c r="RPO142" s="34"/>
      <c r="RPP142" s="34"/>
      <c r="RPQ142" s="34"/>
      <c r="RPR142" s="34"/>
      <c r="RPS142" s="34"/>
      <c r="RPT142" s="34"/>
      <c r="RPU142" s="34"/>
      <c r="RPV142" s="34"/>
      <c r="RPW142" s="34"/>
      <c r="RPX142" s="34"/>
      <c r="RPY142" s="34"/>
      <c r="RPZ142" s="34"/>
      <c r="RQA142" s="34"/>
      <c r="RQB142" s="34"/>
      <c r="RQC142" s="34"/>
      <c r="RQD142" s="34"/>
      <c r="RQE142" s="34"/>
      <c r="RQF142" s="34"/>
      <c r="RQG142" s="34"/>
      <c r="RQH142" s="34"/>
      <c r="RQI142" s="34"/>
      <c r="RQJ142" s="34"/>
      <c r="RQK142" s="34"/>
      <c r="RQL142" s="34"/>
      <c r="RQM142" s="34"/>
      <c r="RQN142" s="34"/>
      <c r="RQO142" s="34"/>
      <c r="RQP142" s="34"/>
      <c r="RQQ142" s="34"/>
      <c r="RQR142" s="34"/>
      <c r="RQS142" s="34"/>
      <c r="RQT142" s="34"/>
      <c r="RQU142" s="34"/>
      <c r="RQV142" s="34"/>
      <c r="RQW142" s="34"/>
      <c r="RQX142" s="34"/>
      <c r="RQY142" s="34"/>
      <c r="RQZ142" s="34"/>
      <c r="RRA142" s="34"/>
      <c r="RRB142" s="34"/>
      <c r="RRC142" s="34"/>
      <c r="RRD142" s="34"/>
      <c r="RRE142" s="34"/>
      <c r="RRF142" s="34"/>
      <c r="RRG142" s="34"/>
      <c r="RRH142" s="34"/>
      <c r="RRI142" s="34"/>
      <c r="RRJ142" s="34"/>
      <c r="RRK142" s="34"/>
      <c r="RRL142" s="34"/>
      <c r="RRM142" s="34"/>
      <c r="RRN142" s="34"/>
      <c r="RRO142" s="34"/>
      <c r="RRP142" s="34"/>
      <c r="RRQ142" s="34"/>
      <c r="RRR142" s="34"/>
      <c r="RRS142" s="34"/>
      <c r="RRT142" s="34"/>
      <c r="RRU142" s="34"/>
      <c r="RRV142" s="34"/>
      <c r="RRW142" s="34"/>
      <c r="RRX142" s="34"/>
      <c r="RRY142" s="34"/>
      <c r="RRZ142" s="34"/>
      <c r="RSA142" s="34"/>
      <c r="RSB142" s="34"/>
      <c r="RSC142" s="34"/>
      <c r="RSD142" s="34"/>
      <c r="RSE142" s="34"/>
      <c r="RSF142" s="34"/>
      <c r="RSG142" s="34"/>
      <c r="RSH142" s="34"/>
      <c r="RSI142" s="34"/>
      <c r="RSJ142" s="34"/>
      <c r="RSK142" s="34"/>
      <c r="RSL142" s="34"/>
      <c r="RSM142" s="34"/>
      <c r="RSN142" s="34"/>
      <c r="RSO142" s="34"/>
      <c r="RSP142" s="34"/>
      <c r="RSQ142" s="34"/>
      <c r="RSR142" s="34"/>
      <c r="RSS142" s="34"/>
      <c r="RST142" s="34"/>
      <c r="RSU142" s="34"/>
      <c r="RSV142" s="34"/>
      <c r="RSW142" s="34"/>
      <c r="RSX142" s="34"/>
      <c r="RSY142" s="34"/>
      <c r="RSZ142" s="34"/>
      <c r="RTA142" s="34"/>
      <c r="RTB142" s="34"/>
      <c r="RTC142" s="34"/>
      <c r="RTD142" s="34"/>
      <c r="RTE142" s="34"/>
      <c r="RTF142" s="34"/>
      <c r="RTG142" s="34"/>
      <c r="RTH142" s="34"/>
      <c r="RTI142" s="34"/>
      <c r="RTJ142" s="34"/>
      <c r="RTK142" s="34"/>
      <c r="RTL142" s="34"/>
      <c r="RTM142" s="34"/>
      <c r="RTN142" s="34"/>
      <c r="RTO142" s="34"/>
      <c r="RTP142" s="34"/>
      <c r="RTQ142" s="34"/>
      <c r="RTR142" s="34"/>
      <c r="RTS142" s="34"/>
      <c r="RTT142" s="34"/>
      <c r="RTU142" s="34"/>
      <c r="RTV142" s="34"/>
      <c r="RTW142" s="34"/>
      <c r="RTX142" s="34"/>
      <c r="RTY142" s="34"/>
      <c r="RTZ142" s="34"/>
      <c r="RUA142" s="34"/>
      <c r="RUB142" s="34"/>
      <c r="RUC142" s="34"/>
      <c r="RUD142" s="34"/>
      <c r="RUE142" s="34"/>
      <c r="RUF142" s="34"/>
      <c r="RUG142" s="34"/>
      <c r="RUH142" s="34"/>
      <c r="RUI142" s="34"/>
      <c r="RUJ142" s="34"/>
      <c r="RUK142" s="34"/>
      <c r="RUL142" s="34"/>
      <c r="RUM142" s="34"/>
      <c r="RUN142" s="34"/>
      <c r="RUO142" s="34"/>
      <c r="RUP142" s="34"/>
      <c r="RUQ142" s="34"/>
      <c r="RUR142" s="34"/>
      <c r="RUS142" s="34"/>
      <c r="RUT142" s="34"/>
      <c r="RUU142" s="34"/>
      <c r="RUV142" s="34"/>
      <c r="RUW142" s="34"/>
      <c r="RUX142" s="34"/>
      <c r="RUY142" s="34"/>
      <c r="RUZ142" s="34"/>
      <c r="RVA142" s="34"/>
      <c r="RVB142" s="34"/>
      <c r="RVC142" s="34"/>
      <c r="RVD142" s="34"/>
      <c r="RVE142" s="34"/>
      <c r="RVF142" s="34"/>
      <c r="RVG142" s="34"/>
      <c r="RVH142" s="34"/>
      <c r="RVI142" s="34"/>
      <c r="RVJ142" s="34"/>
      <c r="RVK142" s="34"/>
      <c r="RVL142" s="34"/>
      <c r="RVM142" s="34"/>
      <c r="RVN142" s="34"/>
      <c r="RVO142" s="34"/>
      <c r="RVP142" s="34"/>
      <c r="RVQ142" s="34"/>
      <c r="RVR142" s="34"/>
      <c r="RVS142" s="34"/>
      <c r="RVT142" s="34"/>
      <c r="RVU142" s="34"/>
      <c r="RVV142" s="34"/>
      <c r="RVW142" s="34"/>
      <c r="RVX142" s="34"/>
      <c r="RVY142" s="34"/>
      <c r="RVZ142" s="34"/>
      <c r="RWA142" s="34"/>
      <c r="RWB142" s="34"/>
      <c r="RWC142" s="34"/>
      <c r="RWD142" s="34"/>
      <c r="RWE142" s="34"/>
      <c r="RWF142" s="34"/>
      <c r="RWG142" s="34"/>
      <c r="RWH142" s="34"/>
      <c r="RWI142" s="34"/>
      <c r="RWJ142" s="34"/>
      <c r="RWK142" s="34"/>
      <c r="RWL142" s="34"/>
      <c r="RWM142" s="34"/>
      <c r="RWN142" s="34"/>
      <c r="RWO142" s="34"/>
      <c r="RWP142" s="34"/>
      <c r="RWQ142" s="34"/>
      <c r="RWR142" s="34"/>
      <c r="RWS142" s="34"/>
      <c r="RWT142" s="34"/>
      <c r="RWU142" s="34"/>
      <c r="RWV142" s="34"/>
      <c r="RWW142" s="34"/>
      <c r="RWX142" s="34"/>
      <c r="RWY142" s="34"/>
      <c r="RWZ142" s="34"/>
      <c r="RXA142" s="34"/>
      <c r="RXB142" s="34"/>
      <c r="RXC142" s="34"/>
      <c r="RXD142" s="34"/>
      <c r="RXE142" s="34"/>
      <c r="RXF142" s="34"/>
      <c r="RXG142" s="34"/>
      <c r="RXH142" s="34"/>
      <c r="RXI142" s="34"/>
      <c r="RXJ142" s="34"/>
      <c r="RXK142" s="34"/>
      <c r="RXL142" s="34"/>
      <c r="RXM142" s="34"/>
      <c r="RXN142" s="34"/>
      <c r="RXO142" s="34"/>
      <c r="RXP142" s="34"/>
      <c r="RXQ142" s="34"/>
      <c r="RXR142" s="34"/>
      <c r="RXS142" s="34"/>
      <c r="RXT142" s="34"/>
      <c r="RXU142" s="34"/>
      <c r="RXV142" s="34"/>
      <c r="RXW142" s="34"/>
      <c r="RXX142" s="34"/>
      <c r="RXY142" s="34"/>
      <c r="RXZ142" s="34"/>
      <c r="RYA142" s="34"/>
      <c r="RYB142" s="34"/>
      <c r="RYC142" s="34"/>
      <c r="RYD142" s="34"/>
      <c r="RYE142" s="34"/>
      <c r="RYF142" s="34"/>
      <c r="RYG142" s="34"/>
      <c r="RYH142" s="34"/>
      <c r="RYI142" s="34"/>
      <c r="RYJ142" s="34"/>
      <c r="RYK142" s="34"/>
      <c r="RYL142" s="34"/>
      <c r="RYM142" s="34"/>
      <c r="RYN142" s="34"/>
      <c r="RYO142" s="34"/>
      <c r="RYP142" s="34"/>
      <c r="RYQ142" s="34"/>
      <c r="RYR142" s="34"/>
      <c r="RYS142" s="34"/>
      <c r="RYT142" s="34"/>
      <c r="RYU142" s="34"/>
      <c r="RYV142" s="34"/>
      <c r="RYW142" s="34"/>
      <c r="RYX142" s="34"/>
      <c r="RYY142" s="34"/>
      <c r="RYZ142" s="34"/>
      <c r="RZA142" s="34"/>
      <c r="RZB142" s="34"/>
      <c r="RZC142" s="34"/>
      <c r="RZD142" s="34"/>
      <c r="RZE142" s="34"/>
      <c r="RZF142" s="34"/>
      <c r="RZG142" s="34"/>
      <c r="RZH142" s="34"/>
      <c r="RZI142" s="34"/>
      <c r="RZJ142" s="34"/>
      <c r="RZK142" s="34"/>
      <c r="RZL142" s="34"/>
      <c r="RZM142" s="34"/>
      <c r="RZN142" s="34"/>
      <c r="RZO142" s="34"/>
      <c r="RZP142" s="34"/>
      <c r="RZQ142" s="34"/>
      <c r="RZR142" s="34"/>
      <c r="RZS142" s="34"/>
      <c r="RZT142" s="34"/>
      <c r="RZU142" s="34"/>
      <c r="RZV142" s="34"/>
      <c r="RZW142" s="34"/>
      <c r="RZX142" s="34"/>
      <c r="RZY142" s="34"/>
      <c r="RZZ142" s="34"/>
      <c r="SAA142" s="34"/>
      <c r="SAB142" s="34"/>
      <c r="SAC142" s="34"/>
      <c r="SAD142" s="34"/>
      <c r="SAE142" s="34"/>
      <c r="SAF142" s="34"/>
      <c r="SAG142" s="34"/>
      <c r="SAH142" s="34"/>
      <c r="SAI142" s="34"/>
      <c r="SAJ142" s="34"/>
      <c r="SAK142" s="34"/>
      <c r="SAL142" s="34"/>
      <c r="SAM142" s="34"/>
      <c r="SAN142" s="34"/>
      <c r="SAO142" s="34"/>
      <c r="SAP142" s="34"/>
      <c r="SAQ142" s="34"/>
      <c r="SAR142" s="34"/>
      <c r="SAS142" s="34"/>
      <c r="SAT142" s="34"/>
      <c r="SAU142" s="34"/>
      <c r="SAV142" s="34"/>
      <c r="SAW142" s="34"/>
      <c r="SAX142" s="34"/>
      <c r="SAY142" s="34"/>
      <c r="SAZ142" s="34"/>
      <c r="SBA142" s="34"/>
      <c r="SBB142" s="34"/>
      <c r="SBC142" s="34"/>
      <c r="SBD142" s="34"/>
      <c r="SBE142" s="34"/>
      <c r="SBF142" s="34"/>
      <c r="SBG142" s="34"/>
      <c r="SBH142" s="34"/>
      <c r="SBI142" s="34"/>
      <c r="SBJ142" s="34"/>
      <c r="SBK142" s="34"/>
      <c r="SBL142" s="34"/>
      <c r="SBM142" s="34"/>
      <c r="SBN142" s="34"/>
      <c r="SBO142" s="34"/>
      <c r="SBP142" s="34"/>
      <c r="SBQ142" s="34"/>
      <c r="SBR142" s="34"/>
      <c r="SBS142" s="34"/>
      <c r="SBT142" s="34"/>
      <c r="SBU142" s="34"/>
      <c r="SBV142" s="34"/>
      <c r="SBW142" s="34"/>
      <c r="SBX142" s="34"/>
      <c r="SBY142" s="34"/>
      <c r="SBZ142" s="34"/>
      <c r="SCA142" s="34"/>
      <c r="SCB142" s="34"/>
      <c r="SCC142" s="34"/>
      <c r="SCD142" s="34"/>
      <c r="SCE142" s="34"/>
      <c r="SCF142" s="34"/>
      <c r="SCG142" s="34"/>
      <c r="SCH142" s="34"/>
      <c r="SCI142" s="34"/>
      <c r="SCJ142" s="34"/>
      <c r="SCK142" s="34"/>
      <c r="SCL142" s="34"/>
      <c r="SCM142" s="34"/>
      <c r="SCN142" s="34"/>
      <c r="SCO142" s="34"/>
      <c r="SCP142" s="34"/>
      <c r="SCQ142" s="34"/>
      <c r="SCR142" s="34"/>
      <c r="SCS142" s="34"/>
      <c r="SCT142" s="34"/>
      <c r="SCU142" s="34"/>
      <c r="SCV142" s="34"/>
      <c r="SCW142" s="34"/>
      <c r="SCX142" s="34"/>
      <c r="SCY142" s="34"/>
      <c r="SCZ142" s="34"/>
      <c r="SDA142" s="34"/>
      <c r="SDB142" s="34"/>
      <c r="SDC142" s="34"/>
      <c r="SDD142" s="34"/>
      <c r="SDE142" s="34"/>
      <c r="SDF142" s="34"/>
      <c r="SDG142" s="34"/>
      <c r="SDH142" s="34"/>
      <c r="SDI142" s="34"/>
      <c r="SDJ142" s="34"/>
      <c r="SDK142" s="34"/>
      <c r="SDL142" s="34"/>
      <c r="SDM142" s="34"/>
      <c r="SDN142" s="34"/>
      <c r="SDO142" s="34"/>
      <c r="SDP142" s="34"/>
      <c r="SDQ142" s="34"/>
      <c r="SDR142" s="34"/>
      <c r="SDS142" s="34"/>
      <c r="SDT142" s="34"/>
      <c r="SDU142" s="34"/>
      <c r="SDV142" s="34"/>
      <c r="SDW142" s="34"/>
      <c r="SDX142" s="34"/>
      <c r="SDY142" s="34"/>
      <c r="SDZ142" s="34"/>
      <c r="SEA142" s="34"/>
      <c r="SEB142" s="34"/>
      <c r="SEC142" s="34"/>
      <c r="SED142" s="34"/>
      <c r="SEE142" s="34"/>
      <c r="SEF142" s="34"/>
      <c r="SEG142" s="34"/>
      <c r="SEH142" s="34"/>
      <c r="SEI142" s="34"/>
      <c r="SEJ142" s="34"/>
      <c r="SEK142" s="34"/>
      <c r="SEL142" s="34"/>
      <c r="SEM142" s="34"/>
      <c r="SEN142" s="34"/>
      <c r="SEO142" s="34"/>
      <c r="SEP142" s="34"/>
      <c r="SEQ142" s="34"/>
      <c r="SER142" s="34"/>
      <c r="SES142" s="34"/>
      <c r="SET142" s="34"/>
      <c r="SEU142" s="34"/>
      <c r="SEV142" s="34"/>
      <c r="SEW142" s="34"/>
      <c r="SEX142" s="34"/>
      <c r="SEY142" s="34"/>
      <c r="SEZ142" s="34"/>
      <c r="SFA142" s="34"/>
      <c r="SFB142" s="34"/>
      <c r="SFC142" s="34"/>
      <c r="SFD142" s="34"/>
      <c r="SFE142" s="34"/>
      <c r="SFF142" s="34"/>
      <c r="SFG142" s="34"/>
      <c r="SFH142" s="34"/>
      <c r="SFI142" s="34"/>
      <c r="SFJ142" s="34"/>
      <c r="SFK142" s="34"/>
      <c r="SFL142" s="34"/>
      <c r="SFM142" s="34"/>
      <c r="SFN142" s="34"/>
      <c r="SFO142" s="34"/>
      <c r="SFP142" s="34"/>
      <c r="SFQ142" s="34"/>
      <c r="SFR142" s="34"/>
      <c r="SFS142" s="34"/>
      <c r="SFT142" s="34"/>
      <c r="SFU142" s="34"/>
      <c r="SFV142" s="34"/>
      <c r="SFW142" s="34"/>
      <c r="SFX142" s="34"/>
      <c r="SFY142" s="34"/>
      <c r="SFZ142" s="34"/>
      <c r="SGA142" s="34"/>
      <c r="SGB142" s="34"/>
      <c r="SGC142" s="34"/>
      <c r="SGD142" s="34"/>
      <c r="SGE142" s="34"/>
      <c r="SGF142" s="34"/>
      <c r="SGG142" s="34"/>
      <c r="SGH142" s="34"/>
      <c r="SGI142" s="34"/>
      <c r="SGJ142" s="34"/>
      <c r="SGK142" s="34"/>
      <c r="SGL142" s="34"/>
      <c r="SGM142" s="34"/>
      <c r="SGN142" s="34"/>
      <c r="SGO142" s="34"/>
      <c r="SGP142" s="34"/>
      <c r="SGQ142" s="34"/>
      <c r="SGR142" s="34"/>
      <c r="SGS142" s="34"/>
      <c r="SGT142" s="34"/>
      <c r="SGU142" s="34"/>
      <c r="SGV142" s="34"/>
      <c r="SGW142" s="34"/>
      <c r="SGX142" s="34"/>
      <c r="SGY142" s="34"/>
      <c r="SGZ142" s="34"/>
      <c r="SHA142" s="34"/>
      <c r="SHB142" s="34"/>
      <c r="SHC142" s="34"/>
      <c r="SHD142" s="34"/>
      <c r="SHE142" s="34"/>
      <c r="SHF142" s="34"/>
      <c r="SHG142" s="34"/>
      <c r="SHH142" s="34"/>
      <c r="SHI142" s="34"/>
      <c r="SHJ142" s="34"/>
      <c r="SHK142" s="34"/>
      <c r="SHL142" s="34"/>
      <c r="SHM142" s="34"/>
      <c r="SHN142" s="34"/>
      <c r="SHO142" s="34"/>
      <c r="SHP142" s="34"/>
      <c r="SHQ142" s="34"/>
      <c r="SHR142" s="34"/>
      <c r="SHS142" s="34"/>
      <c r="SHT142" s="34"/>
      <c r="SHU142" s="34"/>
      <c r="SHV142" s="34"/>
      <c r="SHW142" s="34"/>
      <c r="SHX142" s="34"/>
      <c r="SHY142" s="34"/>
      <c r="SHZ142" s="34"/>
      <c r="SIA142" s="34"/>
      <c r="SIB142" s="34"/>
      <c r="SIC142" s="34"/>
      <c r="SID142" s="34"/>
      <c r="SIE142" s="34"/>
      <c r="SIF142" s="34"/>
      <c r="SIG142" s="34"/>
      <c r="SIH142" s="34"/>
      <c r="SII142" s="34"/>
      <c r="SIJ142" s="34"/>
      <c r="SIK142" s="34"/>
      <c r="SIL142" s="34"/>
      <c r="SIM142" s="34"/>
      <c r="SIN142" s="34"/>
      <c r="SIO142" s="34"/>
      <c r="SIP142" s="34"/>
      <c r="SIQ142" s="34"/>
      <c r="SIR142" s="34"/>
      <c r="SIS142" s="34"/>
      <c r="SIT142" s="34"/>
      <c r="SIU142" s="34"/>
      <c r="SIV142" s="34"/>
      <c r="SIW142" s="34"/>
      <c r="SIX142" s="34"/>
      <c r="SIY142" s="34"/>
      <c r="SIZ142" s="34"/>
      <c r="SJA142" s="34"/>
      <c r="SJB142" s="34"/>
      <c r="SJC142" s="34"/>
      <c r="SJD142" s="34"/>
      <c r="SJE142" s="34"/>
      <c r="SJF142" s="34"/>
      <c r="SJG142" s="34"/>
      <c r="SJH142" s="34"/>
      <c r="SJI142" s="34"/>
      <c r="SJJ142" s="34"/>
      <c r="SJK142" s="34"/>
      <c r="SJL142" s="34"/>
      <c r="SJM142" s="34"/>
      <c r="SJN142" s="34"/>
      <c r="SJO142" s="34"/>
      <c r="SJP142" s="34"/>
      <c r="SJQ142" s="34"/>
      <c r="SJR142" s="34"/>
      <c r="SJS142" s="34"/>
      <c r="SJT142" s="34"/>
      <c r="SJU142" s="34"/>
      <c r="SJV142" s="34"/>
      <c r="SJW142" s="34"/>
      <c r="SJX142" s="34"/>
      <c r="SJY142" s="34"/>
      <c r="SJZ142" s="34"/>
      <c r="SKA142" s="34"/>
      <c r="SKB142" s="34"/>
      <c r="SKC142" s="34"/>
      <c r="SKD142" s="34"/>
      <c r="SKE142" s="34"/>
      <c r="SKF142" s="34"/>
      <c r="SKG142" s="34"/>
      <c r="SKH142" s="34"/>
      <c r="SKI142" s="34"/>
      <c r="SKJ142" s="34"/>
      <c r="SKK142" s="34"/>
      <c r="SKL142" s="34"/>
      <c r="SKM142" s="34"/>
      <c r="SKN142" s="34"/>
      <c r="SKO142" s="34"/>
      <c r="SKP142" s="34"/>
      <c r="SKQ142" s="34"/>
      <c r="SKR142" s="34"/>
      <c r="SKS142" s="34"/>
      <c r="SKT142" s="34"/>
      <c r="SKU142" s="34"/>
      <c r="SKV142" s="34"/>
      <c r="SKW142" s="34"/>
      <c r="SKX142" s="34"/>
      <c r="SKY142" s="34"/>
      <c r="SKZ142" s="34"/>
      <c r="SLA142" s="34"/>
      <c r="SLB142" s="34"/>
      <c r="SLC142" s="34"/>
      <c r="SLD142" s="34"/>
      <c r="SLE142" s="34"/>
      <c r="SLF142" s="34"/>
      <c r="SLG142" s="34"/>
      <c r="SLH142" s="34"/>
      <c r="SLI142" s="34"/>
      <c r="SLJ142" s="34"/>
      <c r="SLK142" s="34"/>
      <c r="SLL142" s="34"/>
      <c r="SLM142" s="34"/>
      <c r="SLN142" s="34"/>
      <c r="SLO142" s="34"/>
      <c r="SLP142" s="34"/>
      <c r="SLQ142" s="34"/>
      <c r="SLR142" s="34"/>
      <c r="SLS142" s="34"/>
      <c r="SLT142" s="34"/>
      <c r="SLU142" s="34"/>
      <c r="SLV142" s="34"/>
      <c r="SLW142" s="34"/>
      <c r="SLX142" s="34"/>
      <c r="SLY142" s="34"/>
      <c r="SLZ142" s="34"/>
      <c r="SMA142" s="34"/>
      <c r="SMB142" s="34"/>
      <c r="SMC142" s="34"/>
      <c r="SMD142" s="34"/>
      <c r="SME142" s="34"/>
      <c r="SMF142" s="34"/>
      <c r="SMG142" s="34"/>
      <c r="SMH142" s="34"/>
      <c r="SMI142" s="34"/>
      <c r="SMJ142" s="34"/>
      <c r="SMK142" s="34"/>
      <c r="SML142" s="34"/>
      <c r="SMM142" s="34"/>
      <c r="SMN142" s="34"/>
      <c r="SMO142" s="34"/>
      <c r="SMP142" s="34"/>
      <c r="SMQ142" s="34"/>
      <c r="SMR142" s="34"/>
      <c r="SMS142" s="34"/>
      <c r="SMT142" s="34"/>
      <c r="SMU142" s="34"/>
      <c r="SMV142" s="34"/>
      <c r="SMW142" s="34"/>
      <c r="SMX142" s="34"/>
      <c r="SMY142" s="34"/>
      <c r="SMZ142" s="34"/>
      <c r="SNA142" s="34"/>
      <c r="SNB142" s="34"/>
      <c r="SNC142" s="34"/>
      <c r="SND142" s="34"/>
      <c r="SNE142" s="34"/>
      <c r="SNF142" s="34"/>
      <c r="SNG142" s="34"/>
      <c r="SNH142" s="34"/>
      <c r="SNI142" s="34"/>
      <c r="SNJ142" s="34"/>
      <c r="SNK142" s="34"/>
      <c r="SNL142" s="34"/>
      <c r="SNM142" s="34"/>
      <c r="SNN142" s="34"/>
      <c r="SNO142" s="34"/>
      <c r="SNP142" s="34"/>
      <c r="SNQ142" s="34"/>
      <c r="SNR142" s="34"/>
      <c r="SNS142" s="34"/>
      <c r="SNT142" s="34"/>
      <c r="SNU142" s="34"/>
      <c r="SNV142" s="34"/>
      <c r="SNW142" s="34"/>
      <c r="SNX142" s="34"/>
      <c r="SNY142" s="34"/>
      <c r="SNZ142" s="34"/>
      <c r="SOA142" s="34"/>
      <c r="SOB142" s="34"/>
      <c r="SOC142" s="34"/>
      <c r="SOD142" s="34"/>
      <c r="SOE142" s="34"/>
      <c r="SOF142" s="34"/>
      <c r="SOG142" s="34"/>
      <c r="SOH142" s="34"/>
      <c r="SOI142" s="34"/>
      <c r="SOJ142" s="34"/>
      <c r="SOK142" s="34"/>
      <c r="SOL142" s="34"/>
      <c r="SOM142" s="34"/>
      <c r="SON142" s="34"/>
      <c r="SOO142" s="34"/>
      <c r="SOP142" s="34"/>
      <c r="SOQ142" s="34"/>
      <c r="SOR142" s="34"/>
      <c r="SOS142" s="34"/>
      <c r="SOT142" s="34"/>
      <c r="SOU142" s="34"/>
      <c r="SOV142" s="34"/>
      <c r="SOW142" s="34"/>
      <c r="SOX142" s="34"/>
      <c r="SOY142" s="34"/>
      <c r="SOZ142" s="34"/>
      <c r="SPA142" s="34"/>
      <c r="SPB142" s="34"/>
      <c r="SPC142" s="34"/>
      <c r="SPD142" s="34"/>
      <c r="SPE142" s="34"/>
      <c r="SPF142" s="34"/>
      <c r="SPG142" s="34"/>
      <c r="SPH142" s="34"/>
      <c r="SPI142" s="34"/>
      <c r="SPJ142" s="34"/>
      <c r="SPK142" s="34"/>
      <c r="SPL142" s="34"/>
      <c r="SPM142" s="34"/>
      <c r="SPN142" s="34"/>
      <c r="SPO142" s="34"/>
      <c r="SPP142" s="34"/>
      <c r="SPQ142" s="34"/>
      <c r="SPR142" s="34"/>
      <c r="SPS142" s="34"/>
      <c r="SPT142" s="34"/>
      <c r="SPU142" s="34"/>
      <c r="SPV142" s="34"/>
      <c r="SPW142" s="34"/>
      <c r="SPX142" s="34"/>
      <c r="SPY142" s="34"/>
      <c r="SPZ142" s="34"/>
      <c r="SQA142" s="34"/>
      <c r="SQB142" s="34"/>
      <c r="SQC142" s="34"/>
      <c r="SQD142" s="34"/>
      <c r="SQE142" s="34"/>
      <c r="SQF142" s="34"/>
      <c r="SQG142" s="34"/>
      <c r="SQH142" s="34"/>
      <c r="SQI142" s="34"/>
      <c r="SQJ142" s="34"/>
      <c r="SQK142" s="34"/>
      <c r="SQL142" s="34"/>
      <c r="SQM142" s="34"/>
      <c r="SQN142" s="34"/>
      <c r="SQO142" s="34"/>
      <c r="SQP142" s="34"/>
      <c r="SQQ142" s="34"/>
      <c r="SQR142" s="34"/>
      <c r="SQS142" s="34"/>
      <c r="SQT142" s="34"/>
      <c r="SQU142" s="34"/>
      <c r="SQV142" s="34"/>
      <c r="SQW142" s="34"/>
      <c r="SQX142" s="34"/>
      <c r="SQY142" s="34"/>
      <c r="SQZ142" s="34"/>
      <c r="SRA142" s="34"/>
      <c r="SRB142" s="34"/>
      <c r="SRC142" s="34"/>
      <c r="SRD142" s="34"/>
      <c r="SRE142" s="34"/>
      <c r="SRF142" s="34"/>
      <c r="SRG142" s="34"/>
      <c r="SRH142" s="34"/>
      <c r="SRI142" s="34"/>
      <c r="SRJ142" s="34"/>
      <c r="SRK142" s="34"/>
      <c r="SRL142" s="34"/>
      <c r="SRM142" s="34"/>
      <c r="SRN142" s="34"/>
      <c r="SRO142" s="34"/>
      <c r="SRP142" s="34"/>
      <c r="SRQ142" s="34"/>
      <c r="SRR142" s="34"/>
      <c r="SRS142" s="34"/>
      <c r="SRT142" s="34"/>
      <c r="SRU142" s="34"/>
      <c r="SRV142" s="34"/>
      <c r="SRW142" s="34"/>
      <c r="SRX142" s="34"/>
      <c r="SRY142" s="34"/>
      <c r="SRZ142" s="34"/>
      <c r="SSA142" s="34"/>
      <c r="SSB142" s="34"/>
      <c r="SSC142" s="34"/>
      <c r="SSD142" s="34"/>
      <c r="SSE142" s="34"/>
      <c r="SSF142" s="34"/>
      <c r="SSG142" s="34"/>
      <c r="SSH142" s="34"/>
      <c r="SSI142" s="34"/>
      <c r="SSJ142" s="34"/>
      <c r="SSK142" s="34"/>
      <c r="SSL142" s="34"/>
      <c r="SSM142" s="34"/>
      <c r="SSN142" s="34"/>
      <c r="SSO142" s="34"/>
      <c r="SSP142" s="34"/>
      <c r="SSQ142" s="34"/>
      <c r="SSR142" s="34"/>
      <c r="SSS142" s="34"/>
      <c r="SST142" s="34"/>
      <c r="SSU142" s="34"/>
      <c r="SSV142" s="34"/>
      <c r="SSW142" s="34"/>
      <c r="SSX142" s="34"/>
      <c r="SSY142" s="34"/>
      <c r="SSZ142" s="34"/>
      <c r="STA142" s="34"/>
      <c r="STB142" s="34"/>
      <c r="STC142" s="34"/>
      <c r="STD142" s="34"/>
      <c r="STE142" s="34"/>
      <c r="STF142" s="34"/>
      <c r="STG142" s="34"/>
      <c r="STH142" s="34"/>
      <c r="STI142" s="34"/>
      <c r="STJ142" s="34"/>
      <c r="STK142" s="34"/>
      <c r="STL142" s="34"/>
      <c r="STM142" s="34"/>
      <c r="STN142" s="34"/>
      <c r="STO142" s="34"/>
      <c r="STP142" s="34"/>
      <c r="STQ142" s="34"/>
      <c r="STR142" s="34"/>
      <c r="STS142" s="34"/>
      <c r="STT142" s="34"/>
      <c r="STU142" s="34"/>
      <c r="STV142" s="34"/>
      <c r="STW142" s="34"/>
      <c r="STX142" s="34"/>
      <c r="STY142" s="34"/>
      <c r="STZ142" s="34"/>
      <c r="SUA142" s="34"/>
      <c r="SUB142" s="34"/>
      <c r="SUC142" s="34"/>
      <c r="SUD142" s="34"/>
      <c r="SUE142" s="34"/>
      <c r="SUF142" s="34"/>
      <c r="SUG142" s="34"/>
      <c r="SUH142" s="34"/>
      <c r="SUI142" s="34"/>
      <c r="SUJ142" s="34"/>
      <c r="SUK142" s="34"/>
      <c r="SUL142" s="34"/>
      <c r="SUM142" s="34"/>
      <c r="SUN142" s="34"/>
      <c r="SUO142" s="34"/>
      <c r="SUP142" s="34"/>
      <c r="SUQ142" s="34"/>
      <c r="SUR142" s="34"/>
      <c r="SUS142" s="34"/>
      <c r="SUT142" s="34"/>
      <c r="SUU142" s="34"/>
      <c r="SUV142" s="34"/>
      <c r="SUW142" s="34"/>
      <c r="SUX142" s="34"/>
      <c r="SUY142" s="34"/>
      <c r="SUZ142" s="34"/>
      <c r="SVA142" s="34"/>
      <c r="SVB142" s="34"/>
      <c r="SVC142" s="34"/>
      <c r="SVD142" s="34"/>
      <c r="SVE142" s="34"/>
      <c r="SVF142" s="34"/>
      <c r="SVG142" s="34"/>
      <c r="SVH142" s="34"/>
      <c r="SVI142" s="34"/>
      <c r="SVJ142" s="34"/>
      <c r="SVK142" s="34"/>
      <c r="SVL142" s="34"/>
      <c r="SVM142" s="34"/>
      <c r="SVN142" s="34"/>
      <c r="SVO142" s="34"/>
      <c r="SVP142" s="34"/>
      <c r="SVQ142" s="34"/>
      <c r="SVR142" s="34"/>
      <c r="SVS142" s="34"/>
      <c r="SVT142" s="34"/>
      <c r="SVU142" s="34"/>
      <c r="SVV142" s="34"/>
      <c r="SVW142" s="34"/>
      <c r="SVX142" s="34"/>
      <c r="SVY142" s="34"/>
      <c r="SVZ142" s="34"/>
      <c r="SWA142" s="34"/>
      <c r="SWB142" s="34"/>
      <c r="SWC142" s="34"/>
      <c r="SWD142" s="34"/>
      <c r="SWE142" s="34"/>
      <c r="SWF142" s="34"/>
      <c r="SWG142" s="34"/>
      <c r="SWH142" s="34"/>
      <c r="SWI142" s="34"/>
      <c r="SWJ142" s="34"/>
      <c r="SWK142" s="34"/>
      <c r="SWL142" s="34"/>
      <c r="SWM142" s="34"/>
      <c r="SWN142" s="34"/>
      <c r="SWO142" s="34"/>
      <c r="SWP142" s="34"/>
      <c r="SWQ142" s="34"/>
      <c r="SWR142" s="34"/>
      <c r="SWS142" s="34"/>
      <c r="SWT142" s="34"/>
      <c r="SWU142" s="34"/>
      <c r="SWV142" s="34"/>
      <c r="SWW142" s="34"/>
      <c r="SWX142" s="34"/>
      <c r="SWY142" s="34"/>
      <c r="SWZ142" s="34"/>
      <c r="SXA142" s="34"/>
      <c r="SXB142" s="34"/>
      <c r="SXC142" s="34"/>
      <c r="SXD142" s="34"/>
      <c r="SXE142" s="34"/>
      <c r="SXF142" s="34"/>
      <c r="SXG142" s="34"/>
      <c r="SXH142" s="34"/>
      <c r="SXI142" s="34"/>
      <c r="SXJ142" s="34"/>
      <c r="SXK142" s="34"/>
      <c r="SXL142" s="34"/>
      <c r="SXM142" s="34"/>
      <c r="SXN142" s="34"/>
      <c r="SXO142" s="34"/>
      <c r="SXP142" s="34"/>
      <c r="SXQ142" s="34"/>
      <c r="SXR142" s="34"/>
      <c r="SXS142" s="34"/>
      <c r="SXT142" s="34"/>
      <c r="SXU142" s="34"/>
      <c r="SXV142" s="34"/>
      <c r="SXW142" s="34"/>
      <c r="SXX142" s="34"/>
      <c r="SXY142" s="34"/>
      <c r="SXZ142" s="34"/>
      <c r="SYA142" s="34"/>
      <c r="SYB142" s="34"/>
      <c r="SYC142" s="34"/>
      <c r="SYD142" s="34"/>
      <c r="SYE142" s="34"/>
      <c r="SYF142" s="34"/>
      <c r="SYG142" s="34"/>
      <c r="SYH142" s="34"/>
      <c r="SYI142" s="34"/>
      <c r="SYJ142" s="34"/>
      <c r="SYK142" s="34"/>
      <c r="SYL142" s="34"/>
      <c r="SYM142" s="34"/>
      <c r="SYN142" s="34"/>
      <c r="SYO142" s="34"/>
      <c r="SYP142" s="34"/>
      <c r="SYQ142" s="34"/>
      <c r="SYR142" s="34"/>
      <c r="SYS142" s="34"/>
      <c r="SYT142" s="34"/>
      <c r="SYU142" s="34"/>
      <c r="SYV142" s="34"/>
      <c r="SYW142" s="34"/>
      <c r="SYX142" s="34"/>
      <c r="SYY142" s="34"/>
      <c r="SYZ142" s="34"/>
      <c r="SZA142" s="34"/>
      <c r="SZB142" s="34"/>
      <c r="SZC142" s="34"/>
      <c r="SZD142" s="34"/>
      <c r="SZE142" s="34"/>
      <c r="SZF142" s="34"/>
      <c r="SZG142" s="34"/>
      <c r="SZH142" s="34"/>
      <c r="SZI142" s="34"/>
      <c r="SZJ142" s="34"/>
      <c r="SZK142" s="34"/>
      <c r="SZL142" s="34"/>
      <c r="SZM142" s="34"/>
      <c r="SZN142" s="34"/>
      <c r="SZO142" s="34"/>
      <c r="SZP142" s="34"/>
      <c r="SZQ142" s="34"/>
      <c r="SZR142" s="34"/>
      <c r="SZS142" s="34"/>
      <c r="SZT142" s="34"/>
      <c r="SZU142" s="34"/>
      <c r="SZV142" s="34"/>
      <c r="SZW142" s="34"/>
      <c r="SZX142" s="34"/>
      <c r="SZY142" s="34"/>
      <c r="SZZ142" s="34"/>
      <c r="TAA142" s="34"/>
      <c r="TAB142" s="34"/>
      <c r="TAC142" s="34"/>
      <c r="TAD142" s="34"/>
      <c r="TAE142" s="34"/>
      <c r="TAF142" s="34"/>
      <c r="TAG142" s="34"/>
      <c r="TAH142" s="34"/>
      <c r="TAI142" s="34"/>
      <c r="TAJ142" s="34"/>
      <c r="TAK142" s="34"/>
      <c r="TAL142" s="34"/>
      <c r="TAM142" s="34"/>
      <c r="TAN142" s="34"/>
      <c r="TAO142" s="34"/>
      <c r="TAP142" s="34"/>
      <c r="TAQ142" s="34"/>
      <c r="TAR142" s="34"/>
      <c r="TAS142" s="34"/>
      <c r="TAT142" s="34"/>
      <c r="TAU142" s="34"/>
      <c r="TAV142" s="34"/>
      <c r="TAW142" s="34"/>
      <c r="TAX142" s="34"/>
      <c r="TAY142" s="34"/>
      <c r="TAZ142" s="34"/>
      <c r="TBA142" s="34"/>
      <c r="TBB142" s="34"/>
      <c r="TBC142" s="34"/>
      <c r="TBD142" s="34"/>
      <c r="TBE142" s="34"/>
      <c r="TBF142" s="34"/>
      <c r="TBG142" s="34"/>
      <c r="TBH142" s="34"/>
      <c r="TBI142" s="34"/>
      <c r="TBJ142" s="34"/>
      <c r="TBK142" s="34"/>
      <c r="TBL142" s="34"/>
      <c r="TBM142" s="34"/>
      <c r="TBN142" s="34"/>
      <c r="TBO142" s="34"/>
      <c r="TBP142" s="34"/>
      <c r="TBQ142" s="34"/>
      <c r="TBR142" s="34"/>
      <c r="TBS142" s="34"/>
      <c r="TBT142" s="34"/>
      <c r="TBU142" s="34"/>
      <c r="TBV142" s="34"/>
      <c r="TBW142" s="34"/>
      <c r="TBX142" s="34"/>
      <c r="TBY142" s="34"/>
      <c r="TBZ142" s="34"/>
      <c r="TCA142" s="34"/>
      <c r="TCB142" s="34"/>
      <c r="TCC142" s="34"/>
      <c r="TCD142" s="34"/>
      <c r="TCE142" s="34"/>
      <c r="TCF142" s="34"/>
      <c r="TCG142" s="34"/>
      <c r="TCH142" s="34"/>
      <c r="TCI142" s="34"/>
      <c r="TCJ142" s="34"/>
      <c r="TCK142" s="34"/>
      <c r="TCL142" s="34"/>
      <c r="TCM142" s="34"/>
      <c r="TCN142" s="34"/>
      <c r="TCO142" s="34"/>
      <c r="TCP142" s="34"/>
      <c r="TCQ142" s="34"/>
      <c r="TCR142" s="34"/>
      <c r="TCS142" s="34"/>
      <c r="TCT142" s="34"/>
      <c r="TCU142" s="34"/>
      <c r="TCV142" s="34"/>
      <c r="TCW142" s="34"/>
      <c r="TCX142" s="34"/>
      <c r="TCY142" s="34"/>
      <c r="TCZ142" s="34"/>
      <c r="TDA142" s="34"/>
      <c r="TDB142" s="34"/>
      <c r="TDC142" s="34"/>
      <c r="TDD142" s="34"/>
      <c r="TDE142" s="34"/>
      <c r="TDF142" s="34"/>
      <c r="TDG142" s="34"/>
      <c r="TDH142" s="34"/>
      <c r="TDI142" s="34"/>
      <c r="TDJ142" s="34"/>
      <c r="TDK142" s="34"/>
      <c r="TDL142" s="34"/>
      <c r="TDM142" s="34"/>
      <c r="TDN142" s="34"/>
      <c r="TDO142" s="34"/>
      <c r="TDP142" s="34"/>
      <c r="TDQ142" s="34"/>
      <c r="TDR142" s="34"/>
      <c r="TDS142" s="34"/>
      <c r="TDT142" s="34"/>
      <c r="TDU142" s="34"/>
      <c r="TDV142" s="34"/>
      <c r="TDW142" s="34"/>
      <c r="TDX142" s="34"/>
      <c r="TDY142" s="34"/>
      <c r="TDZ142" s="34"/>
      <c r="TEA142" s="34"/>
      <c r="TEB142" s="34"/>
      <c r="TEC142" s="34"/>
      <c r="TED142" s="34"/>
      <c r="TEE142" s="34"/>
      <c r="TEF142" s="34"/>
      <c r="TEG142" s="34"/>
      <c r="TEH142" s="34"/>
      <c r="TEI142" s="34"/>
      <c r="TEJ142" s="34"/>
      <c r="TEK142" s="34"/>
      <c r="TEL142" s="34"/>
      <c r="TEM142" s="34"/>
      <c r="TEN142" s="34"/>
      <c r="TEO142" s="34"/>
      <c r="TEP142" s="34"/>
      <c r="TEQ142" s="34"/>
      <c r="TER142" s="34"/>
      <c r="TES142" s="34"/>
      <c r="TET142" s="34"/>
      <c r="TEU142" s="34"/>
      <c r="TEV142" s="34"/>
      <c r="TEW142" s="34"/>
      <c r="TEX142" s="34"/>
      <c r="TEY142" s="34"/>
      <c r="TEZ142" s="34"/>
      <c r="TFA142" s="34"/>
      <c r="TFB142" s="34"/>
      <c r="TFC142" s="34"/>
      <c r="TFD142" s="34"/>
      <c r="TFE142" s="34"/>
      <c r="TFF142" s="34"/>
      <c r="TFG142" s="34"/>
      <c r="TFH142" s="34"/>
      <c r="TFI142" s="34"/>
      <c r="TFJ142" s="34"/>
      <c r="TFK142" s="34"/>
      <c r="TFL142" s="34"/>
      <c r="TFM142" s="34"/>
      <c r="TFN142" s="34"/>
      <c r="TFO142" s="34"/>
      <c r="TFP142" s="34"/>
      <c r="TFQ142" s="34"/>
      <c r="TFR142" s="34"/>
      <c r="TFS142" s="34"/>
      <c r="TFT142" s="34"/>
      <c r="TFU142" s="34"/>
      <c r="TFV142" s="34"/>
      <c r="TFW142" s="34"/>
      <c r="TFX142" s="34"/>
      <c r="TFY142" s="34"/>
      <c r="TFZ142" s="34"/>
      <c r="TGA142" s="34"/>
      <c r="TGB142" s="34"/>
      <c r="TGC142" s="34"/>
      <c r="TGD142" s="34"/>
      <c r="TGE142" s="34"/>
      <c r="TGF142" s="34"/>
      <c r="TGG142" s="34"/>
      <c r="TGH142" s="34"/>
      <c r="TGI142" s="34"/>
      <c r="TGJ142" s="34"/>
      <c r="TGK142" s="34"/>
      <c r="TGL142" s="34"/>
      <c r="TGM142" s="34"/>
      <c r="TGN142" s="34"/>
      <c r="TGO142" s="34"/>
      <c r="TGP142" s="34"/>
      <c r="TGQ142" s="34"/>
      <c r="TGR142" s="34"/>
      <c r="TGS142" s="34"/>
      <c r="TGT142" s="34"/>
      <c r="TGU142" s="34"/>
      <c r="TGV142" s="34"/>
      <c r="TGW142" s="34"/>
      <c r="TGX142" s="34"/>
      <c r="TGY142" s="34"/>
      <c r="TGZ142" s="34"/>
      <c r="THA142" s="34"/>
      <c r="THB142" s="34"/>
      <c r="THC142" s="34"/>
      <c r="THD142" s="34"/>
      <c r="THE142" s="34"/>
      <c r="THF142" s="34"/>
      <c r="THG142" s="34"/>
      <c r="THH142" s="34"/>
      <c r="THI142" s="34"/>
      <c r="THJ142" s="34"/>
      <c r="THK142" s="34"/>
      <c r="THL142" s="34"/>
      <c r="THM142" s="34"/>
      <c r="THN142" s="34"/>
      <c r="THO142" s="34"/>
      <c r="THP142" s="34"/>
      <c r="THQ142" s="34"/>
      <c r="THR142" s="34"/>
      <c r="THS142" s="34"/>
      <c r="THT142" s="34"/>
      <c r="THU142" s="34"/>
      <c r="THV142" s="34"/>
      <c r="THW142" s="34"/>
      <c r="THX142" s="34"/>
      <c r="THY142" s="34"/>
      <c r="THZ142" s="34"/>
      <c r="TIA142" s="34"/>
      <c r="TIB142" s="34"/>
      <c r="TIC142" s="34"/>
      <c r="TID142" s="34"/>
      <c r="TIE142" s="34"/>
      <c r="TIF142" s="34"/>
      <c r="TIG142" s="34"/>
      <c r="TIH142" s="34"/>
      <c r="TII142" s="34"/>
      <c r="TIJ142" s="34"/>
      <c r="TIK142" s="34"/>
      <c r="TIL142" s="34"/>
      <c r="TIM142" s="34"/>
      <c r="TIN142" s="34"/>
      <c r="TIO142" s="34"/>
      <c r="TIP142" s="34"/>
      <c r="TIQ142" s="34"/>
      <c r="TIR142" s="34"/>
      <c r="TIS142" s="34"/>
      <c r="TIT142" s="34"/>
      <c r="TIU142" s="34"/>
      <c r="TIV142" s="34"/>
      <c r="TIW142" s="34"/>
      <c r="TIX142" s="34"/>
      <c r="TIY142" s="34"/>
      <c r="TIZ142" s="34"/>
      <c r="TJA142" s="34"/>
      <c r="TJB142" s="34"/>
      <c r="TJC142" s="34"/>
      <c r="TJD142" s="34"/>
      <c r="TJE142" s="34"/>
      <c r="TJF142" s="34"/>
      <c r="TJG142" s="34"/>
      <c r="TJH142" s="34"/>
      <c r="TJI142" s="34"/>
      <c r="TJJ142" s="34"/>
      <c r="TJK142" s="34"/>
      <c r="TJL142" s="34"/>
      <c r="TJM142" s="34"/>
      <c r="TJN142" s="34"/>
      <c r="TJO142" s="34"/>
      <c r="TJP142" s="34"/>
      <c r="TJQ142" s="34"/>
      <c r="TJR142" s="34"/>
      <c r="TJS142" s="34"/>
      <c r="TJT142" s="34"/>
      <c r="TJU142" s="34"/>
      <c r="TJV142" s="34"/>
      <c r="TJW142" s="34"/>
      <c r="TJX142" s="34"/>
      <c r="TJY142" s="34"/>
      <c r="TJZ142" s="34"/>
      <c r="TKA142" s="34"/>
      <c r="TKB142" s="34"/>
      <c r="TKC142" s="34"/>
      <c r="TKD142" s="34"/>
      <c r="TKE142" s="34"/>
      <c r="TKF142" s="34"/>
      <c r="TKG142" s="34"/>
      <c r="TKH142" s="34"/>
      <c r="TKI142" s="34"/>
      <c r="TKJ142" s="34"/>
      <c r="TKK142" s="34"/>
      <c r="TKL142" s="34"/>
      <c r="TKM142" s="34"/>
      <c r="TKN142" s="34"/>
      <c r="TKO142" s="34"/>
      <c r="TKP142" s="34"/>
      <c r="TKQ142" s="34"/>
      <c r="TKR142" s="34"/>
      <c r="TKS142" s="34"/>
      <c r="TKT142" s="34"/>
      <c r="TKU142" s="34"/>
      <c r="TKV142" s="34"/>
      <c r="TKW142" s="34"/>
      <c r="TKX142" s="34"/>
      <c r="TKY142" s="34"/>
      <c r="TKZ142" s="34"/>
      <c r="TLA142" s="34"/>
      <c r="TLB142" s="34"/>
      <c r="TLC142" s="34"/>
      <c r="TLD142" s="34"/>
      <c r="TLE142" s="34"/>
      <c r="TLF142" s="34"/>
      <c r="TLG142" s="34"/>
      <c r="TLH142" s="34"/>
      <c r="TLI142" s="34"/>
      <c r="TLJ142" s="34"/>
      <c r="TLK142" s="34"/>
      <c r="TLL142" s="34"/>
      <c r="TLM142" s="34"/>
      <c r="TLN142" s="34"/>
      <c r="TLO142" s="34"/>
      <c r="TLP142" s="34"/>
      <c r="TLQ142" s="34"/>
      <c r="TLR142" s="34"/>
      <c r="TLS142" s="34"/>
      <c r="TLT142" s="34"/>
      <c r="TLU142" s="34"/>
      <c r="TLV142" s="34"/>
      <c r="TLW142" s="34"/>
      <c r="TLX142" s="34"/>
      <c r="TLY142" s="34"/>
      <c r="TLZ142" s="34"/>
      <c r="TMA142" s="34"/>
      <c r="TMB142" s="34"/>
      <c r="TMC142" s="34"/>
      <c r="TMD142" s="34"/>
      <c r="TME142" s="34"/>
      <c r="TMF142" s="34"/>
      <c r="TMG142" s="34"/>
      <c r="TMH142" s="34"/>
      <c r="TMI142" s="34"/>
      <c r="TMJ142" s="34"/>
      <c r="TMK142" s="34"/>
      <c r="TML142" s="34"/>
      <c r="TMM142" s="34"/>
      <c r="TMN142" s="34"/>
      <c r="TMO142" s="34"/>
      <c r="TMP142" s="34"/>
      <c r="TMQ142" s="34"/>
      <c r="TMR142" s="34"/>
      <c r="TMS142" s="34"/>
      <c r="TMT142" s="34"/>
      <c r="TMU142" s="34"/>
      <c r="TMV142" s="34"/>
      <c r="TMW142" s="34"/>
      <c r="TMX142" s="34"/>
      <c r="TMY142" s="34"/>
      <c r="TMZ142" s="34"/>
      <c r="TNA142" s="34"/>
      <c r="TNB142" s="34"/>
      <c r="TNC142" s="34"/>
      <c r="TND142" s="34"/>
      <c r="TNE142" s="34"/>
      <c r="TNF142" s="34"/>
      <c r="TNG142" s="34"/>
      <c r="TNH142" s="34"/>
      <c r="TNI142" s="34"/>
      <c r="TNJ142" s="34"/>
      <c r="TNK142" s="34"/>
      <c r="TNL142" s="34"/>
      <c r="TNM142" s="34"/>
      <c r="TNN142" s="34"/>
      <c r="TNO142" s="34"/>
      <c r="TNP142" s="34"/>
      <c r="TNQ142" s="34"/>
      <c r="TNR142" s="34"/>
      <c r="TNS142" s="34"/>
      <c r="TNT142" s="34"/>
      <c r="TNU142" s="34"/>
      <c r="TNV142" s="34"/>
      <c r="TNW142" s="34"/>
      <c r="TNX142" s="34"/>
      <c r="TNY142" s="34"/>
      <c r="TNZ142" s="34"/>
      <c r="TOA142" s="34"/>
      <c r="TOB142" s="34"/>
      <c r="TOC142" s="34"/>
      <c r="TOD142" s="34"/>
      <c r="TOE142" s="34"/>
      <c r="TOF142" s="34"/>
      <c r="TOG142" s="34"/>
      <c r="TOH142" s="34"/>
      <c r="TOI142" s="34"/>
      <c r="TOJ142" s="34"/>
      <c r="TOK142" s="34"/>
      <c r="TOL142" s="34"/>
      <c r="TOM142" s="34"/>
      <c r="TON142" s="34"/>
      <c r="TOO142" s="34"/>
      <c r="TOP142" s="34"/>
      <c r="TOQ142" s="34"/>
      <c r="TOR142" s="34"/>
      <c r="TOS142" s="34"/>
      <c r="TOT142" s="34"/>
      <c r="TOU142" s="34"/>
      <c r="TOV142" s="34"/>
      <c r="TOW142" s="34"/>
      <c r="TOX142" s="34"/>
      <c r="TOY142" s="34"/>
      <c r="TOZ142" s="34"/>
      <c r="TPA142" s="34"/>
      <c r="TPB142" s="34"/>
      <c r="TPC142" s="34"/>
      <c r="TPD142" s="34"/>
      <c r="TPE142" s="34"/>
      <c r="TPF142" s="34"/>
      <c r="TPG142" s="34"/>
      <c r="TPH142" s="34"/>
      <c r="TPI142" s="34"/>
      <c r="TPJ142" s="34"/>
      <c r="TPK142" s="34"/>
      <c r="TPL142" s="34"/>
      <c r="TPM142" s="34"/>
      <c r="TPN142" s="34"/>
      <c r="TPO142" s="34"/>
      <c r="TPP142" s="34"/>
      <c r="TPQ142" s="34"/>
      <c r="TPR142" s="34"/>
      <c r="TPS142" s="34"/>
      <c r="TPT142" s="34"/>
      <c r="TPU142" s="34"/>
      <c r="TPV142" s="34"/>
      <c r="TPW142" s="34"/>
      <c r="TPX142" s="34"/>
      <c r="TPY142" s="34"/>
      <c r="TPZ142" s="34"/>
      <c r="TQA142" s="34"/>
      <c r="TQB142" s="34"/>
      <c r="TQC142" s="34"/>
      <c r="TQD142" s="34"/>
      <c r="TQE142" s="34"/>
      <c r="TQF142" s="34"/>
      <c r="TQG142" s="34"/>
      <c r="TQH142" s="34"/>
      <c r="TQI142" s="34"/>
      <c r="TQJ142" s="34"/>
      <c r="TQK142" s="34"/>
      <c r="TQL142" s="34"/>
      <c r="TQM142" s="34"/>
      <c r="TQN142" s="34"/>
      <c r="TQO142" s="34"/>
      <c r="TQP142" s="34"/>
      <c r="TQQ142" s="34"/>
      <c r="TQR142" s="34"/>
      <c r="TQS142" s="34"/>
      <c r="TQT142" s="34"/>
      <c r="TQU142" s="34"/>
      <c r="TQV142" s="34"/>
      <c r="TQW142" s="34"/>
      <c r="TQX142" s="34"/>
      <c r="TQY142" s="34"/>
      <c r="TQZ142" s="34"/>
      <c r="TRA142" s="34"/>
      <c r="TRB142" s="34"/>
      <c r="TRC142" s="34"/>
      <c r="TRD142" s="34"/>
      <c r="TRE142" s="34"/>
      <c r="TRF142" s="34"/>
      <c r="TRG142" s="34"/>
      <c r="TRH142" s="34"/>
      <c r="TRI142" s="34"/>
      <c r="TRJ142" s="34"/>
      <c r="TRK142" s="34"/>
      <c r="TRL142" s="34"/>
      <c r="TRM142" s="34"/>
      <c r="TRN142" s="34"/>
      <c r="TRO142" s="34"/>
      <c r="TRP142" s="34"/>
      <c r="TRQ142" s="34"/>
      <c r="TRR142" s="34"/>
      <c r="TRS142" s="34"/>
      <c r="TRT142" s="34"/>
      <c r="TRU142" s="34"/>
      <c r="TRV142" s="34"/>
      <c r="TRW142" s="34"/>
      <c r="TRX142" s="34"/>
      <c r="TRY142" s="34"/>
      <c r="TRZ142" s="34"/>
      <c r="TSA142" s="34"/>
      <c r="TSB142" s="34"/>
      <c r="TSC142" s="34"/>
      <c r="TSD142" s="34"/>
      <c r="TSE142" s="34"/>
      <c r="TSF142" s="34"/>
      <c r="TSG142" s="34"/>
      <c r="TSH142" s="34"/>
      <c r="TSI142" s="34"/>
      <c r="TSJ142" s="34"/>
      <c r="TSK142" s="34"/>
      <c r="TSL142" s="34"/>
      <c r="TSM142" s="34"/>
      <c r="TSN142" s="34"/>
      <c r="TSO142" s="34"/>
      <c r="TSP142" s="34"/>
      <c r="TSQ142" s="34"/>
      <c r="TSR142" s="34"/>
      <c r="TSS142" s="34"/>
      <c r="TST142" s="34"/>
      <c r="TSU142" s="34"/>
      <c r="TSV142" s="34"/>
      <c r="TSW142" s="34"/>
      <c r="TSX142" s="34"/>
      <c r="TSY142" s="34"/>
      <c r="TSZ142" s="34"/>
      <c r="TTA142" s="34"/>
      <c r="TTB142" s="34"/>
      <c r="TTC142" s="34"/>
      <c r="TTD142" s="34"/>
      <c r="TTE142" s="34"/>
      <c r="TTF142" s="34"/>
      <c r="TTG142" s="34"/>
      <c r="TTH142" s="34"/>
      <c r="TTI142" s="34"/>
      <c r="TTJ142" s="34"/>
      <c r="TTK142" s="34"/>
      <c r="TTL142" s="34"/>
      <c r="TTM142" s="34"/>
      <c r="TTN142" s="34"/>
      <c r="TTO142" s="34"/>
      <c r="TTP142" s="34"/>
      <c r="TTQ142" s="34"/>
      <c r="TTR142" s="34"/>
      <c r="TTS142" s="34"/>
      <c r="TTT142" s="34"/>
      <c r="TTU142" s="34"/>
      <c r="TTV142" s="34"/>
      <c r="TTW142" s="34"/>
      <c r="TTX142" s="34"/>
      <c r="TTY142" s="34"/>
      <c r="TTZ142" s="34"/>
      <c r="TUA142" s="34"/>
      <c r="TUB142" s="34"/>
      <c r="TUC142" s="34"/>
      <c r="TUD142" s="34"/>
      <c r="TUE142" s="34"/>
      <c r="TUF142" s="34"/>
      <c r="TUG142" s="34"/>
      <c r="TUH142" s="34"/>
      <c r="TUI142" s="34"/>
      <c r="TUJ142" s="34"/>
      <c r="TUK142" s="34"/>
      <c r="TUL142" s="34"/>
      <c r="TUM142" s="34"/>
      <c r="TUN142" s="34"/>
      <c r="TUO142" s="34"/>
      <c r="TUP142" s="34"/>
      <c r="TUQ142" s="34"/>
      <c r="TUR142" s="34"/>
      <c r="TUS142" s="34"/>
      <c r="TUT142" s="34"/>
      <c r="TUU142" s="34"/>
      <c r="TUV142" s="34"/>
      <c r="TUW142" s="34"/>
      <c r="TUX142" s="34"/>
      <c r="TUY142" s="34"/>
      <c r="TUZ142" s="34"/>
      <c r="TVA142" s="34"/>
      <c r="TVB142" s="34"/>
      <c r="TVC142" s="34"/>
      <c r="TVD142" s="34"/>
      <c r="TVE142" s="34"/>
      <c r="TVF142" s="34"/>
      <c r="TVG142" s="34"/>
      <c r="TVH142" s="34"/>
      <c r="TVI142" s="34"/>
      <c r="TVJ142" s="34"/>
      <c r="TVK142" s="34"/>
      <c r="TVL142" s="34"/>
      <c r="TVM142" s="34"/>
      <c r="TVN142" s="34"/>
      <c r="TVO142" s="34"/>
      <c r="TVP142" s="34"/>
      <c r="TVQ142" s="34"/>
      <c r="TVR142" s="34"/>
      <c r="TVS142" s="34"/>
      <c r="TVT142" s="34"/>
      <c r="TVU142" s="34"/>
      <c r="TVV142" s="34"/>
      <c r="TVW142" s="34"/>
      <c r="TVX142" s="34"/>
      <c r="TVY142" s="34"/>
      <c r="TVZ142" s="34"/>
      <c r="TWA142" s="34"/>
      <c r="TWB142" s="34"/>
      <c r="TWC142" s="34"/>
      <c r="TWD142" s="34"/>
      <c r="TWE142" s="34"/>
      <c r="TWF142" s="34"/>
      <c r="TWG142" s="34"/>
      <c r="TWH142" s="34"/>
      <c r="TWI142" s="34"/>
      <c r="TWJ142" s="34"/>
      <c r="TWK142" s="34"/>
      <c r="TWL142" s="34"/>
      <c r="TWM142" s="34"/>
      <c r="TWN142" s="34"/>
      <c r="TWO142" s="34"/>
      <c r="TWP142" s="34"/>
      <c r="TWQ142" s="34"/>
      <c r="TWR142" s="34"/>
      <c r="TWS142" s="34"/>
      <c r="TWT142" s="34"/>
      <c r="TWU142" s="34"/>
      <c r="TWV142" s="34"/>
      <c r="TWW142" s="34"/>
      <c r="TWX142" s="34"/>
      <c r="TWY142" s="34"/>
      <c r="TWZ142" s="34"/>
      <c r="TXA142" s="34"/>
      <c r="TXB142" s="34"/>
      <c r="TXC142" s="34"/>
      <c r="TXD142" s="34"/>
      <c r="TXE142" s="34"/>
      <c r="TXF142" s="34"/>
      <c r="TXG142" s="34"/>
      <c r="TXH142" s="34"/>
      <c r="TXI142" s="34"/>
      <c r="TXJ142" s="34"/>
      <c r="TXK142" s="34"/>
      <c r="TXL142" s="34"/>
      <c r="TXM142" s="34"/>
      <c r="TXN142" s="34"/>
      <c r="TXO142" s="34"/>
      <c r="TXP142" s="34"/>
      <c r="TXQ142" s="34"/>
      <c r="TXR142" s="34"/>
      <c r="TXS142" s="34"/>
      <c r="TXT142" s="34"/>
      <c r="TXU142" s="34"/>
      <c r="TXV142" s="34"/>
      <c r="TXW142" s="34"/>
      <c r="TXX142" s="34"/>
      <c r="TXY142" s="34"/>
      <c r="TXZ142" s="34"/>
      <c r="TYA142" s="34"/>
      <c r="TYB142" s="34"/>
      <c r="TYC142" s="34"/>
      <c r="TYD142" s="34"/>
      <c r="TYE142" s="34"/>
      <c r="TYF142" s="34"/>
      <c r="TYG142" s="34"/>
      <c r="TYH142" s="34"/>
      <c r="TYI142" s="34"/>
      <c r="TYJ142" s="34"/>
      <c r="TYK142" s="34"/>
      <c r="TYL142" s="34"/>
      <c r="TYM142" s="34"/>
      <c r="TYN142" s="34"/>
      <c r="TYO142" s="34"/>
      <c r="TYP142" s="34"/>
      <c r="TYQ142" s="34"/>
      <c r="TYR142" s="34"/>
      <c r="TYS142" s="34"/>
      <c r="TYT142" s="34"/>
      <c r="TYU142" s="34"/>
      <c r="TYV142" s="34"/>
      <c r="TYW142" s="34"/>
      <c r="TYX142" s="34"/>
      <c r="TYY142" s="34"/>
      <c r="TYZ142" s="34"/>
      <c r="TZA142" s="34"/>
      <c r="TZB142" s="34"/>
      <c r="TZC142" s="34"/>
      <c r="TZD142" s="34"/>
      <c r="TZE142" s="34"/>
      <c r="TZF142" s="34"/>
      <c r="TZG142" s="34"/>
      <c r="TZH142" s="34"/>
      <c r="TZI142" s="34"/>
      <c r="TZJ142" s="34"/>
      <c r="TZK142" s="34"/>
      <c r="TZL142" s="34"/>
      <c r="TZM142" s="34"/>
      <c r="TZN142" s="34"/>
      <c r="TZO142" s="34"/>
      <c r="TZP142" s="34"/>
      <c r="TZQ142" s="34"/>
      <c r="TZR142" s="34"/>
      <c r="TZS142" s="34"/>
      <c r="TZT142" s="34"/>
      <c r="TZU142" s="34"/>
      <c r="TZV142" s="34"/>
      <c r="TZW142" s="34"/>
      <c r="TZX142" s="34"/>
      <c r="TZY142" s="34"/>
      <c r="TZZ142" s="34"/>
      <c r="UAA142" s="34"/>
      <c r="UAB142" s="34"/>
      <c r="UAC142" s="34"/>
      <c r="UAD142" s="34"/>
      <c r="UAE142" s="34"/>
      <c r="UAF142" s="34"/>
      <c r="UAG142" s="34"/>
      <c r="UAH142" s="34"/>
      <c r="UAI142" s="34"/>
      <c r="UAJ142" s="34"/>
      <c r="UAK142" s="34"/>
      <c r="UAL142" s="34"/>
      <c r="UAM142" s="34"/>
      <c r="UAN142" s="34"/>
      <c r="UAO142" s="34"/>
      <c r="UAP142" s="34"/>
      <c r="UAQ142" s="34"/>
      <c r="UAR142" s="34"/>
      <c r="UAS142" s="34"/>
      <c r="UAT142" s="34"/>
      <c r="UAU142" s="34"/>
      <c r="UAV142" s="34"/>
      <c r="UAW142" s="34"/>
      <c r="UAX142" s="34"/>
      <c r="UAY142" s="34"/>
      <c r="UAZ142" s="34"/>
      <c r="UBA142" s="34"/>
      <c r="UBB142" s="34"/>
      <c r="UBC142" s="34"/>
      <c r="UBD142" s="34"/>
      <c r="UBE142" s="34"/>
      <c r="UBF142" s="34"/>
      <c r="UBG142" s="34"/>
      <c r="UBH142" s="34"/>
      <c r="UBI142" s="34"/>
      <c r="UBJ142" s="34"/>
      <c r="UBK142" s="34"/>
      <c r="UBL142" s="34"/>
      <c r="UBM142" s="34"/>
      <c r="UBN142" s="34"/>
      <c r="UBO142" s="34"/>
      <c r="UBP142" s="34"/>
      <c r="UBQ142" s="34"/>
      <c r="UBR142" s="34"/>
      <c r="UBS142" s="34"/>
      <c r="UBT142" s="34"/>
      <c r="UBU142" s="34"/>
      <c r="UBV142" s="34"/>
      <c r="UBW142" s="34"/>
      <c r="UBX142" s="34"/>
      <c r="UBY142" s="34"/>
      <c r="UBZ142" s="34"/>
      <c r="UCA142" s="34"/>
      <c r="UCB142" s="34"/>
      <c r="UCC142" s="34"/>
      <c r="UCD142" s="34"/>
      <c r="UCE142" s="34"/>
      <c r="UCF142" s="34"/>
      <c r="UCG142" s="34"/>
      <c r="UCH142" s="34"/>
      <c r="UCI142" s="34"/>
      <c r="UCJ142" s="34"/>
      <c r="UCK142" s="34"/>
      <c r="UCL142" s="34"/>
      <c r="UCM142" s="34"/>
      <c r="UCN142" s="34"/>
      <c r="UCO142" s="34"/>
      <c r="UCP142" s="34"/>
      <c r="UCQ142" s="34"/>
      <c r="UCR142" s="34"/>
      <c r="UCS142" s="34"/>
      <c r="UCT142" s="34"/>
      <c r="UCU142" s="34"/>
      <c r="UCV142" s="34"/>
      <c r="UCW142" s="34"/>
      <c r="UCX142" s="34"/>
      <c r="UCY142" s="34"/>
      <c r="UCZ142" s="34"/>
      <c r="UDA142" s="34"/>
      <c r="UDB142" s="34"/>
      <c r="UDC142" s="34"/>
      <c r="UDD142" s="34"/>
      <c r="UDE142" s="34"/>
      <c r="UDF142" s="34"/>
      <c r="UDG142" s="34"/>
      <c r="UDH142" s="34"/>
      <c r="UDI142" s="34"/>
      <c r="UDJ142" s="34"/>
      <c r="UDK142" s="34"/>
      <c r="UDL142" s="34"/>
      <c r="UDM142" s="34"/>
      <c r="UDN142" s="34"/>
      <c r="UDO142" s="34"/>
      <c r="UDP142" s="34"/>
      <c r="UDQ142" s="34"/>
      <c r="UDR142" s="34"/>
      <c r="UDS142" s="34"/>
      <c r="UDT142" s="34"/>
      <c r="UDU142" s="34"/>
      <c r="UDV142" s="34"/>
      <c r="UDW142" s="34"/>
      <c r="UDX142" s="34"/>
      <c r="UDY142" s="34"/>
      <c r="UDZ142" s="34"/>
      <c r="UEA142" s="34"/>
      <c r="UEB142" s="34"/>
      <c r="UEC142" s="34"/>
      <c r="UED142" s="34"/>
      <c r="UEE142" s="34"/>
      <c r="UEF142" s="34"/>
      <c r="UEG142" s="34"/>
      <c r="UEH142" s="34"/>
      <c r="UEI142" s="34"/>
      <c r="UEJ142" s="34"/>
      <c r="UEK142" s="34"/>
      <c r="UEL142" s="34"/>
      <c r="UEM142" s="34"/>
      <c r="UEN142" s="34"/>
      <c r="UEO142" s="34"/>
      <c r="UEP142" s="34"/>
      <c r="UEQ142" s="34"/>
      <c r="UER142" s="34"/>
      <c r="UES142" s="34"/>
      <c r="UET142" s="34"/>
      <c r="UEU142" s="34"/>
      <c r="UEV142" s="34"/>
      <c r="UEW142" s="34"/>
      <c r="UEX142" s="34"/>
      <c r="UEY142" s="34"/>
      <c r="UEZ142" s="34"/>
      <c r="UFA142" s="34"/>
      <c r="UFB142" s="34"/>
      <c r="UFC142" s="34"/>
      <c r="UFD142" s="34"/>
      <c r="UFE142" s="34"/>
      <c r="UFF142" s="34"/>
      <c r="UFG142" s="34"/>
      <c r="UFH142" s="34"/>
      <c r="UFI142" s="34"/>
      <c r="UFJ142" s="34"/>
      <c r="UFK142" s="34"/>
      <c r="UFL142" s="34"/>
      <c r="UFM142" s="34"/>
      <c r="UFN142" s="34"/>
      <c r="UFO142" s="34"/>
      <c r="UFP142" s="34"/>
      <c r="UFQ142" s="34"/>
      <c r="UFR142" s="34"/>
      <c r="UFS142" s="34"/>
      <c r="UFT142" s="34"/>
      <c r="UFU142" s="34"/>
      <c r="UFV142" s="34"/>
      <c r="UFW142" s="34"/>
      <c r="UFX142" s="34"/>
      <c r="UFY142" s="34"/>
      <c r="UFZ142" s="34"/>
      <c r="UGA142" s="34"/>
      <c r="UGB142" s="34"/>
      <c r="UGC142" s="34"/>
      <c r="UGD142" s="34"/>
      <c r="UGE142" s="34"/>
      <c r="UGF142" s="34"/>
      <c r="UGG142" s="34"/>
      <c r="UGH142" s="34"/>
      <c r="UGI142" s="34"/>
      <c r="UGJ142" s="34"/>
      <c r="UGK142" s="34"/>
      <c r="UGL142" s="34"/>
      <c r="UGM142" s="34"/>
      <c r="UGN142" s="34"/>
      <c r="UGO142" s="34"/>
      <c r="UGP142" s="34"/>
      <c r="UGQ142" s="34"/>
      <c r="UGR142" s="34"/>
      <c r="UGS142" s="34"/>
      <c r="UGT142" s="34"/>
      <c r="UGU142" s="34"/>
      <c r="UGV142" s="34"/>
      <c r="UGW142" s="34"/>
      <c r="UGX142" s="34"/>
      <c r="UGY142" s="34"/>
      <c r="UGZ142" s="34"/>
      <c r="UHA142" s="34"/>
      <c r="UHB142" s="34"/>
      <c r="UHC142" s="34"/>
      <c r="UHD142" s="34"/>
      <c r="UHE142" s="34"/>
      <c r="UHF142" s="34"/>
      <c r="UHG142" s="34"/>
      <c r="UHH142" s="34"/>
      <c r="UHI142" s="34"/>
      <c r="UHJ142" s="34"/>
      <c r="UHK142" s="34"/>
      <c r="UHL142" s="34"/>
      <c r="UHM142" s="34"/>
      <c r="UHN142" s="34"/>
      <c r="UHO142" s="34"/>
      <c r="UHP142" s="34"/>
      <c r="UHQ142" s="34"/>
      <c r="UHR142" s="34"/>
      <c r="UHS142" s="34"/>
      <c r="UHT142" s="34"/>
      <c r="UHU142" s="34"/>
      <c r="UHV142" s="34"/>
      <c r="UHW142" s="34"/>
      <c r="UHX142" s="34"/>
      <c r="UHY142" s="34"/>
      <c r="UHZ142" s="34"/>
      <c r="UIA142" s="34"/>
      <c r="UIB142" s="34"/>
      <c r="UIC142" s="34"/>
      <c r="UID142" s="34"/>
      <c r="UIE142" s="34"/>
      <c r="UIF142" s="34"/>
      <c r="UIG142" s="34"/>
      <c r="UIH142" s="34"/>
      <c r="UII142" s="34"/>
      <c r="UIJ142" s="34"/>
      <c r="UIK142" s="34"/>
      <c r="UIL142" s="34"/>
      <c r="UIM142" s="34"/>
      <c r="UIN142" s="34"/>
      <c r="UIO142" s="34"/>
      <c r="UIP142" s="34"/>
      <c r="UIQ142" s="34"/>
      <c r="UIR142" s="34"/>
      <c r="UIS142" s="34"/>
      <c r="UIT142" s="34"/>
      <c r="UIU142" s="34"/>
      <c r="UIV142" s="34"/>
      <c r="UIW142" s="34"/>
      <c r="UIX142" s="34"/>
      <c r="UIY142" s="34"/>
      <c r="UIZ142" s="34"/>
      <c r="UJA142" s="34"/>
      <c r="UJB142" s="34"/>
      <c r="UJC142" s="34"/>
      <c r="UJD142" s="34"/>
      <c r="UJE142" s="34"/>
      <c r="UJF142" s="34"/>
      <c r="UJG142" s="34"/>
      <c r="UJH142" s="34"/>
      <c r="UJI142" s="34"/>
      <c r="UJJ142" s="34"/>
      <c r="UJK142" s="34"/>
      <c r="UJL142" s="34"/>
      <c r="UJM142" s="34"/>
      <c r="UJN142" s="34"/>
      <c r="UJO142" s="34"/>
      <c r="UJP142" s="34"/>
      <c r="UJQ142" s="34"/>
      <c r="UJR142" s="34"/>
      <c r="UJS142" s="34"/>
      <c r="UJT142" s="34"/>
      <c r="UJU142" s="34"/>
      <c r="UJV142" s="34"/>
      <c r="UJW142" s="34"/>
      <c r="UJX142" s="34"/>
      <c r="UJY142" s="34"/>
      <c r="UJZ142" s="34"/>
      <c r="UKA142" s="34"/>
      <c r="UKB142" s="34"/>
      <c r="UKC142" s="34"/>
      <c r="UKD142" s="34"/>
      <c r="UKE142" s="34"/>
      <c r="UKF142" s="34"/>
      <c r="UKG142" s="34"/>
      <c r="UKH142" s="34"/>
      <c r="UKI142" s="34"/>
      <c r="UKJ142" s="34"/>
      <c r="UKK142" s="34"/>
      <c r="UKL142" s="34"/>
      <c r="UKM142" s="34"/>
      <c r="UKN142" s="34"/>
      <c r="UKO142" s="34"/>
      <c r="UKP142" s="34"/>
      <c r="UKQ142" s="34"/>
      <c r="UKR142" s="34"/>
      <c r="UKS142" s="34"/>
      <c r="UKT142" s="34"/>
      <c r="UKU142" s="34"/>
      <c r="UKV142" s="34"/>
      <c r="UKW142" s="34"/>
      <c r="UKX142" s="34"/>
      <c r="UKY142" s="34"/>
      <c r="UKZ142" s="34"/>
      <c r="ULA142" s="34"/>
      <c r="ULB142" s="34"/>
      <c r="ULC142" s="34"/>
      <c r="ULD142" s="34"/>
      <c r="ULE142" s="34"/>
      <c r="ULF142" s="34"/>
      <c r="ULG142" s="34"/>
      <c r="ULH142" s="34"/>
      <c r="ULI142" s="34"/>
      <c r="ULJ142" s="34"/>
      <c r="ULK142" s="34"/>
      <c r="ULL142" s="34"/>
      <c r="ULM142" s="34"/>
      <c r="ULN142" s="34"/>
      <c r="ULO142" s="34"/>
      <c r="ULP142" s="34"/>
      <c r="ULQ142" s="34"/>
      <c r="ULR142" s="34"/>
      <c r="ULS142" s="34"/>
      <c r="ULT142" s="34"/>
      <c r="ULU142" s="34"/>
      <c r="ULV142" s="34"/>
      <c r="ULW142" s="34"/>
      <c r="ULX142" s="34"/>
      <c r="ULY142" s="34"/>
      <c r="ULZ142" s="34"/>
      <c r="UMA142" s="34"/>
      <c r="UMB142" s="34"/>
      <c r="UMC142" s="34"/>
      <c r="UMD142" s="34"/>
      <c r="UME142" s="34"/>
      <c r="UMF142" s="34"/>
      <c r="UMG142" s="34"/>
      <c r="UMH142" s="34"/>
      <c r="UMI142" s="34"/>
      <c r="UMJ142" s="34"/>
      <c r="UMK142" s="34"/>
      <c r="UML142" s="34"/>
      <c r="UMM142" s="34"/>
      <c r="UMN142" s="34"/>
      <c r="UMO142" s="34"/>
      <c r="UMP142" s="34"/>
      <c r="UMQ142" s="34"/>
      <c r="UMR142" s="34"/>
      <c r="UMS142" s="34"/>
      <c r="UMT142" s="34"/>
      <c r="UMU142" s="34"/>
      <c r="UMV142" s="34"/>
      <c r="UMW142" s="34"/>
      <c r="UMX142" s="34"/>
      <c r="UMY142" s="34"/>
      <c r="UMZ142" s="34"/>
      <c r="UNA142" s="34"/>
      <c r="UNB142" s="34"/>
      <c r="UNC142" s="34"/>
      <c r="UND142" s="34"/>
      <c r="UNE142" s="34"/>
      <c r="UNF142" s="34"/>
      <c r="UNG142" s="34"/>
      <c r="UNH142" s="34"/>
      <c r="UNI142" s="34"/>
      <c r="UNJ142" s="34"/>
      <c r="UNK142" s="34"/>
      <c r="UNL142" s="34"/>
      <c r="UNM142" s="34"/>
      <c r="UNN142" s="34"/>
      <c r="UNO142" s="34"/>
      <c r="UNP142" s="34"/>
      <c r="UNQ142" s="34"/>
      <c r="UNR142" s="34"/>
      <c r="UNS142" s="34"/>
      <c r="UNT142" s="34"/>
      <c r="UNU142" s="34"/>
      <c r="UNV142" s="34"/>
      <c r="UNW142" s="34"/>
      <c r="UNX142" s="34"/>
      <c r="UNY142" s="34"/>
      <c r="UNZ142" s="34"/>
      <c r="UOA142" s="34"/>
      <c r="UOB142" s="34"/>
      <c r="UOC142" s="34"/>
      <c r="UOD142" s="34"/>
      <c r="UOE142" s="34"/>
      <c r="UOF142" s="34"/>
      <c r="UOG142" s="34"/>
      <c r="UOH142" s="34"/>
      <c r="UOI142" s="34"/>
      <c r="UOJ142" s="34"/>
      <c r="UOK142" s="34"/>
      <c r="UOL142" s="34"/>
      <c r="UOM142" s="34"/>
      <c r="UON142" s="34"/>
      <c r="UOO142" s="34"/>
      <c r="UOP142" s="34"/>
      <c r="UOQ142" s="34"/>
      <c r="UOR142" s="34"/>
      <c r="UOS142" s="34"/>
      <c r="UOT142" s="34"/>
      <c r="UOU142" s="34"/>
      <c r="UOV142" s="34"/>
      <c r="UOW142" s="34"/>
      <c r="UOX142" s="34"/>
      <c r="UOY142" s="34"/>
      <c r="UOZ142" s="34"/>
      <c r="UPA142" s="34"/>
      <c r="UPB142" s="34"/>
      <c r="UPC142" s="34"/>
      <c r="UPD142" s="34"/>
      <c r="UPE142" s="34"/>
      <c r="UPF142" s="34"/>
      <c r="UPG142" s="34"/>
      <c r="UPH142" s="34"/>
      <c r="UPI142" s="34"/>
      <c r="UPJ142" s="34"/>
      <c r="UPK142" s="34"/>
      <c r="UPL142" s="34"/>
      <c r="UPM142" s="34"/>
      <c r="UPN142" s="34"/>
      <c r="UPO142" s="34"/>
      <c r="UPP142" s="34"/>
      <c r="UPQ142" s="34"/>
      <c r="UPR142" s="34"/>
      <c r="UPS142" s="34"/>
      <c r="UPT142" s="34"/>
      <c r="UPU142" s="34"/>
      <c r="UPV142" s="34"/>
      <c r="UPW142" s="34"/>
      <c r="UPX142" s="34"/>
      <c r="UPY142" s="34"/>
      <c r="UPZ142" s="34"/>
      <c r="UQA142" s="34"/>
      <c r="UQB142" s="34"/>
      <c r="UQC142" s="34"/>
      <c r="UQD142" s="34"/>
      <c r="UQE142" s="34"/>
      <c r="UQF142" s="34"/>
      <c r="UQG142" s="34"/>
      <c r="UQH142" s="34"/>
      <c r="UQI142" s="34"/>
      <c r="UQJ142" s="34"/>
      <c r="UQK142" s="34"/>
      <c r="UQL142" s="34"/>
      <c r="UQM142" s="34"/>
      <c r="UQN142" s="34"/>
      <c r="UQO142" s="34"/>
      <c r="UQP142" s="34"/>
      <c r="UQQ142" s="34"/>
      <c r="UQR142" s="34"/>
      <c r="UQS142" s="34"/>
      <c r="UQT142" s="34"/>
      <c r="UQU142" s="34"/>
      <c r="UQV142" s="34"/>
      <c r="UQW142" s="34"/>
      <c r="UQX142" s="34"/>
      <c r="UQY142" s="34"/>
      <c r="UQZ142" s="34"/>
      <c r="URA142" s="34"/>
      <c r="URB142" s="34"/>
      <c r="URC142" s="34"/>
      <c r="URD142" s="34"/>
      <c r="URE142" s="34"/>
      <c r="URF142" s="34"/>
      <c r="URG142" s="34"/>
      <c r="URH142" s="34"/>
      <c r="URI142" s="34"/>
      <c r="URJ142" s="34"/>
      <c r="URK142" s="34"/>
      <c r="URL142" s="34"/>
      <c r="URM142" s="34"/>
      <c r="URN142" s="34"/>
      <c r="URO142" s="34"/>
      <c r="URP142" s="34"/>
      <c r="URQ142" s="34"/>
      <c r="URR142" s="34"/>
      <c r="URS142" s="34"/>
      <c r="URT142" s="34"/>
      <c r="URU142" s="34"/>
      <c r="URV142" s="34"/>
      <c r="URW142" s="34"/>
      <c r="URX142" s="34"/>
      <c r="URY142" s="34"/>
      <c r="URZ142" s="34"/>
      <c r="USA142" s="34"/>
      <c r="USB142" s="34"/>
      <c r="USC142" s="34"/>
      <c r="USD142" s="34"/>
      <c r="USE142" s="34"/>
      <c r="USF142" s="34"/>
      <c r="USG142" s="34"/>
      <c r="USH142" s="34"/>
      <c r="USI142" s="34"/>
      <c r="USJ142" s="34"/>
      <c r="USK142" s="34"/>
      <c r="USL142" s="34"/>
      <c r="USM142" s="34"/>
      <c r="USN142" s="34"/>
      <c r="USO142" s="34"/>
      <c r="USP142" s="34"/>
      <c r="USQ142" s="34"/>
      <c r="USR142" s="34"/>
      <c r="USS142" s="34"/>
      <c r="UST142" s="34"/>
      <c r="USU142" s="34"/>
      <c r="USV142" s="34"/>
      <c r="USW142" s="34"/>
      <c r="USX142" s="34"/>
      <c r="USY142" s="34"/>
      <c r="USZ142" s="34"/>
      <c r="UTA142" s="34"/>
      <c r="UTB142" s="34"/>
      <c r="UTC142" s="34"/>
      <c r="UTD142" s="34"/>
      <c r="UTE142" s="34"/>
      <c r="UTF142" s="34"/>
      <c r="UTG142" s="34"/>
      <c r="UTH142" s="34"/>
      <c r="UTI142" s="34"/>
      <c r="UTJ142" s="34"/>
      <c r="UTK142" s="34"/>
      <c r="UTL142" s="34"/>
      <c r="UTM142" s="34"/>
      <c r="UTN142" s="34"/>
      <c r="UTO142" s="34"/>
      <c r="UTP142" s="34"/>
      <c r="UTQ142" s="34"/>
      <c r="UTR142" s="34"/>
      <c r="UTS142" s="34"/>
      <c r="UTT142" s="34"/>
      <c r="UTU142" s="34"/>
      <c r="UTV142" s="34"/>
      <c r="UTW142" s="34"/>
      <c r="UTX142" s="34"/>
      <c r="UTY142" s="34"/>
      <c r="UTZ142" s="34"/>
      <c r="UUA142" s="34"/>
      <c r="UUB142" s="34"/>
      <c r="UUC142" s="34"/>
      <c r="UUD142" s="34"/>
      <c r="UUE142" s="34"/>
      <c r="UUF142" s="34"/>
      <c r="UUG142" s="34"/>
      <c r="UUH142" s="34"/>
      <c r="UUI142" s="34"/>
      <c r="UUJ142" s="34"/>
      <c r="UUK142" s="34"/>
      <c r="UUL142" s="34"/>
      <c r="UUM142" s="34"/>
      <c r="UUN142" s="34"/>
      <c r="UUO142" s="34"/>
      <c r="UUP142" s="34"/>
      <c r="UUQ142" s="34"/>
      <c r="UUR142" s="34"/>
      <c r="UUS142" s="34"/>
      <c r="UUT142" s="34"/>
      <c r="UUU142" s="34"/>
      <c r="UUV142" s="34"/>
      <c r="UUW142" s="34"/>
      <c r="UUX142" s="34"/>
      <c r="UUY142" s="34"/>
      <c r="UUZ142" s="34"/>
      <c r="UVA142" s="34"/>
      <c r="UVB142" s="34"/>
      <c r="UVC142" s="34"/>
      <c r="UVD142" s="34"/>
      <c r="UVE142" s="34"/>
      <c r="UVF142" s="34"/>
      <c r="UVG142" s="34"/>
      <c r="UVH142" s="34"/>
      <c r="UVI142" s="34"/>
      <c r="UVJ142" s="34"/>
      <c r="UVK142" s="34"/>
      <c r="UVL142" s="34"/>
      <c r="UVM142" s="34"/>
      <c r="UVN142" s="34"/>
      <c r="UVO142" s="34"/>
      <c r="UVP142" s="34"/>
      <c r="UVQ142" s="34"/>
      <c r="UVR142" s="34"/>
      <c r="UVS142" s="34"/>
      <c r="UVT142" s="34"/>
      <c r="UVU142" s="34"/>
      <c r="UVV142" s="34"/>
      <c r="UVW142" s="34"/>
      <c r="UVX142" s="34"/>
      <c r="UVY142" s="34"/>
      <c r="UVZ142" s="34"/>
      <c r="UWA142" s="34"/>
      <c r="UWB142" s="34"/>
      <c r="UWC142" s="34"/>
      <c r="UWD142" s="34"/>
      <c r="UWE142" s="34"/>
      <c r="UWF142" s="34"/>
      <c r="UWG142" s="34"/>
      <c r="UWH142" s="34"/>
      <c r="UWI142" s="34"/>
      <c r="UWJ142" s="34"/>
      <c r="UWK142" s="34"/>
      <c r="UWL142" s="34"/>
      <c r="UWM142" s="34"/>
      <c r="UWN142" s="34"/>
      <c r="UWO142" s="34"/>
      <c r="UWP142" s="34"/>
      <c r="UWQ142" s="34"/>
      <c r="UWR142" s="34"/>
      <c r="UWS142" s="34"/>
      <c r="UWT142" s="34"/>
      <c r="UWU142" s="34"/>
      <c r="UWV142" s="34"/>
      <c r="UWW142" s="34"/>
      <c r="UWX142" s="34"/>
      <c r="UWY142" s="34"/>
      <c r="UWZ142" s="34"/>
      <c r="UXA142" s="34"/>
      <c r="UXB142" s="34"/>
      <c r="UXC142" s="34"/>
      <c r="UXD142" s="34"/>
      <c r="UXE142" s="34"/>
      <c r="UXF142" s="34"/>
      <c r="UXG142" s="34"/>
      <c r="UXH142" s="34"/>
      <c r="UXI142" s="34"/>
      <c r="UXJ142" s="34"/>
      <c r="UXK142" s="34"/>
      <c r="UXL142" s="34"/>
      <c r="UXM142" s="34"/>
      <c r="UXN142" s="34"/>
      <c r="UXO142" s="34"/>
      <c r="UXP142" s="34"/>
      <c r="UXQ142" s="34"/>
      <c r="UXR142" s="34"/>
      <c r="UXS142" s="34"/>
      <c r="UXT142" s="34"/>
      <c r="UXU142" s="34"/>
      <c r="UXV142" s="34"/>
      <c r="UXW142" s="34"/>
      <c r="UXX142" s="34"/>
      <c r="UXY142" s="34"/>
      <c r="UXZ142" s="34"/>
      <c r="UYA142" s="34"/>
      <c r="UYB142" s="34"/>
      <c r="UYC142" s="34"/>
      <c r="UYD142" s="34"/>
      <c r="UYE142" s="34"/>
      <c r="UYF142" s="34"/>
      <c r="UYG142" s="34"/>
      <c r="UYH142" s="34"/>
      <c r="UYI142" s="34"/>
      <c r="UYJ142" s="34"/>
      <c r="UYK142" s="34"/>
      <c r="UYL142" s="34"/>
      <c r="UYM142" s="34"/>
      <c r="UYN142" s="34"/>
      <c r="UYO142" s="34"/>
      <c r="UYP142" s="34"/>
      <c r="UYQ142" s="34"/>
      <c r="UYR142" s="34"/>
      <c r="UYS142" s="34"/>
      <c r="UYT142" s="34"/>
      <c r="UYU142" s="34"/>
      <c r="UYV142" s="34"/>
      <c r="UYW142" s="34"/>
      <c r="UYX142" s="34"/>
      <c r="UYY142" s="34"/>
      <c r="UYZ142" s="34"/>
      <c r="UZA142" s="34"/>
      <c r="UZB142" s="34"/>
      <c r="UZC142" s="34"/>
      <c r="UZD142" s="34"/>
      <c r="UZE142" s="34"/>
      <c r="UZF142" s="34"/>
      <c r="UZG142" s="34"/>
      <c r="UZH142" s="34"/>
      <c r="UZI142" s="34"/>
      <c r="UZJ142" s="34"/>
      <c r="UZK142" s="34"/>
      <c r="UZL142" s="34"/>
      <c r="UZM142" s="34"/>
      <c r="UZN142" s="34"/>
      <c r="UZO142" s="34"/>
      <c r="UZP142" s="34"/>
      <c r="UZQ142" s="34"/>
      <c r="UZR142" s="34"/>
      <c r="UZS142" s="34"/>
      <c r="UZT142" s="34"/>
      <c r="UZU142" s="34"/>
      <c r="UZV142" s="34"/>
      <c r="UZW142" s="34"/>
      <c r="UZX142" s="34"/>
      <c r="UZY142" s="34"/>
      <c r="UZZ142" s="34"/>
      <c r="VAA142" s="34"/>
      <c r="VAB142" s="34"/>
      <c r="VAC142" s="34"/>
      <c r="VAD142" s="34"/>
      <c r="VAE142" s="34"/>
      <c r="VAF142" s="34"/>
      <c r="VAG142" s="34"/>
      <c r="VAH142" s="34"/>
      <c r="VAI142" s="34"/>
      <c r="VAJ142" s="34"/>
      <c r="VAK142" s="34"/>
      <c r="VAL142" s="34"/>
      <c r="VAM142" s="34"/>
      <c r="VAN142" s="34"/>
      <c r="VAO142" s="34"/>
      <c r="VAP142" s="34"/>
      <c r="VAQ142" s="34"/>
      <c r="VAR142" s="34"/>
      <c r="VAS142" s="34"/>
      <c r="VAT142" s="34"/>
      <c r="VAU142" s="34"/>
      <c r="VAV142" s="34"/>
      <c r="VAW142" s="34"/>
      <c r="VAX142" s="34"/>
      <c r="VAY142" s="34"/>
      <c r="VAZ142" s="34"/>
      <c r="VBA142" s="34"/>
      <c r="VBB142" s="34"/>
      <c r="VBC142" s="34"/>
      <c r="VBD142" s="34"/>
      <c r="VBE142" s="34"/>
      <c r="VBF142" s="34"/>
      <c r="VBG142" s="34"/>
      <c r="VBH142" s="34"/>
      <c r="VBI142" s="34"/>
      <c r="VBJ142" s="34"/>
      <c r="VBK142" s="34"/>
      <c r="VBL142" s="34"/>
      <c r="VBM142" s="34"/>
      <c r="VBN142" s="34"/>
      <c r="VBO142" s="34"/>
      <c r="VBP142" s="34"/>
      <c r="VBQ142" s="34"/>
      <c r="VBR142" s="34"/>
      <c r="VBS142" s="34"/>
      <c r="VBT142" s="34"/>
      <c r="VBU142" s="34"/>
      <c r="VBV142" s="34"/>
      <c r="VBW142" s="34"/>
      <c r="VBX142" s="34"/>
      <c r="VBY142" s="34"/>
      <c r="VBZ142" s="34"/>
      <c r="VCA142" s="34"/>
      <c r="VCB142" s="34"/>
      <c r="VCC142" s="34"/>
      <c r="VCD142" s="34"/>
      <c r="VCE142" s="34"/>
      <c r="VCF142" s="34"/>
      <c r="VCG142" s="34"/>
      <c r="VCH142" s="34"/>
      <c r="VCI142" s="34"/>
      <c r="VCJ142" s="34"/>
      <c r="VCK142" s="34"/>
      <c r="VCL142" s="34"/>
      <c r="VCM142" s="34"/>
      <c r="VCN142" s="34"/>
      <c r="VCO142" s="34"/>
      <c r="VCP142" s="34"/>
      <c r="VCQ142" s="34"/>
      <c r="VCR142" s="34"/>
      <c r="VCS142" s="34"/>
      <c r="VCT142" s="34"/>
      <c r="VCU142" s="34"/>
      <c r="VCV142" s="34"/>
      <c r="VCW142" s="34"/>
      <c r="VCX142" s="34"/>
      <c r="VCY142" s="34"/>
      <c r="VCZ142" s="34"/>
      <c r="VDA142" s="34"/>
      <c r="VDB142" s="34"/>
      <c r="VDC142" s="34"/>
      <c r="VDD142" s="34"/>
      <c r="VDE142" s="34"/>
      <c r="VDF142" s="34"/>
      <c r="VDG142" s="34"/>
      <c r="VDH142" s="34"/>
      <c r="VDI142" s="34"/>
      <c r="VDJ142" s="34"/>
      <c r="VDK142" s="34"/>
      <c r="VDL142" s="34"/>
      <c r="VDM142" s="34"/>
      <c r="VDN142" s="34"/>
      <c r="VDO142" s="34"/>
      <c r="VDP142" s="34"/>
      <c r="VDQ142" s="34"/>
      <c r="VDR142" s="34"/>
      <c r="VDS142" s="34"/>
      <c r="VDT142" s="34"/>
      <c r="VDU142" s="34"/>
      <c r="VDV142" s="34"/>
      <c r="VDW142" s="34"/>
      <c r="VDX142" s="34"/>
      <c r="VDY142" s="34"/>
      <c r="VDZ142" s="34"/>
      <c r="VEA142" s="34"/>
      <c r="VEB142" s="34"/>
      <c r="VEC142" s="34"/>
      <c r="VED142" s="34"/>
      <c r="VEE142" s="34"/>
      <c r="VEF142" s="34"/>
      <c r="VEG142" s="34"/>
      <c r="VEH142" s="34"/>
      <c r="VEI142" s="34"/>
      <c r="VEJ142" s="34"/>
      <c r="VEK142" s="34"/>
      <c r="VEL142" s="34"/>
      <c r="VEM142" s="34"/>
      <c r="VEN142" s="34"/>
      <c r="VEO142" s="34"/>
      <c r="VEP142" s="34"/>
      <c r="VEQ142" s="34"/>
      <c r="VER142" s="34"/>
      <c r="VES142" s="34"/>
      <c r="VET142" s="34"/>
      <c r="VEU142" s="34"/>
      <c r="VEV142" s="34"/>
      <c r="VEW142" s="34"/>
      <c r="VEX142" s="34"/>
      <c r="VEY142" s="34"/>
      <c r="VEZ142" s="34"/>
      <c r="VFA142" s="34"/>
      <c r="VFB142" s="34"/>
      <c r="VFC142" s="34"/>
      <c r="VFD142" s="34"/>
      <c r="VFE142" s="34"/>
      <c r="VFF142" s="34"/>
      <c r="VFG142" s="34"/>
      <c r="VFH142" s="34"/>
      <c r="VFI142" s="34"/>
      <c r="VFJ142" s="34"/>
      <c r="VFK142" s="34"/>
      <c r="VFL142" s="34"/>
      <c r="VFM142" s="34"/>
      <c r="VFN142" s="34"/>
      <c r="VFO142" s="34"/>
      <c r="VFP142" s="34"/>
      <c r="VFQ142" s="34"/>
      <c r="VFR142" s="34"/>
      <c r="VFS142" s="34"/>
      <c r="VFT142" s="34"/>
      <c r="VFU142" s="34"/>
      <c r="VFV142" s="34"/>
      <c r="VFW142" s="34"/>
      <c r="VFX142" s="34"/>
      <c r="VFY142" s="34"/>
      <c r="VFZ142" s="34"/>
      <c r="VGA142" s="34"/>
      <c r="VGB142" s="34"/>
      <c r="VGC142" s="34"/>
      <c r="VGD142" s="34"/>
      <c r="VGE142" s="34"/>
      <c r="VGF142" s="34"/>
      <c r="VGG142" s="34"/>
      <c r="VGH142" s="34"/>
      <c r="VGI142" s="34"/>
      <c r="VGJ142" s="34"/>
      <c r="VGK142" s="34"/>
      <c r="VGL142" s="34"/>
      <c r="VGM142" s="34"/>
      <c r="VGN142" s="34"/>
      <c r="VGO142" s="34"/>
      <c r="VGP142" s="34"/>
      <c r="VGQ142" s="34"/>
      <c r="VGR142" s="34"/>
      <c r="VGS142" s="34"/>
      <c r="VGT142" s="34"/>
      <c r="VGU142" s="34"/>
      <c r="VGV142" s="34"/>
      <c r="VGW142" s="34"/>
      <c r="VGX142" s="34"/>
      <c r="VGY142" s="34"/>
      <c r="VGZ142" s="34"/>
      <c r="VHA142" s="34"/>
      <c r="VHB142" s="34"/>
      <c r="VHC142" s="34"/>
      <c r="VHD142" s="34"/>
      <c r="VHE142" s="34"/>
      <c r="VHF142" s="34"/>
      <c r="VHG142" s="34"/>
      <c r="VHH142" s="34"/>
      <c r="VHI142" s="34"/>
      <c r="VHJ142" s="34"/>
      <c r="VHK142" s="34"/>
      <c r="VHL142" s="34"/>
      <c r="VHM142" s="34"/>
      <c r="VHN142" s="34"/>
      <c r="VHO142" s="34"/>
      <c r="VHP142" s="34"/>
      <c r="VHQ142" s="34"/>
      <c r="VHR142" s="34"/>
      <c r="VHS142" s="34"/>
      <c r="VHT142" s="34"/>
      <c r="VHU142" s="34"/>
      <c r="VHV142" s="34"/>
      <c r="VHW142" s="34"/>
      <c r="VHX142" s="34"/>
      <c r="VHY142" s="34"/>
      <c r="VHZ142" s="34"/>
      <c r="VIA142" s="34"/>
      <c r="VIB142" s="34"/>
      <c r="VIC142" s="34"/>
      <c r="VID142" s="34"/>
      <c r="VIE142" s="34"/>
      <c r="VIF142" s="34"/>
      <c r="VIG142" s="34"/>
      <c r="VIH142" s="34"/>
      <c r="VII142" s="34"/>
      <c r="VIJ142" s="34"/>
      <c r="VIK142" s="34"/>
      <c r="VIL142" s="34"/>
      <c r="VIM142" s="34"/>
      <c r="VIN142" s="34"/>
      <c r="VIO142" s="34"/>
      <c r="VIP142" s="34"/>
      <c r="VIQ142" s="34"/>
      <c r="VIR142" s="34"/>
      <c r="VIS142" s="34"/>
      <c r="VIT142" s="34"/>
      <c r="VIU142" s="34"/>
      <c r="VIV142" s="34"/>
      <c r="VIW142" s="34"/>
      <c r="VIX142" s="34"/>
      <c r="VIY142" s="34"/>
      <c r="VIZ142" s="34"/>
      <c r="VJA142" s="34"/>
      <c r="VJB142" s="34"/>
      <c r="VJC142" s="34"/>
      <c r="VJD142" s="34"/>
      <c r="VJE142" s="34"/>
      <c r="VJF142" s="34"/>
      <c r="VJG142" s="34"/>
      <c r="VJH142" s="34"/>
      <c r="VJI142" s="34"/>
      <c r="VJJ142" s="34"/>
      <c r="VJK142" s="34"/>
      <c r="VJL142" s="34"/>
      <c r="VJM142" s="34"/>
      <c r="VJN142" s="34"/>
      <c r="VJO142" s="34"/>
      <c r="VJP142" s="34"/>
      <c r="VJQ142" s="34"/>
      <c r="VJR142" s="34"/>
      <c r="VJS142" s="34"/>
      <c r="VJT142" s="34"/>
      <c r="VJU142" s="34"/>
      <c r="VJV142" s="34"/>
      <c r="VJW142" s="34"/>
      <c r="VJX142" s="34"/>
      <c r="VJY142" s="34"/>
      <c r="VJZ142" s="34"/>
      <c r="VKA142" s="34"/>
      <c r="VKB142" s="34"/>
      <c r="VKC142" s="34"/>
      <c r="VKD142" s="34"/>
      <c r="VKE142" s="34"/>
      <c r="VKF142" s="34"/>
      <c r="VKG142" s="34"/>
      <c r="VKH142" s="34"/>
      <c r="VKI142" s="34"/>
      <c r="VKJ142" s="34"/>
      <c r="VKK142" s="34"/>
      <c r="VKL142" s="34"/>
      <c r="VKM142" s="34"/>
      <c r="VKN142" s="34"/>
      <c r="VKO142" s="34"/>
      <c r="VKP142" s="34"/>
      <c r="VKQ142" s="34"/>
      <c r="VKR142" s="34"/>
      <c r="VKS142" s="34"/>
      <c r="VKT142" s="34"/>
      <c r="VKU142" s="34"/>
      <c r="VKV142" s="34"/>
      <c r="VKW142" s="34"/>
      <c r="VKX142" s="34"/>
      <c r="VKY142" s="34"/>
      <c r="VKZ142" s="34"/>
      <c r="VLA142" s="34"/>
      <c r="VLB142" s="34"/>
      <c r="VLC142" s="34"/>
      <c r="VLD142" s="34"/>
      <c r="VLE142" s="34"/>
      <c r="VLF142" s="34"/>
      <c r="VLG142" s="34"/>
      <c r="VLH142" s="34"/>
      <c r="VLI142" s="34"/>
      <c r="VLJ142" s="34"/>
      <c r="VLK142" s="34"/>
      <c r="VLL142" s="34"/>
      <c r="VLM142" s="34"/>
      <c r="VLN142" s="34"/>
      <c r="VLO142" s="34"/>
      <c r="VLP142" s="34"/>
      <c r="VLQ142" s="34"/>
      <c r="VLR142" s="34"/>
      <c r="VLS142" s="34"/>
      <c r="VLT142" s="34"/>
      <c r="VLU142" s="34"/>
      <c r="VLV142" s="34"/>
      <c r="VLW142" s="34"/>
      <c r="VLX142" s="34"/>
      <c r="VLY142" s="34"/>
      <c r="VLZ142" s="34"/>
      <c r="VMA142" s="34"/>
      <c r="VMB142" s="34"/>
      <c r="VMC142" s="34"/>
      <c r="VMD142" s="34"/>
      <c r="VME142" s="34"/>
      <c r="VMF142" s="34"/>
      <c r="VMG142" s="34"/>
      <c r="VMH142" s="34"/>
      <c r="VMI142" s="34"/>
      <c r="VMJ142" s="34"/>
      <c r="VMK142" s="34"/>
      <c r="VML142" s="34"/>
      <c r="VMM142" s="34"/>
      <c r="VMN142" s="34"/>
      <c r="VMO142" s="34"/>
      <c r="VMP142" s="34"/>
      <c r="VMQ142" s="34"/>
      <c r="VMR142" s="34"/>
      <c r="VMS142" s="34"/>
      <c r="VMT142" s="34"/>
      <c r="VMU142" s="34"/>
      <c r="VMV142" s="34"/>
      <c r="VMW142" s="34"/>
      <c r="VMX142" s="34"/>
      <c r="VMY142" s="34"/>
      <c r="VMZ142" s="34"/>
      <c r="VNA142" s="34"/>
      <c r="VNB142" s="34"/>
      <c r="VNC142" s="34"/>
      <c r="VND142" s="34"/>
      <c r="VNE142" s="34"/>
      <c r="VNF142" s="34"/>
      <c r="VNG142" s="34"/>
      <c r="VNH142" s="34"/>
      <c r="VNI142" s="34"/>
      <c r="VNJ142" s="34"/>
      <c r="VNK142" s="34"/>
      <c r="VNL142" s="34"/>
      <c r="VNM142" s="34"/>
      <c r="VNN142" s="34"/>
      <c r="VNO142" s="34"/>
      <c r="VNP142" s="34"/>
      <c r="VNQ142" s="34"/>
      <c r="VNR142" s="34"/>
      <c r="VNS142" s="34"/>
      <c r="VNT142" s="34"/>
      <c r="VNU142" s="34"/>
      <c r="VNV142" s="34"/>
      <c r="VNW142" s="34"/>
      <c r="VNX142" s="34"/>
      <c r="VNY142" s="34"/>
      <c r="VNZ142" s="34"/>
      <c r="VOA142" s="34"/>
      <c r="VOB142" s="34"/>
      <c r="VOC142" s="34"/>
      <c r="VOD142" s="34"/>
      <c r="VOE142" s="34"/>
      <c r="VOF142" s="34"/>
      <c r="VOG142" s="34"/>
      <c r="VOH142" s="34"/>
      <c r="VOI142" s="34"/>
      <c r="VOJ142" s="34"/>
      <c r="VOK142" s="34"/>
      <c r="VOL142" s="34"/>
      <c r="VOM142" s="34"/>
      <c r="VON142" s="34"/>
      <c r="VOO142" s="34"/>
      <c r="VOP142" s="34"/>
      <c r="VOQ142" s="34"/>
      <c r="VOR142" s="34"/>
      <c r="VOS142" s="34"/>
      <c r="VOT142" s="34"/>
      <c r="VOU142" s="34"/>
      <c r="VOV142" s="34"/>
      <c r="VOW142" s="34"/>
      <c r="VOX142" s="34"/>
      <c r="VOY142" s="34"/>
      <c r="VOZ142" s="34"/>
      <c r="VPA142" s="34"/>
      <c r="VPB142" s="34"/>
      <c r="VPC142" s="34"/>
      <c r="VPD142" s="34"/>
      <c r="VPE142" s="34"/>
      <c r="VPF142" s="34"/>
      <c r="VPG142" s="34"/>
      <c r="VPH142" s="34"/>
      <c r="VPI142" s="34"/>
      <c r="VPJ142" s="34"/>
      <c r="VPK142" s="34"/>
      <c r="VPL142" s="34"/>
      <c r="VPM142" s="34"/>
      <c r="VPN142" s="34"/>
      <c r="VPO142" s="34"/>
      <c r="VPP142" s="34"/>
      <c r="VPQ142" s="34"/>
      <c r="VPR142" s="34"/>
      <c r="VPS142" s="34"/>
      <c r="VPT142" s="34"/>
      <c r="VPU142" s="34"/>
      <c r="VPV142" s="34"/>
      <c r="VPW142" s="34"/>
      <c r="VPX142" s="34"/>
      <c r="VPY142" s="34"/>
      <c r="VPZ142" s="34"/>
      <c r="VQA142" s="34"/>
      <c r="VQB142" s="34"/>
      <c r="VQC142" s="34"/>
      <c r="VQD142" s="34"/>
      <c r="VQE142" s="34"/>
      <c r="VQF142" s="34"/>
      <c r="VQG142" s="34"/>
      <c r="VQH142" s="34"/>
      <c r="VQI142" s="34"/>
      <c r="VQJ142" s="34"/>
      <c r="VQK142" s="34"/>
      <c r="VQL142" s="34"/>
      <c r="VQM142" s="34"/>
      <c r="VQN142" s="34"/>
      <c r="VQO142" s="34"/>
      <c r="VQP142" s="34"/>
      <c r="VQQ142" s="34"/>
      <c r="VQR142" s="34"/>
      <c r="VQS142" s="34"/>
      <c r="VQT142" s="34"/>
      <c r="VQU142" s="34"/>
      <c r="VQV142" s="34"/>
      <c r="VQW142" s="34"/>
      <c r="VQX142" s="34"/>
      <c r="VQY142" s="34"/>
      <c r="VQZ142" s="34"/>
      <c r="VRA142" s="34"/>
      <c r="VRB142" s="34"/>
      <c r="VRC142" s="34"/>
      <c r="VRD142" s="34"/>
      <c r="VRE142" s="34"/>
      <c r="VRF142" s="34"/>
      <c r="VRG142" s="34"/>
      <c r="VRH142" s="34"/>
      <c r="VRI142" s="34"/>
      <c r="VRJ142" s="34"/>
      <c r="VRK142" s="34"/>
      <c r="VRL142" s="34"/>
      <c r="VRM142" s="34"/>
      <c r="VRN142" s="34"/>
      <c r="VRO142" s="34"/>
      <c r="VRP142" s="34"/>
      <c r="VRQ142" s="34"/>
      <c r="VRR142" s="34"/>
      <c r="VRS142" s="34"/>
      <c r="VRT142" s="34"/>
      <c r="VRU142" s="34"/>
      <c r="VRV142" s="34"/>
      <c r="VRW142" s="34"/>
      <c r="VRX142" s="34"/>
      <c r="VRY142" s="34"/>
      <c r="VRZ142" s="34"/>
      <c r="VSA142" s="34"/>
      <c r="VSB142" s="34"/>
      <c r="VSC142" s="34"/>
      <c r="VSD142" s="34"/>
      <c r="VSE142" s="34"/>
      <c r="VSF142" s="34"/>
      <c r="VSG142" s="34"/>
      <c r="VSH142" s="34"/>
      <c r="VSI142" s="34"/>
      <c r="VSJ142" s="34"/>
      <c r="VSK142" s="34"/>
      <c r="VSL142" s="34"/>
      <c r="VSM142" s="34"/>
      <c r="VSN142" s="34"/>
      <c r="VSO142" s="34"/>
      <c r="VSP142" s="34"/>
      <c r="VSQ142" s="34"/>
      <c r="VSR142" s="34"/>
      <c r="VSS142" s="34"/>
      <c r="VST142" s="34"/>
      <c r="VSU142" s="34"/>
      <c r="VSV142" s="34"/>
      <c r="VSW142" s="34"/>
      <c r="VSX142" s="34"/>
      <c r="VSY142" s="34"/>
      <c r="VSZ142" s="34"/>
      <c r="VTA142" s="34"/>
      <c r="VTB142" s="34"/>
      <c r="VTC142" s="34"/>
      <c r="VTD142" s="34"/>
      <c r="VTE142" s="34"/>
      <c r="VTF142" s="34"/>
      <c r="VTG142" s="34"/>
      <c r="VTH142" s="34"/>
      <c r="VTI142" s="34"/>
      <c r="VTJ142" s="34"/>
      <c r="VTK142" s="34"/>
      <c r="VTL142" s="34"/>
      <c r="VTM142" s="34"/>
      <c r="VTN142" s="34"/>
      <c r="VTO142" s="34"/>
      <c r="VTP142" s="34"/>
      <c r="VTQ142" s="34"/>
      <c r="VTR142" s="34"/>
      <c r="VTS142" s="34"/>
      <c r="VTT142" s="34"/>
      <c r="VTU142" s="34"/>
      <c r="VTV142" s="34"/>
      <c r="VTW142" s="34"/>
      <c r="VTX142" s="34"/>
      <c r="VTY142" s="34"/>
      <c r="VTZ142" s="34"/>
      <c r="VUA142" s="34"/>
      <c r="VUB142" s="34"/>
      <c r="VUC142" s="34"/>
      <c r="VUD142" s="34"/>
      <c r="VUE142" s="34"/>
      <c r="VUF142" s="34"/>
      <c r="VUG142" s="34"/>
      <c r="VUH142" s="34"/>
      <c r="VUI142" s="34"/>
      <c r="VUJ142" s="34"/>
      <c r="VUK142" s="34"/>
      <c r="VUL142" s="34"/>
      <c r="VUM142" s="34"/>
      <c r="VUN142" s="34"/>
      <c r="VUO142" s="34"/>
      <c r="VUP142" s="34"/>
      <c r="VUQ142" s="34"/>
      <c r="VUR142" s="34"/>
      <c r="VUS142" s="34"/>
      <c r="VUT142" s="34"/>
      <c r="VUU142" s="34"/>
      <c r="VUV142" s="34"/>
      <c r="VUW142" s="34"/>
      <c r="VUX142" s="34"/>
      <c r="VUY142" s="34"/>
      <c r="VUZ142" s="34"/>
      <c r="VVA142" s="34"/>
      <c r="VVB142" s="34"/>
      <c r="VVC142" s="34"/>
      <c r="VVD142" s="34"/>
      <c r="VVE142" s="34"/>
      <c r="VVF142" s="34"/>
      <c r="VVG142" s="34"/>
      <c r="VVH142" s="34"/>
      <c r="VVI142" s="34"/>
      <c r="VVJ142" s="34"/>
      <c r="VVK142" s="34"/>
      <c r="VVL142" s="34"/>
      <c r="VVM142" s="34"/>
      <c r="VVN142" s="34"/>
      <c r="VVO142" s="34"/>
      <c r="VVP142" s="34"/>
      <c r="VVQ142" s="34"/>
      <c r="VVR142" s="34"/>
      <c r="VVS142" s="34"/>
      <c r="VVT142" s="34"/>
      <c r="VVU142" s="34"/>
      <c r="VVV142" s="34"/>
      <c r="VVW142" s="34"/>
      <c r="VVX142" s="34"/>
      <c r="VVY142" s="34"/>
      <c r="VVZ142" s="34"/>
      <c r="VWA142" s="34"/>
      <c r="VWB142" s="34"/>
      <c r="VWC142" s="34"/>
      <c r="VWD142" s="34"/>
      <c r="VWE142" s="34"/>
      <c r="VWF142" s="34"/>
      <c r="VWG142" s="34"/>
      <c r="VWH142" s="34"/>
      <c r="VWI142" s="34"/>
      <c r="VWJ142" s="34"/>
      <c r="VWK142" s="34"/>
      <c r="VWL142" s="34"/>
      <c r="VWM142" s="34"/>
      <c r="VWN142" s="34"/>
      <c r="VWO142" s="34"/>
      <c r="VWP142" s="34"/>
      <c r="VWQ142" s="34"/>
      <c r="VWR142" s="34"/>
      <c r="VWS142" s="34"/>
      <c r="VWT142" s="34"/>
      <c r="VWU142" s="34"/>
      <c r="VWV142" s="34"/>
      <c r="VWW142" s="34"/>
      <c r="VWX142" s="34"/>
      <c r="VWY142" s="34"/>
      <c r="VWZ142" s="34"/>
      <c r="VXA142" s="34"/>
      <c r="VXB142" s="34"/>
      <c r="VXC142" s="34"/>
      <c r="VXD142" s="34"/>
      <c r="VXE142" s="34"/>
      <c r="VXF142" s="34"/>
      <c r="VXG142" s="34"/>
      <c r="VXH142" s="34"/>
      <c r="VXI142" s="34"/>
      <c r="VXJ142" s="34"/>
      <c r="VXK142" s="34"/>
      <c r="VXL142" s="34"/>
      <c r="VXM142" s="34"/>
      <c r="VXN142" s="34"/>
      <c r="VXO142" s="34"/>
      <c r="VXP142" s="34"/>
      <c r="VXQ142" s="34"/>
      <c r="VXR142" s="34"/>
      <c r="VXS142" s="34"/>
      <c r="VXT142" s="34"/>
      <c r="VXU142" s="34"/>
      <c r="VXV142" s="34"/>
      <c r="VXW142" s="34"/>
      <c r="VXX142" s="34"/>
      <c r="VXY142" s="34"/>
      <c r="VXZ142" s="34"/>
      <c r="VYA142" s="34"/>
      <c r="VYB142" s="34"/>
      <c r="VYC142" s="34"/>
      <c r="VYD142" s="34"/>
      <c r="VYE142" s="34"/>
      <c r="VYF142" s="34"/>
      <c r="VYG142" s="34"/>
      <c r="VYH142" s="34"/>
      <c r="VYI142" s="34"/>
      <c r="VYJ142" s="34"/>
      <c r="VYK142" s="34"/>
      <c r="VYL142" s="34"/>
      <c r="VYM142" s="34"/>
      <c r="VYN142" s="34"/>
      <c r="VYO142" s="34"/>
      <c r="VYP142" s="34"/>
      <c r="VYQ142" s="34"/>
      <c r="VYR142" s="34"/>
      <c r="VYS142" s="34"/>
      <c r="VYT142" s="34"/>
      <c r="VYU142" s="34"/>
      <c r="VYV142" s="34"/>
      <c r="VYW142" s="34"/>
      <c r="VYX142" s="34"/>
      <c r="VYY142" s="34"/>
      <c r="VYZ142" s="34"/>
      <c r="VZA142" s="34"/>
      <c r="VZB142" s="34"/>
      <c r="VZC142" s="34"/>
      <c r="VZD142" s="34"/>
      <c r="VZE142" s="34"/>
      <c r="VZF142" s="34"/>
      <c r="VZG142" s="34"/>
      <c r="VZH142" s="34"/>
      <c r="VZI142" s="34"/>
      <c r="VZJ142" s="34"/>
      <c r="VZK142" s="34"/>
      <c r="VZL142" s="34"/>
      <c r="VZM142" s="34"/>
      <c r="VZN142" s="34"/>
      <c r="VZO142" s="34"/>
      <c r="VZP142" s="34"/>
      <c r="VZQ142" s="34"/>
      <c r="VZR142" s="34"/>
      <c r="VZS142" s="34"/>
      <c r="VZT142" s="34"/>
      <c r="VZU142" s="34"/>
      <c r="VZV142" s="34"/>
      <c r="VZW142" s="34"/>
      <c r="VZX142" s="34"/>
      <c r="VZY142" s="34"/>
      <c r="VZZ142" s="34"/>
      <c r="WAA142" s="34"/>
      <c r="WAB142" s="34"/>
      <c r="WAC142" s="34"/>
      <c r="WAD142" s="34"/>
      <c r="WAE142" s="34"/>
      <c r="WAF142" s="34"/>
      <c r="WAG142" s="34"/>
      <c r="WAH142" s="34"/>
      <c r="WAI142" s="34"/>
      <c r="WAJ142" s="34"/>
      <c r="WAK142" s="34"/>
      <c r="WAL142" s="34"/>
      <c r="WAM142" s="34"/>
      <c r="WAN142" s="34"/>
      <c r="WAO142" s="34"/>
      <c r="WAP142" s="34"/>
      <c r="WAQ142" s="34"/>
      <c r="WAR142" s="34"/>
      <c r="WAS142" s="34"/>
      <c r="WAT142" s="34"/>
      <c r="WAU142" s="34"/>
      <c r="WAV142" s="34"/>
      <c r="WAW142" s="34"/>
      <c r="WAX142" s="34"/>
      <c r="WAY142" s="34"/>
      <c r="WAZ142" s="34"/>
      <c r="WBA142" s="34"/>
      <c r="WBB142" s="34"/>
      <c r="WBC142" s="34"/>
      <c r="WBD142" s="34"/>
      <c r="WBE142" s="34"/>
      <c r="WBF142" s="34"/>
      <c r="WBG142" s="34"/>
      <c r="WBH142" s="34"/>
      <c r="WBI142" s="34"/>
      <c r="WBJ142" s="34"/>
      <c r="WBK142" s="34"/>
      <c r="WBL142" s="34"/>
      <c r="WBM142" s="34"/>
      <c r="WBN142" s="34"/>
      <c r="WBO142" s="34"/>
      <c r="WBP142" s="34"/>
      <c r="WBQ142" s="34"/>
      <c r="WBR142" s="34"/>
      <c r="WBS142" s="34"/>
      <c r="WBT142" s="34"/>
      <c r="WBU142" s="34"/>
      <c r="WBV142" s="34"/>
      <c r="WBW142" s="34"/>
      <c r="WBX142" s="34"/>
      <c r="WBY142" s="34"/>
      <c r="WBZ142" s="34"/>
      <c r="WCA142" s="34"/>
      <c r="WCB142" s="34"/>
      <c r="WCC142" s="34"/>
      <c r="WCD142" s="34"/>
      <c r="WCE142" s="34"/>
      <c r="WCF142" s="34"/>
      <c r="WCG142" s="34"/>
      <c r="WCH142" s="34"/>
      <c r="WCI142" s="34"/>
      <c r="WCJ142" s="34"/>
      <c r="WCK142" s="34"/>
      <c r="WCL142" s="34"/>
      <c r="WCM142" s="34"/>
      <c r="WCN142" s="34"/>
      <c r="WCO142" s="34"/>
      <c r="WCP142" s="34"/>
      <c r="WCQ142" s="34"/>
      <c r="WCR142" s="34"/>
      <c r="WCS142" s="34"/>
      <c r="WCT142" s="34"/>
      <c r="WCU142" s="34"/>
      <c r="WCV142" s="34"/>
      <c r="WCW142" s="34"/>
      <c r="WCX142" s="34"/>
      <c r="WCY142" s="34"/>
      <c r="WCZ142" s="34"/>
      <c r="WDA142" s="34"/>
      <c r="WDB142" s="34"/>
      <c r="WDC142" s="34"/>
      <c r="WDD142" s="34"/>
      <c r="WDE142" s="34"/>
      <c r="WDF142" s="34"/>
      <c r="WDG142" s="34"/>
      <c r="WDH142" s="34"/>
      <c r="WDI142" s="34"/>
      <c r="WDJ142" s="34"/>
      <c r="WDK142" s="34"/>
      <c r="WDL142" s="34"/>
      <c r="WDM142" s="34"/>
      <c r="WDN142" s="34"/>
      <c r="WDO142" s="34"/>
      <c r="WDP142" s="34"/>
      <c r="WDQ142" s="34"/>
      <c r="WDR142" s="34"/>
      <c r="WDS142" s="34"/>
      <c r="WDT142" s="34"/>
      <c r="WDU142" s="34"/>
      <c r="WDV142" s="34"/>
      <c r="WDW142" s="34"/>
      <c r="WDX142" s="34"/>
      <c r="WDY142" s="34"/>
      <c r="WDZ142" s="34"/>
      <c r="WEA142" s="34"/>
      <c r="WEB142" s="34"/>
      <c r="WEC142" s="34"/>
      <c r="WED142" s="34"/>
      <c r="WEE142" s="34"/>
      <c r="WEF142" s="34"/>
      <c r="WEG142" s="34"/>
      <c r="WEH142" s="34"/>
      <c r="WEI142" s="34"/>
      <c r="WEJ142" s="34"/>
      <c r="WEK142" s="34"/>
      <c r="WEL142" s="34"/>
      <c r="WEM142" s="34"/>
      <c r="WEN142" s="34"/>
      <c r="WEO142" s="34"/>
      <c r="WEP142" s="34"/>
      <c r="WEQ142" s="34"/>
      <c r="WER142" s="34"/>
      <c r="WES142" s="34"/>
      <c r="WET142" s="34"/>
      <c r="WEU142" s="34"/>
      <c r="WEV142" s="34"/>
      <c r="WEW142" s="34"/>
      <c r="WEX142" s="34"/>
      <c r="WEY142" s="34"/>
      <c r="WEZ142" s="34"/>
      <c r="WFA142" s="34"/>
      <c r="WFB142" s="34"/>
      <c r="WFC142" s="34"/>
      <c r="WFD142" s="34"/>
      <c r="WFE142" s="34"/>
      <c r="WFF142" s="34"/>
      <c r="WFG142" s="34"/>
      <c r="WFH142" s="34"/>
      <c r="WFI142" s="34"/>
      <c r="WFJ142" s="34"/>
      <c r="WFK142" s="34"/>
      <c r="WFL142" s="34"/>
      <c r="WFM142" s="34"/>
      <c r="WFN142" s="34"/>
      <c r="WFO142" s="34"/>
      <c r="WFP142" s="34"/>
      <c r="WFQ142" s="34"/>
      <c r="WFR142" s="34"/>
      <c r="WFS142" s="34"/>
      <c r="WFT142" s="34"/>
      <c r="WFU142" s="34"/>
      <c r="WFV142" s="34"/>
      <c r="WFW142" s="34"/>
      <c r="WFX142" s="34"/>
      <c r="WFY142" s="34"/>
      <c r="WFZ142" s="34"/>
      <c r="WGA142" s="34"/>
      <c r="WGB142" s="34"/>
      <c r="WGC142" s="34"/>
      <c r="WGD142" s="34"/>
      <c r="WGE142" s="34"/>
      <c r="WGF142" s="34"/>
      <c r="WGG142" s="34"/>
      <c r="WGH142" s="34"/>
      <c r="WGI142" s="34"/>
      <c r="WGJ142" s="34"/>
      <c r="WGK142" s="34"/>
      <c r="WGL142" s="34"/>
      <c r="WGM142" s="34"/>
      <c r="WGN142" s="34"/>
      <c r="WGO142" s="34"/>
      <c r="WGP142" s="34"/>
      <c r="WGQ142" s="34"/>
      <c r="WGR142" s="34"/>
      <c r="WGS142" s="34"/>
      <c r="WGT142" s="34"/>
      <c r="WGU142" s="34"/>
      <c r="WGV142" s="34"/>
      <c r="WGW142" s="34"/>
      <c r="WGX142" s="34"/>
      <c r="WGY142" s="34"/>
      <c r="WGZ142" s="34"/>
      <c r="WHA142" s="34"/>
      <c r="WHB142" s="34"/>
      <c r="WHC142" s="34"/>
      <c r="WHD142" s="34"/>
      <c r="WHE142" s="34"/>
      <c r="WHF142" s="34"/>
      <c r="WHG142" s="34"/>
      <c r="WHH142" s="34"/>
      <c r="WHI142" s="34"/>
      <c r="WHJ142" s="34"/>
      <c r="WHK142" s="34"/>
      <c r="WHL142" s="34"/>
      <c r="WHM142" s="34"/>
      <c r="WHN142" s="34"/>
      <c r="WHO142" s="34"/>
      <c r="WHP142" s="34"/>
      <c r="WHQ142" s="34"/>
      <c r="WHR142" s="34"/>
      <c r="WHS142" s="34"/>
      <c r="WHT142" s="34"/>
      <c r="WHU142" s="34"/>
      <c r="WHV142" s="34"/>
      <c r="WHW142" s="34"/>
      <c r="WHX142" s="34"/>
      <c r="WHY142" s="34"/>
      <c r="WHZ142" s="34"/>
      <c r="WIA142" s="34"/>
      <c r="WIB142" s="34"/>
      <c r="WIC142" s="34"/>
      <c r="WID142" s="34"/>
      <c r="WIE142" s="34"/>
      <c r="WIF142" s="34"/>
      <c r="WIG142" s="34"/>
      <c r="WIH142" s="34"/>
      <c r="WII142" s="34"/>
      <c r="WIJ142" s="34"/>
      <c r="WIK142" s="34"/>
      <c r="WIL142" s="34"/>
      <c r="WIM142" s="34"/>
      <c r="WIN142" s="34"/>
      <c r="WIO142" s="34"/>
      <c r="WIP142" s="34"/>
      <c r="WIQ142" s="34"/>
      <c r="WIR142" s="34"/>
      <c r="WIS142" s="34"/>
      <c r="WIT142" s="34"/>
      <c r="WIU142" s="34"/>
      <c r="WIV142" s="34"/>
      <c r="WIW142" s="34"/>
      <c r="WIX142" s="34"/>
      <c r="WIY142" s="34"/>
      <c r="WIZ142" s="34"/>
      <c r="WJA142" s="34"/>
      <c r="WJB142" s="34"/>
      <c r="WJC142" s="34"/>
      <c r="WJD142" s="34"/>
      <c r="WJE142" s="34"/>
      <c r="WJF142" s="34"/>
      <c r="WJG142" s="34"/>
      <c r="WJH142" s="34"/>
      <c r="WJI142" s="34"/>
      <c r="WJJ142" s="34"/>
      <c r="WJK142" s="34"/>
      <c r="WJL142" s="34"/>
      <c r="WJM142" s="34"/>
      <c r="WJN142" s="34"/>
      <c r="WJO142" s="34"/>
      <c r="WJP142" s="34"/>
      <c r="WJQ142" s="34"/>
      <c r="WJR142" s="34"/>
      <c r="WJS142" s="34"/>
      <c r="WJT142" s="34"/>
      <c r="WJU142" s="34"/>
      <c r="WJV142" s="34"/>
      <c r="WJW142" s="34"/>
      <c r="WJX142" s="34"/>
      <c r="WJY142" s="34"/>
      <c r="WJZ142" s="34"/>
      <c r="WKA142" s="34"/>
      <c r="WKB142" s="34"/>
      <c r="WKC142" s="34"/>
      <c r="WKD142" s="34"/>
      <c r="WKE142" s="34"/>
      <c r="WKF142" s="34"/>
      <c r="WKG142" s="34"/>
      <c r="WKH142" s="34"/>
      <c r="WKI142" s="34"/>
      <c r="WKJ142" s="34"/>
      <c r="WKK142" s="34"/>
      <c r="WKL142" s="34"/>
      <c r="WKM142" s="34"/>
      <c r="WKN142" s="34"/>
      <c r="WKO142" s="34"/>
      <c r="WKP142" s="34"/>
      <c r="WKQ142" s="34"/>
      <c r="WKR142" s="34"/>
      <c r="WKS142" s="34"/>
      <c r="WKT142" s="34"/>
      <c r="WKU142" s="34"/>
      <c r="WKV142" s="34"/>
      <c r="WKW142" s="34"/>
      <c r="WKX142" s="34"/>
      <c r="WKY142" s="34"/>
      <c r="WKZ142" s="34"/>
      <c r="WLA142" s="34"/>
      <c r="WLB142" s="34"/>
      <c r="WLC142" s="34"/>
      <c r="WLD142" s="34"/>
      <c r="WLE142" s="34"/>
      <c r="WLF142" s="34"/>
      <c r="WLG142" s="34"/>
      <c r="WLH142" s="34"/>
      <c r="WLI142" s="34"/>
      <c r="WLJ142" s="34"/>
      <c r="WLK142" s="34"/>
      <c r="WLL142" s="34"/>
      <c r="WLM142" s="34"/>
      <c r="WLN142" s="34"/>
      <c r="WLO142" s="34"/>
      <c r="WLP142" s="34"/>
      <c r="WLQ142" s="34"/>
      <c r="WLR142" s="34"/>
      <c r="WLS142" s="34"/>
      <c r="WLT142" s="34"/>
      <c r="WLU142" s="34"/>
      <c r="WLV142" s="34"/>
      <c r="WLW142" s="34"/>
      <c r="WLX142" s="34"/>
      <c r="WLY142" s="34"/>
      <c r="WLZ142" s="34"/>
      <c r="WMA142" s="34"/>
      <c r="WMB142" s="34"/>
      <c r="WMC142" s="34"/>
      <c r="WMD142" s="34"/>
      <c r="WME142" s="34"/>
      <c r="WMF142" s="34"/>
      <c r="WMG142" s="34"/>
      <c r="WMH142" s="34"/>
      <c r="WMI142" s="34"/>
      <c r="WMJ142" s="34"/>
      <c r="WMK142" s="34"/>
      <c r="WML142" s="34"/>
      <c r="WMM142" s="34"/>
      <c r="WMN142" s="34"/>
      <c r="WMO142" s="34"/>
      <c r="WMP142" s="34"/>
      <c r="WMQ142" s="34"/>
      <c r="WMR142" s="34"/>
      <c r="WMS142" s="34"/>
      <c r="WMT142" s="34"/>
      <c r="WMU142" s="34"/>
      <c r="WMV142" s="34"/>
      <c r="WMW142" s="34"/>
      <c r="WMX142" s="34"/>
      <c r="WMY142" s="34"/>
      <c r="WMZ142" s="34"/>
      <c r="WNA142" s="34"/>
      <c r="WNB142" s="34"/>
      <c r="WNC142" s="34"/>
      <c r="WND142" s="34"/>
      <c r="WNE142" s="34"/>
      <c r="WNF142" s="34"/>
      <c r="WNG142" s="34"/>
      <c r="WNH142" s="34"/>
      <c r="WNI142" s="34"/>
      <c r="WNJ142" s="34"/>
      <c r="WNK142" s="34"/>
      <c r="WNL142" s="34"/>
      <c r="WNM142" s="34"/>
      <c r="WNN142" s="34"/>
      <c r="WNO142" s="34"/>
      <c r="WNP142" s="34"/>
      <c r="WNQ142" s="34"/>
      <c r="WNR142" s="34"/>
      <c r="WNS142" s="34"/>
      <c r="WNT142" s="34"/>
      <c r="WNU142" s="34"/>
      <c r="WNV142" s="34"/>
      <c r="WNW142" s="34"/>
      <c r="WNX142" s="34"/>
      <c r="WNY142" s="34"/>
      <c r="WNZ142" s="34"/>
      <c r="WOA142" s="34"/>
      <c r="WOB142" s="34"/>
      <c r="WOC142" s="34"/>
      <c r="WOD142" s="34"/>
      <c r="WOE142" s="34"/>
      <c r="WOF142" s="34"/>
      <c r="WOG142" s="34"/>
      <c r="WOH142" s="34"/>
      <c r="WOI142" s="34"/>
      <c r="WOJ142" s="34"/>
      <c r="WOK142" s="34"/>
      <c r="WOL142" s="34"/>
      <c r="WOM142" s="34"/>
      <c r="WON142" s="34"/>
      <c r="WOO142" s="34"/>
      <c r="WOP142" s="34"/>
      <c r="WOQ142" s="34"/>
      <c r="WOR142" s="34"/>
      <c r="WOS142" s="34"/>
      <c r="WOT142" s="34"/>
      <c r="WOU142" s="34"/>
      <c r="WOV142" s="34"/>
      <c r="WOW142" s="34"/>
      <c r="WOX142" s="34"/>
      <c r="WOY142" s="34"/>
      <c r="WOZ142" s="34"/>
      <c r="WPA142" s="34"/>
      <c r="WPB142" s="34"/>
      <c r="WPC142" s="34"/>
      <c r="WPD142" s="34"/>
      <c r="WPE142" s="34"/>
      <c r="WPF142" s="34"/>
      <c r="WPG142" s="34"/>
      <c r="WPH142" s="34"/>
      <c r="WPI142" s="34"/>
      <c r="WPJ142" s="34"/>
      <c r="WPK142" s="34"/>
      <c r="WPL142" s="34"/>
      <c r="WPM142" s="34"/>
      <c r="WPN142" s="34"/>
      <c r="WPO142" s="34"/>
      <c r="WPP142" s="34"/>
      <c r="WPQ142" s="34"/>
      <c r="WPR142" s="34"/>
      <c r="WPS142" s="34"/>
      <c r="WPT142" s="34"/>
      <c r="WPU142" s="34"/>
      <c r="WPV142" s="34"/>
      <c r="WPW142" s="34"/>
      <c r="WPX142" s="34"/>
      <c r="WPY142" s="34"/>
      <c r="WPZ142" s="34"/>
      <c r="WQA142" s="34"/>
      <c r="WQB142" s="34"/>
      <c r="WQC142" s="34"/>
      <c r="WQD142" s="34"/>
      <c r="WQE142" s="34"/>
      <c r="WQF142" s="34"/>
      <c r="WQG142" s="34"/>
      <c r="WQH142" s="34"/>
      <c r="WQI142" s="34"/>
      <c r="WQJ142" s="34"/>
      <c r="WQK142" s="34"/>
      <c r="WQL142" s="34"/>
      <c r="WQM142" s="34"/>
      <c r="WQN142" s="34"/>
      <c r="WQO142" s="34"/>
      <c r="WQP142" s="34"/>
      <c r="WQQ142" s="34"/>
      <c r="WQR142" s="34"/>
      <c r="WQS142" s="34"/>
      <c r="WQT142" s="34"/>
      <c r="WQU142" s="34"/>
      <c r="WQV142" s="34"/>
      <c r="WQW142" s="34"/>
      <c r="WQX142" s="34"/>
      <c r="WQY142" s="34"/>
      <c r="WQZ142" s="34"/>
      <c r="WRA142" s="34"/>
      <c r="WRB142" s="34"/>
      <c r="WRC142" s="34"/>
      <c r="WRD142" s="34"/>
      <c r="WRE142" s="34"/>
      <c r="WRF142" s="34"/>
      <c r="WRG142" s="34"/>
      <c r="WRH142" s="34"/>
      <c r="WRI142" s="34"/>
      <c r="WRJ142" s="34"/>
      <c r="WRK142" s="34"/>
      <c r="WRL142" s="34"/>
      <c r="WRM142" s="34"/>
      <c r="WRN142" s="34"/>
      <c r="WRO142" s="34"/>
      <c r="WRP142" s="34"/>
      <c r="WRQ142" s="34"/>
      <c r="WRR142" s="34"/>
      <c r="WRS142" s="34"/>
      <c r="WRT142" s="34"/>
      <c r="WRU142" s="34"/>
      <c r="WRV142" s="34"/>
      <c r="WRW142" s="34"/>
      <c r="WRX142" s="34"/>
      <c r="WRY142" s="34"/>
      <c r="WRZ142" s="34"/>
      <c r="WSA142" s="34"/>
      <c r="WSB142" s="34"/>
      <c r="WSC142" s="34"/>
      <c r="WSD142" s="34"/>
      <c r="WSE142" s="34"/>
      <c r="WSF142" s="34"/>
      <c r="WSG142" s="34"/>
      <c r="WSH142" s="34"/>
      <c r="WSI142" s="34"/>
      <c r="WSJ142" s="34"/>
      <c r="WSK142" s="34"/>
      <c r="WSL142" s="34"/>
      <c r="WSM142" s="34"/>
      <c r="WSN142" s="34"/>
      <c r="WSO142" s="34"/>
      <c r="WSP142" s="34"/>
      <c r="WSQ142" s="34"/>
      <c r="WSR142" s="34"/>
      <c r="WSS142" s="34"/>
      <c r="WST142" s="34"/>
      <c r="WSU142" s="34"/>
      <c r="WSV142" s="34"/>
      <c r="WSW142" s="34"/>
      <c r="WSX142" s="34"/>
      <c r="WSY142" s="34"/>
      <c r="WSZ142" s="34"/>
      <c r="WTA142" s="34"/>
      <c r="WTB142" s="34"/>
      <c r="WTC142" s="34"/>
      <c r="WTD142" s="34"/>
      <c r="WTE142" s="34"/>
      <c r="WTF142" s="34"/>
      <c r="WTG142" s="34"/>
      <c r="WTH142" s="34"/>
      <c r="WTI142" s="34"/>
      <c r="WTJ142" s="34"/>
      <c r="WTK142" s="34"/>
      <c r="WTL142" s="34"/>
      <c r="WTM142" s="34"/>
      <c r="WTN142" s="34"/>
      <c r="WTO142" s="34"/>
      <c r="WTP142" s="34"/>
      <c r="WTQ142" s="34"/>
      <c r="WTR142" s="34"/>
      <c r="WTS142" s="34"/>
      <c r="WTT142" s="34"/>
      <c r="WTU142" s="34"/>
      <c r="WTV142" s="34"/>
      <c r="WTW142" s="34"/>
      <c r="WTX142" s="34"/>
      <c r="WTY142" s="34"/>
      <c r="WTZ142" s="34"/>
      <c r="WUA142" s="34"/>
      <c r="WUB142" s="34"/>
      <c r="WUC142" s="34"/>
      <c r="WUD142" s="34"/>
      <c r="WUE142" s="34"/>
      <c r="WUF142" s="34"/>
      <c r="WUG142" s="34"/>
      <c r="WUH142" s="34"/>
      <c r="WUI142" s="34"/>
      <c r="WUJ142" s="34"/>
      <c r="WUK142" s="34"/>
      <c r="WUL142" s="34"/>
      <c r="WUM142" s="34"/>
      <c r="WUN142" s="34"/>
      <c r="WUO142" s="34"/>
      <c r="WUP142" s="34"/>
      <c r="WUQ142" s="34"/>
      <c r="WUR142" s="34"/>
      <c r="WUS142" s="34"/>
      <c r="WUT142" s="34"/>
      <c r="WUU142" s="34"/>
      <c r="WUV142" s="34"/>
      <c r="WUW142" s="34"/>
      <c r="WUX142" s="34"/>
      <c r="WUY142" s="34"/>
      <c r="WUZ142" s="34"/>
      <c r="WVA142" s="34"/>
      <c r="WVB142" s="34"/>
      <c r="WVC142" s="34"/>
      <c r="WVD142" s="34"/>
      <c r="WVE142" s="34"/>
      <c r="WVF142" s="34"/>
      <c r="WVG142" s="34"/>
      <c r="WVH142" s="34"/>
      <c r="WVI142" s="34"/>
      <c r="WVJ142" s="34"/>
      <c r="WVK142" s="34"/>
      <c r="WVL142" s="34"/>
      <c r="WVM142" s="34"/>
      <c r="WVN142" s="34"/>
      <c r="WVO142" s="34"/>
      <c r="WVP142" s="34"/>
      <c r="WVQ142" s="34"/>
      <c r="WVR142" s="34"/>
      <c r="WVS142" s="34"/>
      <c r="WVT142" s="34"/>
      <c r="WVU142" s="34"/>
      <c r="WVV142" s="34"/>
      <c r="WVW142" s="34"/>
      <c r="WVX142" s="34"/>
      <c r="WVY142" s="34"/>
      <c r="WVZ142" s="34"/>
      <c r="WWA142" s="34"/>
      <c r="WWB142" s="34"/>
      <c r="WWC142" s="34"/>
      <c r="WWD142" s="34"/>
      <c r="WWE142" s="34"/>
      <c r="WWF142" s="34"/>
      <c r="WWG142" s="34"/>
      <c r="WWH142" s="34"/>
      <c r="WWI142" s="34"/>
      <c r="WWJ142" s="34"/>
      <c r="WWK142" s="34"/>
      <c r="WWL142" s="34"/>
      <c r="WWM142" s="34"/>
      <c r="WWN142" s="34"/>
      <c r="WWO142" s="34"/>
      <c r="WWP142" s="34"/>
      <c r="WWQ142" s="34"/>
      <c r="WWR142" s="34"/>
      <c r="WWS142" s="34"/>
      <c r="WWT142" s="34"/>
      <c r="WWU142" s="34"/>
      <c r="WWV142" s="34"/>
      <c r="WWW142" s="34"/>
      <c r="WWX142" s="34"/>
      <c r="WWY142" s="34"/>
      <c r="WWZ142" s="34"/>
      <c r="WXA142" s="34"/>
      <c r="WXB142" s="34"/>
      <c r="WXC142" s="34"/>
      <c r="WXD142" s="34"/>
      <c r="WXE142" s="34"/>
      <c r="WXF142" s="34"/>
      <c r="WXG142" s="34"/>
      <c r="WXH142" s="34"/>
      <c r="WXI142" s="34"/>
      <c r="WXJ142" s="34"/>
      <c r="WXK142" s="34"/>
      <c r="WXL142" s="34"/>
      <c r="WXM142" s="34"/>
      <c r="WXN142" s="34"/>
      <c r="WXO142" s="34"/>
      <c r="WXP142" s="34"/>
      <c r="WXQ142" s="34"/>
      <c r="WXR142" s="34"/>
      <c r="WXS142" s="34"/>
      <c r="WXT142" s="34"/>
      <c r="WXU142" s="34"/>
      <c r="WXV142" s="34"/>
      <c r="WXW142" s="34"/>
      <c r="WXX142" s="34"/>
      <c r="WXY142" s="34"/>
      <c r="WXZ142" s="34"/>
      <c r="WYA142" s="34"/>
      <c r="WYB142" s="34"/>
      <c r="WYC142" s="34"/>
      <c r="WYD142" s="34"/>
      <c r="WYE142" s="34"/>
      <c r="WYF142" s="34"/>
      <c r="WYG142" s="34"/>
      <c r="WYH142" s="34"/>
      <c r="WYI142" s="34"/>
      <c r="WYJ142" s="34"/>
      <c r="WYK142" s="34"/>
      <c r="WYL142" s="34"/>
      <c r="WYM142" s="34"/>
      <c r="WYN142" s="34"/>
      <c r="WYO142" s="34"/>
      <c r="WYP142" s="34"/>
      <c r="WYQ142" s="34"/>
      <c r="WYR142" s="34"/>
      <c r="WYS142" s="34"/>
      <c r="WYT142" s="34"/>
      <c r="WYU142" s="34"/>
      <c r="WYV142" s="34"/>
      <c r="WYW142" s="34"/>
      <c r="WYX142" s="34"/>
      <c r="WYY142" s="34"/>
      <c r="WYZ142" s="34"/>
      <c r="WZA142" s="34"/>
      <c r="WZB142" s="34"/>
      <c r="WZC142" s="34"/>
      <c r="WZD142" s="34"/>
      <c r="WZE142" s="34"/>
      <c r="WZF142" s="34"/>
      <c r="WZG142" s="34"/>
      <c r="WZH142" s="34"/>
      <c r="WZI142" s="34"/>
      <c r="WZJ142" s="34"/>
      <c r="WZK142" s="34"/>
      <c r="WZL142" s="34"/>
      <c r="WZM142" s="34"/>
      <c r="WZN142" s="34"/>
      <c r="WZO142" s="34"/>
      <c r="WZP142" s="34"/>
      <c r="WZQ142" s="34"/>
      <c r="WZR142" s="34"/>
      <c r="WZS142" s="34"/>
      <c r="WZT142" s="34"/>
      <c r="WZU142" s="34"/>
      <c r="WZV142" s="34"/>
      <c r="WZW142" s="34"/>
      <c r="WZX142" s="34"/>
      <c r="WZY142" s="34"/>
      <c r="WZZ142" s="34"/>
      <c r="XAA142" s="34"/>
      <c r="XAB142" s="34"/>
      <c r="XAC142" s="34"/>
      <c r="XAD142" s="34"/>
      <c r="XAE142" s="34"/>
      <c r="XAF142" s="34"/>
      <c r="XAG142" s="34"/>
      <c r="XAH142" s="34"/>
      <c r="XAI142" s="34"/>
      <c r="XAJ142" s="34"/>
      <c r="XAK142" s="34"/>
      <c r="XAL142" s="34"/>
      <c r="XAM142" s="34"/>
      <c r="XAN142" s="34"/>
      <c r="XAO142" s="34"/>
      <c r="XAP142" s="34"/>
      <c r="XAQ142" s="34"/>
      <c r="XAR142" s="34"/>
      <c r="XAS142" s="34"/>
      <c r="XAT142" s="34"/>
      <c r="XAU142" s="34"/>
      <c r="XAV142" s="34"/>
      <c r="XAW142" s="34"/>
      <c r="XAX142" s="34"/>
      <c r="XAY142" s="34"/>
      <c r="XAZ142" s="34"/>
      <c r="XBA142" s="34"/>
      <c r="XBB142" s="34"/>
      <c r="XBC142" s="34"/>
      <c r="XBD142" s="34"/>
      <c r="XBE142" s="34"/>
      <c r="XBF142" s="34"/>
      <c r="XBG142" s="34"/>
      <c r="XBH142" s="34"/>
      <c r="XBI142" s="34"/>
      <c r="XBJ142" s="34"/>
      <c r="XBK142" s="34"/>
      <c r="XBL142" s="34"/>
      <c r="XBM142" s="34"/>
      <c r="XBN142" s="34"/>
      <c r="XBO142" s="34"/>
      <c r="XBP142" s="34"/>
      <c r="XBQ142" s="34"/>
      <c r="XBR142" s="34"/>
      <c r="XBS142" s="34"/>
      <c r="XBT142" s="34"/>
      <c r="XBU142" s="34"/>
      <c r="XBV142" s="34"/>
      <c r="XBW142" s="34"/>
      <c r="XBX142" s="34"/>
      <c r="XBY142" s="34"/>
      <c r="XBZ142" s="34"/>
      <c r="XCA142" s="34"/>
      <c r="XCB142" s="34"/>
      <c r="XCC142" s="34"/>
      <c r="XCD142" s="34"/>
      <c r="XCE142" s="34"/>
      <c r="XCF142" s="34"/>
      <c r="XCG142" s="34"/>
      <c r="XCH142" s="34"/>
      <c r="XCI142" s="34"/>
      <c r="XCJ142" s="34"/>
      <c r="XCK142" s="34"/>
      <c r="XCL142" s="34"/>
      <c r="XCM142" s="34"/>
      <c r="XCN142" s="34"/>
      <c r="XCO142" s="34"/>
      <c r="XCP142" s="34"/>
      <c r="XCQ142" s="34"/>
      <c r="XCR142" s="34"/>
      <c r="XCS142" s="34"/>
      <c r="XCT142" s="34"/>
      <c r="XCU142" s="34"/>
      <c r="XCV142" s="34"/>
      <c r="XCW142" s="34"/>
      <c r="XCX142" s="34"/>
      <c r="XCY142" s="34"/>
      <c r="XCZ142" s="34"/>
      <c r="XDA142" s="34"/>
      <c r="XDB142" s="34"/>
      <c r="XDC142" s="34"/>
      <c r="XDD142" s="34"/>
      <c r="XDE142" s="34"/>
      <c r="XDF142" s="34"/>
      <c r="XDG142" s="34"/>
      <c r="XDH142" s="34"/>
      <c r="XDI142" s="34"/>
      <c r="XDJ142" s="34"/>
      <c r="XDK142" s="34"/>
      <c r="XDL142" s="34"/>
      <c r="XDM142" s="34"/>
      <c r="XDN142" s="34"/>
      <c r="XDO142" s="34"/>
      <c r="XDP142" s="34"/>
      <c r="XDQ142" s="34"/>
      <c r="XDR142" s="34"/>
      <c r="XDS142" s="34"/>
      <c r="XDT142" s="34"/>
      <c r="XDU142" s="34"/>
      <c r="XDV142" s="34"/>
      <c r="XDW142" s="34"/>
      <c r="XDX142" s="34"/>
      <c r="XDY142" s="34"/>
      <c r="XDZ142" s="34"/>
      <c r="XEA142" s="34"/>
      <c r="XEB142" s="34"/>
      <c r="XEC142" s="34"/>
      <c r="XED142" s="34"/>
      <c r="XEE142" s="34"/>
      <c r="XEF142" s="34"/>
      <c r="XEG142" s="34"/>
      <c r="XEH142" s="34"/>
      <c r="XEI142" s="34"/>
      <c r="XEJ142" s="34"/>
      <c r="XEK142" s="34"/>
      <c r="XEL142" s="34"/>
      <c r="XEM142" s="34"/>
      <c r="XEN142" s="34"/>
      <c r="XEO142" s="34"/>
      <c r="XEP142" s="34"/>
      <c r="XEQ142" s="34"/>
      <c r="XER142" s="34"/>
      <c r="XES142" s="34"/>
      <c r="XET142" s="34"/>
      <c r="XEU142" s="34"/>
      <c r="XEV142" s="34"/>
      <c r="XEW142" s="34"/>
      <c r="XEX142" s="34"/>
      <c r="XEY142" s="34"/>
      <c r="XEZ142" s="34"/>
      <c r="XFA142" s="34"/>
      <c r="XFB142" s="34"/>
      <c r="XFC142" s="34"/>
      <c r="XFD142" s="34"/>
    </row>
    <row r="143" spans="1:16384" hidden="1">
      <c r="F143" s="1029"/>
    </row>
    <row r="144" spans="1:16384">
      <c r="F144" s="1029"/>
    </row>
    <row r="145" spans="2:6">
      <c r="F145" s="1029"/>
    </row>
    <row r="146" spans="2:6">
      <c r="F146" s="1029"/>
    </row>
    <row r="147" spans="2:6">
      <c r="F147" s="1029"/>
    </row>
    <row r="148" spans="2:6">
      <c r="B148" s="1100"/>
      <c r="F148" s="1029"/>
    </row>
  </sheetData>
  <sheetProtection password="C74A" sheet="1" objects="1" scenarios="1" selectLockedCells="1"/>
  <sortState columnSort="1" ref="G2:DU147">
    <sortCondition ref="G2:DU2"/>
  </sortState>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109">
    <mergeCell ref="A2:E2"/>
    <mergeCell ref="A3:A19"/>
    <mergeCell ref="A1:B1"/>
    <mergeCell ref="C1:D1"/>
    <mergeCell ref="B3:E3"/>
    <mergeCell ref="B65:D65"/>
    <mergeCell ref="A94:A106"/>
    <mergeCell ref="B94:E94"/>
    <mergeCell ref="B95:E95"/>
    <mergeCell ref="B96:E96"/>
    <mergeCell ref="B97:E97"/>
    <mergeCell ref="B98:E98"/>
    <mergeCell ref="B106:D106"/>
    <mergeCell ref="B99:E99"/>
    <mergeCell ref="B100:E100"/>
    <mergeCell ref="A81:A93"/>
    <mergeCell ref="B38:E38"/>
    <mergeCell ref="B56:E56"/>
    <mergeCell ref="B22:E22"/>
    <mergeCell ref="B11:E11"/>
    <mergeCell ref="B40:E40"/>
    <mergeCell ref="B39:E39"/>
    <mergeCell ref="B25:E25"/>
    <mergeCell ref="B4:E4"/>
    <mergeCell ref="A51:A65"/>
    <mergeCell ref="A66:A80"/>
    <mergeCell ref="A35:A50"/>
    <mergeCell ref="B30:E30"/>
    <mergeCell ref="B61:E61"/>
    <mergeCell ref="B37:E37"/>
    <mergeCell ref="B6:E6"/>
    <mergeCell ref="B5:E5"/>
    <mergeCell ref="B7:E7"/>
    <mergeCell ref="A20:A34"/>
    <mergeCell ref="B8:E8"/>
    <mergeCell ref="B20:E20"/>
    <mergeCell ref="B21:E21"/>
    <mergeCell ref="B26:E26"/>
    <mergeCell ref="B23:E23"/>
    <mergeCell ref="B9:E9"/>
    <mergeCell ref="B15:E15"/>
    <mergeCell ref="B66:E66"/>
    <mergeCell ref="B46:E46"/>
    <mergeCell ref="B70:E70"/>
    <mergeCell ref="B10:E10"/>
    <mergeCell ref="B54:E54"/>
    <mergeCell ref="B36:E36"/>
    <mergeCell ref="B34:D34"/>
    <mergeCell ref="B51:E51"/>
    <mergeCell ref="B52:E52"/>
    <mergeCell ref="B41:E41"/>
    <mergeCell ref="B129:E129"/>
    <mergeCell ref="B57:E57"/>
    <mergeCell ref="B72:E72"/>
    <mergeCell ref="B69:E69"/>
    <mergeCell ref="B64:E64"/>
    <mergeCell ref="B76:E76"/>
    <mergeCell ref="B80:D80"/>
    <mergeCell ref="B83:E83"/>
    <mergeCell ref="B79:E79"/>
    <mergeCell ref="B117:E117"/>
    <mergeCell ref="B114:E114"/>
    <mergeCell ref="B123:D123"/>
    <mergeCell ref="B116:E116"/>
    <mergeCell ref="B126:E126"/>
    <mergeCell ref="B85:E85"/>
    <mergeCell ref="B50:D50"/>
    <mergeCell ref="B110:E110"/>
    <mergeCell ref="B105:E105"/>
    <mergeCell ref="A107:A124"/>
    <mergeCell ref="A125:A142"/>
    <mergeCell ref="B18:E18"/>
    <mergeCell ref="B33:E33"/>
    <mergeCell ref="B35:E35"/>
    <mergeCell ref="B49:E49"/>
    <mergeCell ref="B107:E107"/>
    <mergeCell ref="B86:E86"/>
    <mergeCell ref="B128:E128"/>
    <mergeCell ref="B124:D124"/>
    <mergeCell ref="B87:E87"/>
    <mergeCell ref="B92:E92"/>
    <mergeCell ref="B81:E81"/>
    <mergeCell ref="B67:E67"/>
    <mergeCell ref="B111:E111"/>
    <mergeCell ref="B109:E109"/>
    <mergeCell ref="B108:E108"/>
    <mergeCell ref="B93:D93"/>
    <mergeCell ref="B84:E84"/>
    <mergeCell ref="B19:D19"/>
    <mergeCell ref="B24:E24"/>
    <mergeCell ref="B53:E53"/>
    <mergeCell ref="B42:E42"/>
    <mergeCell ref="B55:E55"/>
    <mergeCell ref="B142:D142"/>
    <mergeCell ref="B132:E132"/>
    <mergeCell ref="B82:E82"/>
    <mergeCell ref="B68:E68"/>
    <mergeCell ref="B112:E112"/>
    <mergeCell ref="B113:E113"/>
    <mergeCell ref="B125:E125"/>
    <mergeCell ref="B141:E141"/>
    <mergeCell ref="B135:E135"/>
    <mergeCell ref="B127:E127"/>
    <mergeCell ref="B115:E115"/>
    <mergeCell ref="B133:E133"/>
    <mergeCell ref="B130:E130"/>
    <mergeCell ref="B134:E134"/>
    <mergeCell ref="B131:E131"/>
    <mergeCell ref="B71:E71"/>
  </mergeCells>
  <phoneticPr fontId="21" type="noConversion"/>
  <conditionalFormatting sqref="F61 F94:F100 F18:F19 F46 F117:F118 F5:F15 F125:F133 F30 F22:F27 F135:F136 F102:F115 F33:F43 F49:F58 F64:F76 F79:F92">
    <cfRule type="cellIs" dxfId="1" priority="5" operator="greaterThan">
      <formula>0</formula>
    </cfRule>
  </conditionalFormatting>
  <dataValidations count="2">
    <dataValidation type="whole" allowBlank="1" showInputMessage="1" showErrorMessage="1" sqref="F59:F60 F62:F63 F47:F48 F13:F14 F16:F17 F31:F32 F77:F78 F102:F104 F89:F91 F44:F45 F119:F122 F137:F140 F28:F29 F74:F75">
      <formula1>0</formula1>
      <formula2>3</formula2>
    </dataValidation>
    <dataValidation type="textLength" allowBlank="1" showInputMessage="1" showErrorMessage="1" prompt="Mark with X if ongoing or recent" sqref="F5:F10">
      <formula1>1</formula1>
      <formula2>1</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3" manualBreakCount="3">
    <brk id="34" max="5" man="1"/>
    <brk id="65" max="5" man="1"/>
    <brk id="106" max="16383" man="1"/>
  </rowBreaks>
</worksheet>
</file>

<file path=xl/worksheets/sheet5.xml><?xml version="1.0" encoding="utf-8"?>
<worksheet xmlns="http://schemas.openxmlformats.org/spreadsheetml/2006/main" xmlns:r="http://schemas.openxmlformats.org/officeDocument/2006/relationships">
  <sheetPr codeName="Sheet22" enableFormatConditionsCalculation="0">
    <tabColor theme="0"/>
  </sheetPr>
  <dimension ref="A1:U42"/>
  <sheetViews>
    <sheetView tabSelected="1" zoomScaleNormal="100" workbookViewId="0">
      <selection activeCell="A20" sqref="A20"/>
    </sheetView>
  </sheetViews>
  <sheetFormatPr defaultColWidth="5.77734375" defaultRowHeight="13.2"/>
  <cols>
    <col min="1" max="1" width="56.33203125" style="10" customWidth="1"/>
    <col min="2" max="2" width="14" style="108" customWidth="1"/>
    <col min="3" max="3" width="10" style="108" customWidth="1"/>
    <col min="4" max="4" width="12.88671875" style="108" customWidth="1"/>
    <col min="5" max="5" width="9.5546875" style="108" customWidth="1"/>
    <col min="6" max="6" width="11.5546875" style="108" customWidth="1"/>
    <col min="7" max="7" width="11.109375" style="108" customWidth="1"/>
    <col min="8" max="8" width="7.44140625" style="108" customWidth="1"/>
    <col min="9" max="9" width="6.33203125" style="116" customWidth="1"/>
    <col min="10" max="10" width="7" style="116" customWidth="1"/>
    <col min="11" max="11" width="6.109375" style="116" customWidth="1"/>
    <col min="12" max="12" width="5.44140625" style="116" customWidth="1"/>
    <col min="13" max="13" width="6.44140625" style="116" customWidth="1"/>
    <col min="14" max="14" width="2.33203125" style="10" customWidth="1"/>
    <col min="15" max="15" width="29.6640625" style="10" customWidth="1"/>
    <col min="16" max="16" width="11.33203125" style="2116" customWidth="1"/>
    <col min="17" max="19" width="5.77734375" style="2116"/>
    <col min="20" max="16384" width="5.77734375" style="10"/>
  </cols>
  <sheetData>
    <row r="1" spans="1:21" ht="21.75" customHeight="1">
      <c r="A1" s="111" t="s">
        <v>2128</v>
      </c>
      <c r="B1" s="2300"/>
      <c r="C1" s="2301"/>
      <c r="D1" s="2301"/>
      <c r="E1" s="2301"/>
      <c r="F1" s="2301"/>
      <c r="G1" s="2301"/>
      <c r="H1" s="2301"/>
      <c r="I1" s="2301"/>
      <c r="J1" s="2301"/>
      <c r="K1" s="2301"/>
      <c r="L1" s="2301"/>
      <c r="M1" s="2301"/>
      <c r="N1" s="2301"/>
      <c r="O1" s="2302"/>
    </row>
    <row r="2" spans="1:21" ht="20.25" customHeight="1">
      <c r="A2" s="112" t="s">
        <v>2129</v>
      </c>
      <c r="B2" s="2303"/>
      <c r="C2" s="2304"/>
      <c r="D2" s="2304"/>
      <c r="E2" s="2304"/>
      <c r="F2" s="2304"/>
      <c r="G2" s="2304"/>
      <c r="H2" s="2304"/>
      <c r="I2" s="2304"/>
      <c r="J2" s="2304"/>
      <c r="K2" s="2304"/>
      <c r="L2" s="2304"/>
      <c r="M2" s="2304"/>
      <c r="N2" s="2304"/>
      <c r="O2" s="2305"/>
    </row>
    <row r="3" spans="1:21" ht="19.5" customHeight="1">
      <c r="A3" s="112" t="s">
        <v>2130</v>
      </c>
      <c r="B3" s="2303"/>
      <c r="C3" s="2304"/>
      <c r="D3" s="2304"/>
      <c r="E3" s="2304"/>
      <c r="F3" s="2304"/>
      <c r="G3" s="2304"/>
      <c r="H3" s="2304"/>
      <c r="I3" s="2304"/>
      <c r="J3" s="2304"/>
      <c r="K3" s="2304"/>
      <c r="L3" s="2304"/>
      <c r="M3" s="2304"/>
      <c r="N3" s="2304"/>
      <c r="O3" s="2305"/>
    </row>
    <row r="4" spans="1:21" ht="19.5" customHeight="1" thickBot="1">
      <c r="A4" s="113" t="s">
        <v>2131</v>
      </c>
      <c r="B4" s="2306"/>
      <c r="C4" s="2307"/>
      <c r="D4" s="2307"/>
      <c r="E4" s="2307"/>
      <c r="F4" s="2307"/>
      <c r="G4" s="2307"/>
      <c r="H4" s="2307"/>
      <c r="I4" s="2307"/>
      <c r="J4" s="2307"/>
      <c r="K4" s="2307"/>
      <c r="L4" s="2307"/>
      <c r="M4" s="2307"/>
      <c r="N4" s="2307"/>
      <c r="O4" s="2308"/>
    </row>
    <row r="5" spans="1:21">
      <c r="B5" s="1992"/>
      <c r="C5" s="109"/>
      <c r="D5" s="1999"/>
      <c r="E5" s="109"/>
      <c r="F5" s="1999"/>
      <c r="G5" s="118"/>
      <c r="H5" s="1992"/>
      <c r="I5" s="1993"/>
      <c r="J5" s="1994"/>
      <c r="K5" s="1994"/>
    </row>
    <row r="6" spans="1:21" ht="33" customHeight="1" thickBot="1">
      <c r="A6" s="2298" t="s">
        <v>1811</v>
      </c>
      <c r="B6" s="2298"/>
      <c r="C6" s="2299"/>
      <c r="D6" s="2000"/>
      <c r="E6" s="117"/>
      <c r="F6" s="1995"/>
      <c r="G6" s="117"/>
      <c r="H6" s="1995"/>
      <c r="I6" s="1996"/>
      <c r="J6" s="1996"/>
      <c r="K6" s="1996"/>
    </row>
    <row r="7" spans="1:21" ht="19.5" customHeight="1" thickBot="1">
      <c r="A7" s="2309" t="s">
        <v>746</v>
      </c>
      <c r="B7" s="2310"/>
      <c r="C7" s="2311"/>
      <c r="D7" s="2001"/>
      <c r="E7" s="115"/>
      <c r="F7" s="2001"/>
      <c r="G7" s="2312"/>
      <c r="H7" s="2312"/>
      <c r="I7" s="2312"/>
      <c r="J7" s="2312"/>
      <c r="K7" s="2297"/>
      <c r="L7" s="2297"/>
      <c r="M7" s="2297"/>
      <c r="P7" s="110"/>
      <c r="Q7" s="110"/>
    </row>
    <row r="8" spans="1:21" ht="39" customHeight="1" thickBot="1">
      <c r="A8" s="1986" t="s">
        <v>2813</v>
      </c>
      <c r="B8" s="1998" t="s">
        <v>2988</v>
      </c>
      <c r="C8" s="1987" t="s">
        <v>2985</v>
      </c>
      <c r="D8" s="2002" t="s">
        <v>2986</v>
      </c>
      <c r="E8" s="1988" t="s">
        <v>2987</v>
      </c>
      <c r="F8" s="2003" t="s">
        <v>2106</v>
      </c>
      <c r="G8" s="1989" t="s">
        <v>2400</v>
      </c>
      <c r="H8" s="2118" t="s">
        <v>2982</v>
      </c>
      <c r="I8" s="2118" t="s">
        <v>2983</v>
      </c>
      <c r="J8" s="2118" t="s">
        <v>2984</v>
      </c>
      <c r="K8" s="2118" t="s">
        <v>2982</v>
      </c>
      <c r="L8" s="2118" t="s">
        <v>2983</v>
      </c>
      <c r="M8" s="2119" t="s">
        <v>2984</v>
      </c>
      <c r="N8" s="1978"/>
      <c r="O8" s="1978"/>
      <c r="P8" s="2117"/>
      <c r="Q8" s="2117"/>
      <c r="R8" s="2117"/>
      <c r="T8" s="1990"/>
      <c r="U8" s="1990"/>
    </row>
    <row r="9" spans="1:21" ht="18" customHeight="1">
      <c r="A9" s="1985" t="s">
        <v>716</v>
      </c>
      <c r="B9" s="2004" t="str">
        <f t="shared" ref="B9:B25" si="0">IF((F9=""),"",IF((F9&lt;H9),0, IF((F9&gt;I9),10,10*(F9-H9)/J9)))</f>
        <v/>
      </c>
      <c r="C9" s="2005" t="str">
        <f>IF((B9=""),"",IF((B9&lt;2.29),"Lower", IF((B9&gt;=5.23),"Higher", "Moderate")))</f>
        <v/>
      </c>
      <c r="D9" s="2006" t="str">
        <f t="shared" ref="D9:D14" si="1">IF((G9=""),"",IF((G9&lt;=K9),0, IF((G9&gt;L9),10, 10*(G9-K9)/M9)))</f>
        <v/>
      </c>
      <c r="E9" s="2005" t="str">
        <f>IF((D9=""),"",IF((D9&lt;1.43),"Lower", IF((D9&gt;=4.29),"Higher", "Moderate")))</f>
        <v/>
      </c>
      <c r="F9" s="2133" t="str">
        <f>IF((SUM(F!D5:'F'!D8)=0),"",WS!G99)</f>
        <v/>
      </c>
      <c r="G9" s="2133" t="str">
        <f>IF((F9&lt;1),0,IF((F9=""),"",WS!G100))</f>
        <v/>
      </c>
      <c r="H9" s="2120">
        <v>1.3571428571428572</v>
      </c>
      <c r="I9" s="2120">
        <v>8.75</v>
      </c>
      <c r="J9" s="2121">
        <f>I9-H9</f>
        <v>7.3928571428571423</v>
      </c>
      <c r="K9" s="2122">
        <v>0.83333333333333326</v>
      </c>
      <c r="L9" s="2122">
        <v>6.6666666666666661</v>
      </c>
      <c r="M9" s="2121">
        <f t="shared" ref="M9:M14" si="2">L9-K9</f>
        <v>5.833333333333333</v>
      </c>
      <c r="N9" s="1979"/>
      <c r="P9" s="10"/>
      <c r="Q9" s="10"/>
      <c r="R9" s="10"/>
      <c r="S9" s="10"/>
    </row>
    <row r="10" spans="1:21" ht="18" customHeight="1">
      <c r="A10" s="1048" t="s">
        <v>715</v>
      </c>
      <c r="B10" s="2007" t="str">
        <f t="shared" si="0"/>
        <v/>
      </c>
      <c r="C10" s="2008" t="str">
        <f>IF((B10=""),"",IF((B10&lt;2.92),"Lower", IF((B10&gt;=6.56),"Higher", "Moderate")))</f>
        <v/>
      </c>
      <c r="D10" s="2009" t="str">
        <f t="shared" si="1"/>
        <v/>
      </c>
      <c r="E10" s="2008" t="str">
        <f>IF((D10=""),"",IF((D10=0),"Lower", IF((D10&gt;=6.68),"Higher", "Moderate")))</f>
        <v/>
      </c>
      <c r="F10" s="2134" t="str">
        <f>IF((SUM(F!D5:'F'!D8)=0),"",SFS!G47)</f>
        <v/>
      </c>
      <c r="G10" s="2134" t="str">
        <f>IF((F10&lt;1),0,IF((F10=""),"",SFS!G48))</f>
        <v/>
      </c>
      <c r="H10" s="2121">
        <v>0</v>
      </c>
      <c r="I10" s="2121">
        <v>5.333333333333333</v>
      </c>
      <c r="J10" s="2121">
        <f t="shared" ref="J10:J25" si="3">I10-H10</f>
        <v>5.333333333333333</v>
      </c>
      <c r="K10" s="2122">
        <v>0</v>
      </c>
      <c r="L10" s="2120">
        <v>7.6750000000000007</v>
      </c>
      <c r="M10" s="2121">
        <f t="shared" si="2"/>
        <v>7.6750000000000007</v>
      </c>
      <c r="N10" s="1979"/>
      <c r="P10" s="10"/>
      <c r="Q10" s="10"/>
      <c r="R10" s="10"/>
      <c r="S10" s="10"/>
    </row>
    <row r="11" spans="1:21" ht="18" customHeight="1" thickBot="1">
      <c r="A11" s="2090" t="s">
        <v>2928</v>
      </c>
      <c r="B11" s="2091" t="str">
        <f t="shared" si="0"/>
        <v/>
      </c>
      <c r="C11" s="2092" t="str">
        <f>IF((B11=""),"",IF((B11&lt;2.04),"Lower", IF((B11&gt;=5.3),"Higher", "Moderate")))</f>
        <v/>
      </c>
      <c r="D11" s="2093" t="str">
        <f t="shared" si="1"/>
        <v/>
      </c>
      <c r="E11" s="2092" t="str">
        <f>IF((D11=""),"",IF((D11&lt;1.64),"Lower", IF((D11&gt;=5.13),"Higher", "Moderate")))</f>
        <v/>
      </c>
      <c r="F11" s="2135" t="str">
        <f>IF((SUM(F!D5:'F'!D8)=0),"",WC!G73)</f>
        <v/>
      </c>
      <c r="G11" s="2135" t="str">
        <f>IF((F11&lt;1),0,IF((F11=""),"",WC!G74))</f>
        <v/>
      </c>
      <c r="H11" s="2121">
        <v>0</v>
      </c>
      <c r="I11" s="2121">
        <v>6.6666666666666661</v>
      </c>
      <c r="J11" s="2121">
        <f t="shared" si="3"/>
        <v>6.6666666666666661</v>
      </c>
      <c r="K11" s="2122">
        <v>0</v>
      </c>
      <c r="L11" s="2122">
        <v>6.4299999999999988</v>
      </c>
      <c r="M11" s="2121">
        <f t="shared" si="2"/>
        <v>6.4299999999999988</v>
      </c>
      <c r="N11" s="1979"/>
      <c r="P11" s="10"/>
      <c r="Q11" s="10"/>
      <c r="R11" s="10"/>
      <c r="S11" s="10"/>
    </row>
    <row r="12" spans="1:21" ht="18" customHeight="1">
      <c r="A12" s="1050" t="s">
        <v>2929</v>
      </c>
      <c r="B12" s="2096" t="str">
        <f t="shared" si="0"/>
        <v/>
      </c>
      <c r="C12" s="2097" t="str">
        <f>IF((B12=""),"",IF((B12&lt;3.42),"Lower", IF((B12&gt;=6.76),"Higher", "Moderate")))</f>
        <v/>
      </c>
      <c r="D12" s="2098" t="str">
        <f t="shared" si="1"/>
        <v/>
      </c>
      <c r="E12" s="2097" t="str">
        <f>IF((D12=""),"",IF((D12&lt;1.73),"Lower", IF((D12&gt;=4.19),"Higher", "Moderate")))</f>
        <v/>
      </c>
      <c r="F12" s="2136" t="str">
        <f>IF((SUM(F!D5:'F'!D8)=0),"",SR!G157)</f>
        <v/>
      </c>
      <c r="G12" s="2137" t="str">
        <f>IF((F12&lt;1),0,IF((F12=""),"",SR!G158))</f>
        <v/>
      </c>
      <c r="H12" s="2120">
        <v>1</v>
      </c>
      <c r="I12" s="2120">
        <v>10</v>
      </c>
      <c r="J12" s="2121">
        <f t="shared" si="3"/>
        <v>9</v>
      </c>
      <c r="K12" s="2120">
        <v>0</v>
      </c>
      <c r="L12" s="2120">
        <v>5.9722222222222223</v>
      </c>
      <c r="M12" s="2121">
        <f t="shared" si="2"/>
        <v>5.9722222222222223</v>
      </c>
      <c r="N12" s="1979"/>
      <c r="P12" s="10"/>
      <c r="Q12" s="10"/>
      <c r="R12" s="10"/>
      <c r="S12" s="10"/>
    </row>
    <row r="13" spans="1:21" ht="18" customHeight="1">
      <c r="A13" s="1048" t="s">
        <v>704</v>
      </c>
      <c r="B13" s="2007" t="str">
        <f t="shared" si="0"/>
        <v/>
      </c>
      <c r="C13" s="2008" t="str">
        <f>IF((B13=""),"",IF((B13&lt;2.63),"Lower", IF((B13&gt;=6.22),"Higher", "Moderate")))</f>
        <v/>
      </c>
      <c r="D13" s="2009" t="str">
        <f t="shared" si="1"/>
        <v/>
      </c>
      <c r="E13" s="2008" t="str">
        <f>IF((D13=""),"",IF((D13&lt;3.03),"Lower", IF((D13&gt;=7.09),"Higher", "Moderate")))</f>
        <v/>
      </c>
      <c r="F13" s="2134" t="str">
        <f>IF((SUM(F!D5:'F'!D8)=0),"",PR!G161)</f>
        <v/>
      </c>
      <c r="G13" s="2138" t="str">
        <f>IF((F13&lt;1),0,IF((F13=""),"",PR!G162))</f>
        <v/>
      </c>
      <c r="H13" s="2120">
        <v>2.6068783068783068</v>
      </c>
      <c r="I13" s="2120">
        <v>10</v>
      </c>
      <c r="J13" s="2121">
        <f t="shared" si="3"/>
        <v>7.3931216931216932</v>
      </c>
      <c r="K13" s="2122">
        <v>0.27777777777777779</v>
      </c>
      <c r="L13" s="2122">
        <v>7.2222222222222223</v>
      </c>
      <c r="M13" s="2121">
        <f t="shared" si="2"/>
        <v>6.9444444444444446</v>
      </c>
      <c r="N13" s="1979"/>
      <c r="P13" s="10"/>
      <c r="Q13" s="10"/>
      <c r="R13" s="10"/>
      <c r="S13" s="10"/>
    </row>
    <row r="14" spans="1:21" ht="18" customHeight="1" thickBot="1">
      <c r="A14" s="1049" t="s">
        <v>112</v>
      </c>
      <c r="B14" s="2100" t="str">
        <f t="shared" si="0"/>
        <v/>
      </c>
      <c r="C14" s="2101" t="str">
        <f>IF((B14=""),"",IF((B14&lt;2.05),"Lower", IF((B14&gt;=4.56),"Higher", "Moderate")))</f>
        <v/>
      </c>
      <c r="D14" s="2102" t="str">
        <f t="shared" si="1"/>
        <v/>
      </c>
      <c r="E14" s="2101" t="str">
        <f>IF((D14=""),"",IF((D14&lt;2.36),"Lower", IF((D14&gt;=4.87),"Higher", "Moderate")))</f>
        <v/>
      </c>
      <c r="F14" s="2139" t="str">
        <f>IF((SUM(F!D5:'F'!D8)=0),"",NR!G225)</f>
        <v/>
      </c>
      <c r="G14" s="2140" t="str">
        <f>IF((F14&lt;1),0,IF((F14=""),"",NR!G226))</f>
        <v/>
      </c>
      <c r="H14" s="2120">
        <v>4.1597222222222214</v>
      </c>
      <c r="I14" s="2120">
        <v>10</v>
      </c>
      <c r="J14" s="2121">
        <f t="shared" si="3"/>
        <v>5.8402777777777786</v>
      </c>
      <c r="K14" s="2120">
        <v>0.35555555555555551</v>
      </c>
      <c r="L14" s="2120">
        <v>8.6</v>
      </c>
      <c r="M14" s="2121">
        <f t="shared" si="2"/>
        <v>8.2444444444444436</v>
      </c>
      <c r="N14" s="1979"/>
      <c r="P14" s="10"/>
      <c r="Q14" s="10"/>
      <c r="R14" s="10"/>
      <c r="S14" s="10"/>
    </row>
    <row r="15" spans="1:21" ht="18" customHeight="1">
      <c r="A15" s="2094" t="s">
        <v>25</v>
      </c>
      <c r="B15" s="2004" t="str">
        <f t="shared" si="0"/>
        <v/>
      </c>
      <c r="C15" s="2005" t="str">
        <f>IF((B15=""),"",IF((B15&lt;3.13),"Lower", IF((B15&gt;=6.26),"Higher", "Moderate")))</f>
        <v/>
      </c>
      <c r="D15" s="2095"/>
      <c r="E15" s="2095"/>
      <c r="F15" s="2133" t="str">
        <f>IF((SUM(F!D5:'F'!D8)=0),"",CS!G124)</f>
        <v/>
      </c>
      <c r="G15" s="2095"/>
      <c r="H15" s="2121">
        <v>4.9374035493827169</v>
      </c>
      <c r="I15" s="2121">
        <v>9.0555555555555554</v>
      </c>
      <c r="J15" s="2121">
        <f t="shared" si="3"/>
        <v>4.1181520061728385</v>
      </c>
      <c r="K15" s="2123"/>
      <c r="L15" s="2123"/>
      <c r="M15" s="2123"/>
      <c r="N15" s="1979"/>
      <c r="P15" s="10"/>
      <c r="Q15" s="10"/>
      <c r="R15" s="10"/>
      <c r="S15" s="10"/>
    </row>
    <row r="16" spans="1:21" ht="18" customHeight="1" thickBot="1">
      <c r="A16" s="2090" t="s">
        <v>537</v>
      </c>
      <c r="B16" s="2091" t="str">
        <f t="shared" si="0"/>
        <v/>
      </c>
      <c r="C16" s="2092" t="str">
        <f>IF((B16=""),"",IF((B16=0),"Lower", IF((B16&gt;=6.65),"Higher", "Moderate")))</f>
        <v/>
      </c>
      <c r="D16" s="2103"/>
      <c r="E16" s="2103"/>
      <c r="F16" s="2135" t="str">
        <f>IF((SUM(F!D5:'F'!D8)=0),"",OE!G121)</f>
        <v/>
      </c>
      <c r="G16" s="2095"/>
      <c r="H16" s="2120">
        <v>0</v>
      </c>
      <c r="I16" s="2120">
        <v>8.2175925925925934</v>
      </c>
      <c r="J16" s="2121">
        <f t="shared" si="3"/>
        <v>8.2175925925925934</v>
      </c>
      <c r="K16" s="2123"/>
      <c r="L16" s="2123"/>
      <c r="M16" s="2123"/>
      <c r="N16" s="1979"/>
      <c r="P16" s="10"/>
      <c r="Q16" s="10"/>
      <c r="R16" s="10"/>
      <c r="S16" s="10"/>
    </row>
    <row r="17" spans="1:19" ht="18" customHeight="1">
      <c r="A17" s="1050" t="s">
        <v>27</v>
      </c>
      <c r="B17" s="2096" t="str">
        <f t="shared" si="0"/>
        <v/>
      </c>
      <c r="C17" s="2097" t="str">
        <f>IF((B17=""),"",IF((B17&lt;=1.33),"Lower", IF((B17&gt;=5.73),"Higher", "Moderate")))</f>
        <v/>
      </c>
      <c r="D17" s="2098" t="str">
        <f t="shared" ref="D17:D25" si="4">IF((G17=""),"",IF((G17&lt;=K17),0, IF((G17&gt;L17),10, 10*(G17-K17)/M17)))</f>
        <v/>
      </c>
      <c r="E17" s="2097" t="str">
        <f>IF((D17=""),"",IF((D17=0),"Lower", IF((D17&gt;=4.32),"Higher", "Moderate")))</f>
        <v/>
      </c>
      <c r="F17" s="2136" t="str">
        <f>IF((SUM(F!D5:'F'!D8)=0),"",FA!G147)</f>
        <v/>
      </c>
      <c r="G17" s="2137" t="str">
        <f>IF((F17&lt;1),0,IF((F17=""),"",FA!G148))</f>
        <v/>
      </c>
      <c r="H17" s="2121">
        <v>0</v>
      </c>
      <c r="I17" s="2121">
        <v>6.5266666666666655</v>
      </c>
      <c r="J17" s="2121">
        <f t="shared" si="3"/>
        <v>6.5266666666666655</v>
      </c>
      <c r="K17" s="2124">
        <v>0</v>
      </c>
      <c r="L17" s="2124">
        <v>7.387023809523809</v>
      </c>
      <c r="M17" s="2121">
        <f t="shared" ref="M17:M29" si="5">L17-K17</f>
        <v>7.387023809523809</v>
      </c>
      <c r="N17" s="1979"/>
      <c r="P17" s="10"/>
      <c r="Q17" s="10"/>
      <c r="R17" s="10"/>
      <c r="S17" s="10"/>
    </row>
    <row r="18" spans="1:19" ht="18" customHeight="1" thickBot="1">
      <c r="A18" s="1049" t="s">
        <v>2930</v>
      </c>
      <c r="B18" s="2100" t="str">
        <f t="shared" si="0"/>
        <v/>
      </c>
      <c r="C18" s="2101" t="str">
        <f>IF((B18=""),"",IF((B18=0),"Lower", IF((B18&gt;=6.62),"Higher", "Moderate")))</f>
        <v/>
      </c>
      <c r="D18" s="2102" t="str">
        <f t="shared" si="4"/>
        <v/>
      </c>
      <c r="E18" s="2101" t="str">
        <f>IF((D18=""),"",IF((D18&lt;1.6),"Lower", IF((D18&gt;=4.45),"Higher", "Moderate")))</f>
        <v/>
      </c>
      <c r="F18" s="2139" t="str">
        <f>IF((SUM(F!D5:'F'!D8)=0),"",FR!G138)</f>
        <v/>
      </c>
      <c r="G18" s="2140" t="str">
        <f>IF((F18&lt;1),0,IF((F18=""),"",FR!G139))</f>
        <v/>
      </c>
      <c r="H18" s="2121">
        <v>0</v>
      </c>
      <c r="I18" s="2121">
        <v>6.9449999999999985</v>
      </c>
      <c r="J18" s="2121">
        <f t="shared" si="3"/>
        <v>6.9449999999999985</v>
      </c>
      <c r="K18" s="2120">
        <v>0</v>
      </c>
      <c r="L18" s="2120">
        <v>7.0870238095238092</v>
      </c>
      <c r="M18" s="2121">
        <f t="shared" si="5"/>
        <v>7.0870238095238092</v>
      </c>
      <c r="N18" s="1979"/>
      <c r="P18" s="10"/>
      <c r="Q18" s="10"/>
      <c r="R18" s="10"/>
      <c r="S18" s="10"/>
    </row>
    <row r="19" spans="1:19" ht="18" customHeight="1">
      <c r="A19" s="2094" t="s">
        <v>26</v>
      </c>
      <c r="B19" s="2004" t="str">
        <f t="shared" si="0"/>
        <v/>
      </c>
      <c r="C19" s="2005" t="str">
        <f>IF((B19=""),"",IF((B19&lt;3.55),"Lower", IF((B19&gt;=5.95),"Higher", "Moderate")))</f>
        <v/>
      </c>
      <c r="D19" s="2006" t="str">
        <f t="shared" si="4"/>
        <v/>
      </c>
      <c r="E19" s="2005" t="str">
        <f>IF((D19=""),"",IF((D19&lt;0.83),"Lower", IF((D19&gt;=6.36),"Higher", "Moderate")))</f>
        <v/>
      </c>
      <c r="F19" s="2133" t="str">
        <f>IF((SUM(F!D5:'F'!D8)=0),"",INV!G160)</f>
        <v/>
      </c>
      <c r="G19" s="2133" t="str">
        <f>IF((F19&lt;1),0,IF((F19=""),"",INV!G161))</f>
        <v/>
      </c>
      <c r="H19" s="2120">
        <v>3.2627314814814818</v>
      </c>
      <c r="I19" s="2120">
        <v>7.5289351851851851</v>
      </c>
      <c r="J19" s="2121">
        <f t="shared" si="3"/>
        <v>4.2662037037037033</v>
      </c>
      <c r="K19" s="2120">
        <v>1.4130507527084903</v>
      </c>
      <c r="L19" s="2120">
        <v>6.5331011629188716</v>
      </c>
      <c r="M19" s="2121">
        <f t="shared" si="5"/>
        <v>5.1200504102103812</v>
      </c>
      <c r="N19" s="1979"/>
      <c r="P19" s="10"/>
      <c r="Q19" s="10"/>
      <c r="R19" s="10"/>
      <c r="S19" s="10"/>
    </row>
    <row r="20" spans="1:19" ht="18" customHeight="1">
      <c r="A20" s="1048" t="s">
        <v>2862</v>
      </c>
      <c r="B20" s="2007" t="str">
        <f t="shared" si="0"/>
        <v/>
      </c>
      <c r="C20" s="2008" t="str">
        <f>IF((B20=""),"",IF((B20&lt;1.77),"Lower", IF((B20&gt;=5.92),"Higher", "Moderate")))</f>
        <v/>
      </c>
      <c r="D20" s="2009" t="str">
        <f t="shared" si="4"/>
        <v/>
      </c>
      <c r="E20" s="2008" t="str">
        <f>IF((D20=""),"",IF((D20&lt;2.57),"Lower", IF((D20&gt;=6.21),"Higher", "Moderate")))</f>
        <v/>
      </c>
      <c r="F20" s="2134" t="str">
        <f>IF((SUM(F!D5:'F'!D8)=0),"",AM!G206)</f>
        <v/>
      </c>
      <c r="G20" s="2134" t="str">
        <f>IF((F20&lt;1),0,IF((F20=""),"",AM!G207))</f>
        <v/>
      </c>
      <c r="H20" s="2124">
        <v>3.5996173469387749</v>
      </c>
      <c r="I20" s="2124">
        <v>8.0514455782312933</v>
      </c>
      <c r="J20" s="2121">
        <f t="shared" si="3"/>
        <v>4.4518282312925184</v>
      </c>
      <c r="K20" s="2124">
        <v>1.2906802721088437</v>
      </c>
      <c r="L20" s="2124">
        <v>5.3092702821869491</v>
      </c>
      <c r="M20" s="2121">
        <f t="shared" si="5"/>
        <v>4.0185900100781051</v>
      </c>
      <c r="N20" s="1979"/>
      <c r="P20" s="10"/>
      <c r="Q20" s="10"/>
      <c r="R20" s="10"/>
      <c r="S20" s="10"/>
    </row>
    <row r="21" spans="1:19" ht="18" customHeight="1">
      <c r="A21" s="1048" t="s">
        <v>28</v>
      </c>
      <c r="B21" s="2007" t="str">
        <f t="shared" si="0"/>
        <v/>
      </c>
      <c r="C21" s="2008" t="str">
        <f>IF((B21=""),"",IF((B21=0),"Lower", IF((B21&gt;=6.07),"Higher", "Moderate")))</f>
        <v/>
      </c>
      <c r="D21" s="2009" t="str">
        <f t="shared" si="4"/>
        <v/>
      </c>
      <c r="E21" s="2008" t="str">
        <f>IF((D21=""),"",IF((D21&lt;1.82),"Lower", IF((D21&gt;=5.45),"Higher", "Moderate")))</f>
        <v/>
      </c>
      <c r="F21" s="2134" t="str">
        <f>IF((SUM(F!D5:'F'!D8)=0),"",WBF!G164)</f>
        <v/>
      </c>
      <c r="G21" s="2134" t="str">
        <f>IF((F21&lt;1),0,IF((F21=""),"",WBF!G165))</f>
        <v/>
      </c>
      <c r="H21" s="2120">
        <v>0</v>
      </c>
      <c r="I21" s="2120">
        <v>8.3258928571428577</v>
      </c>
      <c r="J21" s="2121">
        <f t="shared" si="3"/>
        <v>8.3258928571428577</v>
      </c>
      <c r="K21" s="2122">
        <v>0</v>
      </c>
      <c r="L21" s="2122">
        <v>5.5</v>
      </c>
      <c r="M21" s="2121">
        <f t="shared" si="5"/>
        <v>5.5</v>
      </c>
      <c r="N21" s="1979"/>
      <c r="P21" s="10"/>
      <c r="Q21" s="10"/>
      <c r="R21" s="10"/>
      <c r="S21" s="10"/>
    </row>
    <row r="22" spans="1:19" ht="18" customHeight="1" thickBot="1">
      <c r="A22" s="2090" t="s">
        <v>29</v>
      </c>
      <c r="B22" s="2091" t="str">
        <f t="shared" si="0"/>
        <v/>
      </c>
      <c r="C22" s="2092" t="str">
        <f>IF((B22=""),"",IF((B22=0),"Lower", IF((B22&gt;=5.44),"Higher", "Moderate")))</f>
        <v/>
      </c>
      <c r="D22" s="2093" t="str">
        <f t="shared" si="4"/>
        <v/>
      </c>
      <c r="E22" s="2092" t="str">
        <f>IF((D22=""),"",IF((D22=0),"Lower", IF((D22&gt;=6.7),"Higher", "Moderate")))</f>
        <v/>
      </c>
      <c r="F22" s="2135" t="str">
        <f>IF((SUM(F!D5:'F'!D8)=0),"",WBN!G181)</f>
        <v/>
      </c>
      <c r="G22" s="2135" t="str">
        <f>IF((F22&lt;1),0,IF((F22=""),"",WBN!G182))</f>
        <v/>
      </c>
      <c r="H22" s="2122">
        <v>0</v>
      </c>
      <c r="I22" s="2122">
        <v>8.9896825396825388</v>
      </c>
      <c r="J22" s="2121">
        <f t="shared" si="3"/>
        <v>8.9896825396825388</v>
      </c>
      <c r="K22" s="2122">
        <v>0</v>
      </c>
      <c r="L22" s="2122">
        <v>0</v>
      </c>
      <c r="M22" s="2121">
        <f t="shared" si="5"/>
        <v>0</v>
      </c>
      <c r="N22" s="1979"/>
      <c r="P22" s="10"/>
      <c r="Q22" s="10"/>
      <c r="R22" s="10"/>
      <c r="S22" s="10"/>
    </row>
    <row r="23" spans="1:19" ht="18" customHeight="1">
      <c r="A23" s="1050" t="s">
        <v>355</v>
      </c>
      <c r="B23" s="2096" t="str">
        <f t="shared" si="0"/>
        <v/>
      </c>
      <c r="C23" s="2097" t="str">
        <f>IF((B23=""),"",IF((B23&lt;2.87),"Lower", IF((B23&gt;=7.49),"Higher", "Moderate")))</f>
        <v/>
      </c>
      <c r="D23" s="2098" t="str">
        <f t="shared" si="4"/>
        <v/>
      </c>
      <c r="E23" s="2097" t="str">
        <f>IF((D23=""),"",IF((D23&lt;2.5),"Lower", IF((D23&gt;=6.03),"Higher", "Moderate")))</f>
        <v/>
      </c>
      <c r="F23" s="2136" t="str">
        <f>IF((SUM(F!D5:'F'!D8)=0),"",SBM!G172)</f>
        <v/>
      </c>
      <c r="G23" s="2137" t="str">
        <f>IF((F23&lt;1),0,IF((F23=""),"",SBM!G173))</f>
        <v/>
      </c>
      <c r="H23" s="2120">
        <v>0</v>
      </c>
      <c r="I23" s="2120">
        <v>8.1614583333333339</v>
      </c>
      <c r="J23" s="2121">
        <f t="shared" si="3"/>
        <v>8.1614583333333339</v>
      </c>
      <c r="K23" s="2122">
        <v>0</v>
      </c>
      <c r="L23" s="2122">
        <v>3.333333333333333</v>
      </c>
      <c r="M23" s="2121">
        <f t="shared" si="5"/>
        <v>3.333333333333333</v>
      </c>
      <c r="N23" s="1979"/>
      <c r="P23" s="10"/>
      <c r="Q23" s="10"/>
      <c r="R23" s="10"/>
      <c r="S23" s="10"/>
    </row>
    <row r="24" spans="1:19" ht="18" customHeight="1">
      <c r="A24" s="1048" t="s">
        <v>30</v>
      </c>
      <c r="B24" s="2007" t="str">
        <f t="shared" si="0"/>
        <v/>
      </c>
      <c r="C24" s="2008" t="str">
        <f>IF((B24=""),"",IF((B24&lt;3.29),"Lower", IF((B24&gt;=5.28),"Higher", "Moderate")))</f>
        <v/>
      </c>
      <c r="D24" s="2009" t="str">
        <f t="shared" si="4"/>
        <v/>
      </c>
      <c r="E24" s="2008" t="str">
        <f>IF((D24=""),"",IF((D24=0),"Lower", IF((D24&gt;=6.8),"Higher", "Moderate")))</f>
        <v/>
      </c>
      <c r="F24" s="2134" t="str">
        <f>IF((SUM(F!D5:'F'!D8)=0),"",POL!G92)</f>
        <v/>
      </c>
      <c r="G24" s="2138" t="str">
        <f>IF((F24&lt;1),0,IF((F24=""),"",POL!G93))</f>
        <v/>
      </c>
      <c r="H24" s="2120">
        <v>0</v>
      </c>
      <c r="I24" s="2120">
        <v>8.125</v>
      </c>
      <c r="J24" s="2121">
        <f t="shared" si="3"/>
        <v>8.125</v>
      </c>
      <c r="K24" s="2122">
        <v>0</v>
      </c>
      <c r="L24" s="2122">
        <v>3.333333333333333</v>
      </c>
      <c r="M24" s="2121">
        <f t="shared" si="5"/>
        <v>3.333333333333333</v>
      </c>
      <c r="N24" s="1979"/>
      <c r="P24" s="10"/>
      <c r="Q24" s="10"/>
      <c r="R24" s="10"/>
      <c r="S24" s="10"/>
    </row>
    <row r="25" spans="1:19" ht="18" customHeight="1" thickBot="1">
      <c r="A25" s="1049" t="s">
        <v>705</v>
      </c>
      <c r="B25" s="2100" t="str">
        <f t="shared" si="0"/>
        <v/>
      </c>
      <c r="C25" s="2101" t="str">
        <f>IF((B25=""),"",IF((B25=0),"Lower", IF((B25&gt;=6.68),"Higher", "Moderate")))</f>
        <v/>
      </c>
      <c r="D25" s="2102" t="str">
        <f t="shared" si="4"/>
        <v/>
      </c>
      <c r="E25" s="2101" t="str">
        <f>IF((D25=""),"",IF((D25=0),"Lower", IF((D25&gt;=6.95),"Higher", "Moderate")))</f>
        <v/>
      </c>
      <c r="F25" s="2139" t="str">
        <f>IF((SUM(F!D5:'F'!D8)=0),"",PH!G219)</f>
        <v/>
      </c>
      <c r="G25" s="2140" t="str">
        <f>IF((F25&lt;1),0,IF((F25=""),"",PH!G220))</f>
        <v/>
      </c>
      <c r="H25" s="2121">
        <v>4.930769230769231</v>
      </c>
      <c r="I25" s="2121">
        <v>9.1752136752136746</v>
      </c>
      <c r="J25" s="2121">
        <f t="shared" si="3"/>
        <v>4.2444444444444436</v>
      </c>
      <c r="K25" s="2120">
        <v>0</v>
      </c>
      <c r="L25" s="2120">
        <v>5.918066578483244</v>
      </c>
      <c r="M25" s="2121">
        <f t="shared" si="5"/>
        <v>5.918066578483244</v>
      </c>
      <c r="N25" s="1979"/>
      <c r="P25" s="10"/>
      <c r="Q25" s="10"/>
      <c r="R25" s="10"/>
      <c r="S25" s="10"/>
    </row>
    <row r="26" spans="1:19" ht="18" customHeight="1" thickBot="1">
      <c r="A26" s="2094" t="s">
        <v>384</v>
      </c>
      <c r="B26" s="2104"/>
      <c r="C26" s="2105"/>
      <c r="D26" s="2106" t="str">
        <f t="shared" ref="D26" si="6">IF((G26=""),"",IF((G26&lt;=K26),0, IF((G26&gt;L26),10, 10*(G26-K26)/M26)))</f>
        <v/>
      </c>
      <c r="E26" s="2107" t="str">
        <f>IF((D26=""),"",IF((D26&lt;2.4),"Lower", IF((D26&gt;=5.51),"Higher", "Moderate")))</f>
        <v/>
      </c>
      <c r="F26" s="2095"/>
      <c r="G26" s="2141" t="str">
        <f>IF((SUM(F!D5:'F'!D8)=0),"",PU!G59)</f>
        <v/>
      </c>
      <c r="H26" s="2123"/>
      <c r="I26" s="2123"/>
      <c r="J26" s="2123"/>
      <c r="K26" s="2120">
        <v>0.33333333333333331</v>
      </c>
      <c r="L26" s="2120">
        <v>7.4404761904761907</v>
      </c>
      <c r="M26" s="2121">
        <f t="shared" si="5"/>
        <v>7.1071428571428577</v>
      </c>
      <c r="N26" s="1979"/>
      <c r="P26" s="10"/>
      <c r="Q26" s="10"/>
      <c r="R26" s="10"/>
      <c r="S26" s="10"/>
    </row>
    <row r="27" spans="1:19" ht="18" customHeight="1">
      <c r="A27" s="1050" t="s">
        <v>1362</v>
      </c>
      <c r="B27" s="2108"/>
      <c r="C27" s="2109"/>
      <c r="D27" s="2098" t="str">
        <f t="shared" ref="D27" si="7">IF((G27=""),"",IF((G27&lt;=K27),0, IF((G27&gt;L27),10, 10*(G27-K27)/M27)))</f>
        <v/>
      </c>
      <c r="E27" s="2097" t="str">
        <f>IF((D27=""),"",IF((D27&lt;3.25),"Lower", IF((D27&gt;=6.03),"Higher", "Moderate")))</f>
        <v/>
      </c>
      <c r="F27" s="2095"/>
      <c r="G27" s="2137" t="str">
        <f>IF((SUM(F!D5:'F'!D8)=0),"",Sen!G194)</f>
        <v/>
      </c>
      <c r="H27" s="2123"/>
      <c r="I27" s="2123"/>
      <c r="J27" s="2123"/>
      <c r="K27" s="2120">
        <v>2.2986111111111107</v>
      </c>
      <c r="L27" s="2120">
        <v>5.2750000000000004</v>
      </c>
      <c r="M27" s="2121">
        <f t="shared" si="5"/>
        <v>2.9763888888888896</v>
      </c>
      <c r="N27" s="1979"/>
      <c r="P27" s="10"/>
      <c r="Q27" s="10"/>
      <c r="R27" s="10"/>
      <c r="S27" s="10"/>
    </row>
    <row r="28" spans="1:19" ht="18" customHeight="1">
      <c r="A28" s="1048" t="s">
        <v>2127</v>
      </c>
      <c r="B28" s="2110"/>
      <c r="C28" s="2011"/>
      <c r="D28" s="2009" t="str">
        <f>IF((G28=""),"",IF((G28&lt;=K28),0, IF((G28&gt;L28),10, 10*(G28-K28)/M28)))</f>
        <v/>
      </c>
      <c r="E28" s="2008" t="str">
        <f>IF((D28=""),"",IF((D28&lt;3.67),"Lower", IF((D28&gt;=6.94),"Higher", "Moderate")))</f>
        <v/>
      </c>
      <c r="F28" s="2095"/>
      <c r="G28" s="2138" t="str">
        <f>IF((SUM(F!D5:'F'!D8)=0),"",EC!G29)</f>
        <v/>
      </c>
      <c r="H28" s="2125"/>
      <c r="I28" s="2125"/>
      <c r="J28" s="2125"/>
      <c r="K28" s="2122">
        <v>2.5694444444444442</v>
      </c>
      <c r="L28" s="2122">
        <v>9.375</v>
      </c>
      <c r="M28" s="2121">
        <f t="shared" si="5"/>
        <v>6.8055555555555554</v>
      </c>
      <c r="N28" s="1979"/>
      <c r="P28" s="10"/>
      <c r="Q28" s="10"/>
      <c r="R28" s="10"/>
      <c r="S28" s="10"/>
    </row>
    <row r="29" spans="1:19" ht="18" customHeight="1" thickBot="1">
      <c r="A29" s="1049" t="s">
        <v>1363</v>
      </c>
      <c r="B29" s="2111"/>
      <c r="C29" s="2112"/>
      <c r="D29" s="2102" t="str">
        <f>IF((G29=""),"",IF((G29&lt;=K29),0, IF((G29&gt;L29),10, 10*(G29-K29)/M29)))</f>
        <v/>
      </c>
      <c r="E29" s="2101" t="str">
        <f>IF((D29=""),"",IF((D29&lt;3.23),"Lower", IF((D29&gt;=5.38),"Higher", "Moderate")))</f>
        <v/>
      </c>
      <c r="F29" s="2095"/>
      <c r="G29" s="2140" t="str">
        <f>IF((SUM(F!D5:'F'!D8)=0),"",STR!G90)</f>
        <v/>
      </c>
      <c r="H29" s="2125"/>
      <c r="I29" s="2125"/>
      <c r="J29" s="2125"/>
      <c r="K29" s="2122">
        <v>1.4201388888888888</v>
      </c>
      <c r="L29" s="2122">
        <v>5.5318287037037024</v>
      </c>
      <c r="M29" s="2121">
        <f t="shared" si="5"/>
        <v>4.1116898148148131</v>
      </c>
      <c r="N29" s="1980"/>
      <c r="P29" s="10"/>
      <c r="Q29" s="10"/>
      <c r="R29" s="10"/>
      <c r="S29" s="10"/>
    </row>
    <row r="30" spans="1:19" ht="18.600000000000001" customHeight="1" thickBot="1">
      <c r="A30" s="1553" t="s">
        <v>752</v>
      </c>
      <c r="B30" s="2095"/>
      <c r="C30" s="2095"/>
      <c r="D30" s="2095"/>
      <c r="E30" s="2095"/>
      <c r="F30" s="2095"/>
      <c r="G30" s="2095"/>
      <c r="H30" s="2125"/>
      <c r="I30" s="2125"/>
      <c r="J30" s="2125"/>
      <c r="K30" s="2122"/>
      <c r="L30" s="2122"/>
      <c r="M30" s="2122"/>
      <c r="P30" s="10"/>
      <c r="Q30" s="10"/>
      <c r="R30" s="10"/>
      <c r="S30" s="10"/>
    </row>
    <row r="31" spans="1:19" ht="21.6" customHeight="1">
      <c r="A31" s="1981" t="s">
        <v>2124</v>
      </c>
      <c r="B31" s="2010" t="str">
        <f t="shared" ref="B31:G31" si="8">IF((B9=""),"",B9)</f>
        <v/>
      </c>
      <c r="C31" s="2010" t="str">
        <f t="shared" si="8"/>
        <v/>
      </c>
      <c r="D31" s="2010" t="str">
        <f t="shared" si="8"/>
        <v/>
      </c>
      <c r="E31" s="2010" t="str">
        <f t="shared" si="8"/>
        <v/>
      </c>
      <c r="F31" s="2134" t="str">
        <f t="shared" si="8"/>
        <v/>
      </c>
      <c r="G31" s="2134" t="str">
        <f t="shared" si="8"/>
        <v/>
      </c>
      <c r="H31" s="2121">
        <v>1.3571428571428572</v>
      </c>
      <c r="I31" s="2121">
        <v>8.8333333333333321</v>
      </c>
      <c r="J31" s="2121">
        <f t="shared" ref="J31:J35" si="9">I31-H31</f>
        <v>7.4761904761904745</v>
      </c>
      <c r="K31" s="2122">
        <v>0.83333333333333326</v>
      </c>
      <c r="L31" s="2122">
        <v>6.6666666666666661</v>
      </c>
      <c r="M31" s="2121">
        <f t="shared" ref="M31:M37" si="10">L31-K31</f>
        <v>5.833333333333333</v>
      </c>
      <c r="P31" s="10"/>
      <c r="Q31" s="10"/>
      <c r="R31" s="10"/>
      <c r="S31" s="10"/>
    </row>
    <row r="32" spans="1:19" ht="24" customHeight="1">
      <c r="A32" s="1982" t="s">
        <v>3000</v>
      </c>
      <c r="B32" s="2012" t="str">
        <f t="shared" ref="B32:C35" si="11">IF((F32=""),"",IF((F32&lt;H32),0, IF((F32&gt;I32),10,10*(F32-H32)/J32)))</f>
        <v/>
      </c>
      <c r="C32" s="2012" t="str">
        <f t="shared" si="11"/>
        <v/>
      </c>
      <c r="D32" s="2013" t="str">
        <f t="shared" ref="D32:D37" si="12">IF((G32=""),"",IF((G32&lt;=K32),0, IF((G32&gt;L32),10, 10*(G32-K32)/M32)))</f>
        <v/>
      </c>
      <c r="E32" s="2008" t="str">
        <f>IF((G32=""),"",IF((D32&lt;2.42),"Lower", IF((D32&gt;=4.83),"Higher", "Moderate")))</f>
        <v/>
      </c>
      <c r="F32" s="2134" t="str">
        <f>IF((F12=""),"", (MAX(F12:F15) + AVERAGE(F12:F15))/2)</f>
        <v/>
      </c>
      <c r="G32" s="2134" t="str">
        <f>IF((F32=""),"", IF((F32&lt;1),0,(MAX(G12:G15) + AVERAGE(G12:G15))/2))</f>
        <v/>
      </c>
      <c r="H32" s="2125">
        <v>4.8505849041005291</v>
      </c>
      <c r="I32" s="2125">
        <v>9.6710069444444446</v>
      </c>
      <c r="J32" s="2121">
        <f t="shared" si="9"/>
        <v>4.8204220403439155</v>
      </c>
      <c r="K32" s="2125">
        <v>0.69206349206349194</v>
      </c>
      <c r="L32" s="2125">
        <v>8.4833333333333343</v>
      </c>
      <c r="M32" s="2121">
        <f t="shared" si="10"/>
        <v>7.791269841269842</v>
      </c>
      <c r="P32" s="10"/>
      <c r="Q32" s="10"/>
      <c r="R32" s="10"/>
      <c r="S32" s="10"/>
    </row>
    <row r="33" spans="1:19" ht="24" customHeight="1">
      <c r="A33" s="1982" t="s">
        <v>2126</v>
      </c>
      <c r="B33" s="2012" t="str">
        <f t="shared" si="11"/>
        <v/>
      </c>
      <c r="C33" s="2012" t="str">
        <f t="shared" si="11"/>
        <v/>
      </c>
      <c r="D33" s="2013" t="str">
        <f t="shared" si="12"/>
        <v/>
      </c>
      <c r="E33" s="2008" t="str">
        <f>IF((D33=""),"",IF((D33&lt;3.06),"Lower", IF((D33&gt;=6.71),"Higher", "Moderate")))</f>
        <v/>
      </c>
      <c r="F33" s="2134" t="str">
        <f>IF((F19=""),"", (MAX(F10,F19,F11,F16) + AVERAGE(F10,F11,F16,F19))/2)</f>
        <v/>
      </c>
      <c r="G33" s="2134" t="str">
        <f>IF((G19=""),"", (MAX(G10,G19,G11,G16) + AVERAGE(G10,G11,G16,G19))/2)</f>
        <v/>
      </c>
      <c r="H33" s="2125">
        <v>2.5694444444444446</v>
      </c>
      <c r="I33" s="2125">
        <v>6.7052951388888884</v>
      </c>
      <c r="J33" s="2121">
        <f t="shared" si="9"/>
        <v>4.1358506944444438</v>
      </c>
      <c r="K33" s="2125">
        <v>0.99455992273452587</v>
      </c>
      <c r="L33" s="2125">
        <v>6.7287325207860924</v>
      </c>
      <c r="M33" s="2121">
        <f t="shared" si="10"/>
        <v>5.7341725980515665</v>
      </c>
      <c r="P33" s="10"/>
      <c r="Q33" s="10"/>
      <c r="R33" s="10"/>
      <c r="S33" s="10"/>
    </row>
    <row r="34" spans="1:19" ht="24" customHeight="1">
      <c r="A34" s="1982" t="s">
        <v>2125</v>
      </c>
      <c r="B34" s="2012" t="str">
        <f t="shared" si="11"/>
        <v/>
      </c>
      <c r="C34" s="2012" t="str">
        <f t="shared" si="11"/>
        <v/>
      </c>
      <c r="D34" s="2013" t="str">
        <f t="shared" si="12"/>
        <v/>
      </c>
      <c r="E34" s="2008" t="str">
        <f>IF((F20=""),"",IF((D34&lt;1.92),"Lower", IF((D34&gt;=4.63),"Higher", "Moderate")))</f>
        <v/>
      </c>
      <c r="F34" s="2134" t="str">
        <f>IF((F20=""),"",(MAX(F17,F18,F20,F21,F22)+AVERAGE(F17,F18,F20,F21,F22))/2)</f>
        <v/>
      </c>
      <c r="G34" s="2134" t="str">
        <f>IF((F34=""),"", IF((F34&lt;1),0,(MAX(G17, G18,G20,G21,G22)+ AVERAGE(G17, G18,G20,G21,G22))/2))</f>
        <v/>
      </c>
      <c r="H34" s="2126">
        <v>2.3231632653061225</v>
      </c>
      <c r="I34" s="2126">
        <v>7.3218253968253961</v>
      </c>
      <c r="J34" s="2121">
        <f t="shared" si="9"/>
        <v>4.9986621315192732</v>
      </c>
      <c r="K34" s="2126">
        <v>0.76805895691609982</v>
      </c>
      <c r="L34" s="2126">
        <v>5.8264322247417493</v>
      </c>
      <c r="M34" s="2121">
        <f t="shared" si="10"/>
        <v>5.0583732678256492</v>
      </c>
      <c r="P34" s="10"/>
      <c r="Q34" s="10"/>
      <c r="R34" s="10"/>
      <c r="S34" s="10"/>
    </row>
    <row r="35" spans="1:19" ht="24" customHeight="1" thickBot="1">
      <c r="A35" s="1983" t="s">
        <v>2999</v>
      </c>
      <c r="B35" s="2129" t="str">
        <f t="shared" si="11"/>
        <v/>
      </c>
      <c r="C35" s="2129" t="str">
        <f t="shared" si="11"/>
        <v/>
      </c>
      <c r="D35" s="2130" t="str">
        <f t="shared" si="12"/>
        <v/>
      </c>
      <c r="E35" s="2092" t="str">
        <f>IF((D35=""),"",IF((D35=0),"Lower", IF((D35&gt;=5.36),"Higher", "Moderate")))</f>
        <v/>
      </c>
      <c r="F35" s="2135" t="str">
        <f>IF((F23=""),"", (MAX(F23,F25,F24)+ AVERAGE(F23,F25,F24))/2)</f>
        <v/>
      </c>
      <c r="G35" s="2135" t="str">
        <f>IF((F35=""),"", IF((F35&lt;1),0, (MAX(G23,G25,G24)+ AVERAGE(G23,G25,G24))/2))</f>
        <v/>
      </c>
      <c r="H35" s="2125">
        <v>4.072222222222222</v>
      </c>
      <c r="I35" s="2125">
        <v>8.2807682768620268</v>
      </c>
      <c r="J35" s="2121">
        <f t="shared" si="9"/>
        <v>4.2085460546398048</v>
      </c>
      <c r="K35" s="2125">
        <v>0</v>
      </c>
      <c r="L35" s="2125">
        <v>4.9267122281011169</v>
      </c>
      <c r="M35" s="2121">
        <f t="shared" si="10"/>
        <v>4.9267122281011169</v>
      </c>
      <c r="P35" s="10"/>
      <c r="Q35" s="10"/>
      <c r="R35" s="10"/>
      <c r="S35" s="10"/>
    </row>
    <row r="36" spans="1:19" ht="24" customHeight="1">
      <c r="A36" s="2131" t="s">
        <v>2981</v>
      </c>
      <c r="B36" s="2109"/>
      <c r="C36" s="2109"/>
      <c r="D36" s="2099" t="str">
        <f>IF((D28=""),"",D28)</f>
        <v/>
      </c>
      <c r="E36" s="2099" t="str">
        <f>IF((E28=""),"",E28)</f>
        <v/>
      </c>
      <c r="F36" s="2095"/>
      <c r="G36" s="2137" t="str">
        <f>IF((G28=""),"",G28)</f>
        <v/>
      </c>
      <c r="H36" s="2125"/>
      <c r="I36" s="2125"/>
      <c r="J36" s="2125"/>
      <c r="K36" s="2125">
        <v>2.5694444444444442</v>
      </c>
      <c r="L36" s="2125">
        <v>9.375</v>
      </c>
      <c r="M36" s="2121">
        <f t="shared" si="10"/>
        <v>6.8055555555555554</v>
      </c>
      <c r="P36" s="10"/>
      <c r="Q36" s="10"/>
      <c r="R36" s="10"/>
      <c r="S36" s="10"/>
    </row>
    <row r="37" spans="1:19" ht="24" customHeight="1" thickBot="1">
      <c r="A37" s="1984" t="s">
        <v>2387</v>
      </c>
      <c r="B37" s="2112"/>
      <c r="C37" s="2112"/>
      <c r="D37" s="2132" t="str">
        <f t="shared" si="12"/>
        <v/>
      </c>
      <c r="E37" s="2101" t="str">
        <f>IF((D37=""),"",IF((D37&lt;3.15),"Lower", IF((D37&gt;=5.97),"Higher", "Moderate")))</f>
        <v/>
      </c>
      <c r="F37" s="2095"/>
      <c r="G37" s="2140" t="str">
        <f>IF((G27=""),"",AVERAGE(G27,G29))</f>
        <v/>
      </c>
      <c r="H37" s="2125"/>
      <c r="I37" s="2125"/>
      <c r="J37" s="2125"/>
      <c r="K37" s="2126">
        <v>2.4905257936507934</v>
      </c>
      <c r="L37" s="2126">
        <v>4.5056203703703712</v>
      </c>
      <c r="M37" s="2121">
        <f t="shared" si="10"/>
        <v>2.0150945767195778</v>
      </c>
      <c r="P37" s="10"/>
      <c r="Q37" s="10"/>
      <c r="R37" s="10"/>
      <c r="S37" s="10"/>
    </row>
    <row r="38" spans="1:19" ht="58.8" customHeight="1">
      <c r="B38" s="2296" t="s">
        <v>2998</v>
      </c>
      <c r="C38" s="2296"/>
      <c r="D38" s="2296"/>
      <c r="E38" s="2296"/>
      <c r="F38" s="2296"/>
      <c r="G38" s="2296"/>
      <c r="P38" s="10"/>
      <c r="Q38" s="10"/>
      <c r="R38" s="10"/>
      <c r="S38" s="10"/>
    </row>
    <row r="42" spans="1:19">
      <c r="E42" s="2089"/>
    </row>
  </sheetData>
  <sheetProtection password="C74A" sheet="1" objects="1" scenarios="1"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9">
    <mergeCell ref="B38:G38"/>
    <mergeCell ref="K7:M7"/>
    <mergeCell ref="A6:C6"/>
    <mergeCell ref="B1:O1"/>
    <mergeCell ref="B2:O2"/>
    <mergeCell ref="B3:O3"/>
    <mergeCell ref="B4:O4"/>
    <mergeCell ref="A7:C7"/>
    <mergeCell ref="G7:J7"/>
  </mergeCells>
  <phoneticPr fontId="2" type="noConversion"/>
  <conditionalFormatting sqref="D15:E16 B26:E30 B36:D37 D31:E37 K32 H36:H37 B31:C31 I33 F36:F37 F9:G31">
    <cfRule type="expression" dxfId="0" priority="24">
      <formula>"enter =ISERROR(B8:C31)"</formula>
    </cfRule>
  </conditionalFormatting>
  <pageMargins left="0.25" right="0.25" top="0.75" bottom="0.75" header="0.3" footer="0.3"/>
  <pageSetup scale="70" orientation="portrait" r:id="rId2"/>
  <headerFooter alignWithMargins="0"/>
  <ignoredErrors>
    <ignoredError sqref="D36" formula="1"/>
  </ignoredErrors>
</worksheet>
</file>

<file path=xl/worksheets/sheet6.xml><?xml version="1.0" encoding="utf-8"?>
<worksheet xmlns="http://schemas.openxmlformats.org/spreadsheetml/2006/main" xmlns:r="http://schemas.openxmlformats.org/officeDocument/2006/relationships">
  <sheetPr codeName="Sheet6"/>
  <dimension ref="A1:K333"/>
  <sheetViews>
    <sheetView zoomScaleNormal="100" workbookViewId="0">
      <selection sqref="A1:B1"/>
    </sheetView>
  </sheetViews>
  <sheetFormatPr defaultColWidth="9.33203125" defaultRowHeight="15" customHeight="1"/>
  <cols>
    <col min="1" max="1" width="5.77734375" style="92" customWidth="1"/>
    <col min="2" max="2" width="18.77734375" style="76" customWidth="1"/>
    <col min="3" max="3" width="69.77734375" style="62" customWidth="1"/>
    <col min="4" max="4" width="6.77734375" style="481" customWidth="1"/>
    <col min="5" max="5" width="6.77734375" style="451" customWidth="1"/>
    <col min="6" max="6" width="6.77734375" style="452" customWidth="1"/>
    <col min="7" max="7" width="9.77734375" style="453" customWidth="1"/>
    <col min="8" max="8" width="69.77734375" style="7" customWidth="1"/>
    <col min="9" max="9" width="11.77734375" style="7" customWidth="1"/>
    <col min="10" max="10" width="9.33203125" style="62"/>
    <col min="11" max="11" width="9.33203125" style="138"/>
    <col min="12" max="16384" width="9.33203125" style="62"/>
  </cols>
  <sheetData>
    <row r="1" spans="1:10" ht="48" customHeight="1" thickBot="1">
      <c r="A1" s="2354" t="s">
        <v>2615</v>
      </c>
      <c r="B1" s="2355"/>
      <c r="C1" s="125" t="s">
        <v>1228</v>
      </c>
      <c r="D1" s="151" t="s">
        <v>1229</v>
      </c>
      <c r="E1" s="2349"/>
      <c r="F1" s="2350"/>
      <c r="G1" s="2350"/>
      <c r="H1" s="2350"/>
      <c r="I1" s="2350"/>
      <c r="J1" s="63"/>
    </row>
    <row r="2" spans="1:10" s="1554" customFormat="1" ht="36" customHeight="1" thickBot="1">
      <c r="A2" s="1555" t="s">
        <v>168</v>
      </c>
      <c r="B2" s="1555" t="s">
        <v>1758</v>
      </c>
      <c r="C2" s="1556" t="s">
        <v>1354</v>
      </c>
      <c r="D2" s="1555" t="s">
        <v>64</v>
      </c>
      <c r="E2" s="1557" t="s">
        <v>1383</v>
      </c>
      <c r="F2" s="1558" t="s">
        <v>1384</v>
      </c>
      <c r="G2" s="1559" t="s">
        <v>1293</v>
      </c>
      <c r="H2" s="1560" t="s">
        <v>1294</v>
      </c>
      <c r="I2" s="1561" t="s">
        <v>2623</v>
      </c>
    </row>
    <row r="3" spans="1:10" ht="30" customHeight="1" thickBot="1">
      <c r="A3" s="2327" t="str">
        <f>OF!A105</f>
        <v>OF23</v>
      </c>
      <c r="B3" s="2336" t="str">
        <f>OF!B105</f>
        <v>Contributing Area (CA) Percentage</v>
      </c>
      <c r="C3" s="411" t="str">
        <f>OF!C105</f>
        <v>Determine the approximate bounds of this AA's contributing area (follow the detailed directions in the Manual). Relative to the extent of that contributing area (CA), the AA comprises:</v>
      </c>
      <c r="D3" s="454"/>
      <c r="E3" s="470"/>
      <c r="F3" s="476"/>
      <c r="G3" s="1339">
        <f>MAX(F4:F7)/MAX(E4:E7)</f>
        <v>0</v>
      </c>
      <c r="H3" s="2351" t="s">
        <v>2355</v>
      </c>
      <c r="I3" s="2318" t="s">
        <v>374</v>
      </c>
    </row>
    <row r="4" spans="1:10" ht="27" customHeight="1">
      <c r="A4" s="2327"/>
      <c r="B4" s="2336"/>
      <c r="C4" s="170" t="str">
        <f>OF!C106</f>
        <v>&lt;1% of its CA  (includes most wetlands, especially those located low in watersheds, such as ones on major river floodplains or the marine shoreline).</v>
      </c>
      <c r="D4" s="261">
        <f>OF!D106</f>
        <v>0</v>
      </c>
      <c r="E4" s="457">
        <v>0</v>
      </c>
      <c r="F4" s="458">
        <f>D4*E4</f>
        <v>0</v>
      </c>
      <c r="G4" s="477"/>
      <c r="H4" s="2352"/>
      <c r="I4" s="2319"/>
    </row>
    <row r="5" spans="1:10" ht="15" customHeight="1">
      <c r="A5" s="2327"/>
      <c r="B5" s="2336"/>
      <c r="C5" s="82" t="str">
        <f>OF!C107</f>
        <v>1 to 10% of its CA.</v>
      </c>
      <c r="D5" s="245">
        <f>OF!D107</f>
        <v>0</v>
      </c>
      <c r="E5" s="457">
        <v>1</v>
      </c>
      <c r="F5" s="458">
        <f>D5*E5</f>
        <v>0</v>
      </c>
      <c r="G5" s="474"/>
      <c r="H5" s="2352"/>
      <c r="I5" s="2319"/>
    </row>
    <row r="6" spans="1:10" ht="15" customHeight="1">
      <c r="A6" s="2327"/>
      <c r="B6" s="2336"/>
      <c r="C6" s="82" t="str">
        <f>OF!C108</f>
        <v>10 to 100% of its CA.</v>
      </c>
      <c r="D6" s="245">
        <f>OF!D108</f>
        <v>0</v>
      </c>
      <c r="E6" s="457">
        <v>2</v>
      </c>
      <c r="F6" s="458">
        <f>D6*E6</f>
        <v>0</v>
      </c>
      <c r="G6" s="474"/>
      <c r="H6" s="2352"/>
      <c r="I6" s="2319"/>
    </row>
    <row r="7" spans="1:10" ht="27" customHeight="1" thickBot="1">
      <c r="A7" s="2327"/>
      <c r="B7" s="2336"/>
      <c r="C7" s="186" t="str">
        <f>OF!C109</f>
        <v>Wetland has essentially no CA, e.g., isolated by dikes with no input channels, or is in terrain so flat that a CA can't be delineated. SKIP TO OF27 (Internal Gradient).</v>
      </c>
      <c r="D7" s="275">
        <f>OF!D109</f>
        <v>0</v>
      </c>
      <c r="E7" s="461">
        <v>3</v>
      </c>
      <c r="F7" s="472">
        <f>D7*E7</f>
        <v>0</v>
      </c>
      <c r="G7" s="460"/>
      <c r="H7" s="2353"/>
      <c r="I7" s="2322"/>
    </row>
    <row r="8" spans="1:10" ht="21" customHeight="1" thickBot="1">
      <c r="A8" s="2313" t="str">
        <f>OF!A118</f>
        <v>OF26</v>
      </c>
      <c r="B8" s="2323" t="str">
        <f>OF!B118</f>
        <v>Aspect</v>
      </c>
      <c r="C8" s="418" t="str">
        <f>OF!C118</f>
        <v>The overland flow direction of most surface water (in streams or runoff) that enters the AA is:</v>
      </c>
      <c r="D8" s="454"/>
      <c r="E8" s="454"/>
      <c r="F8" s="473"/>
      <c r="G8" s="465">
        <f>MAX(F9:F11)/MAX(E9:E11)</f>
        <v>0</v>
      </c>
      <c r="H8" s="2181" t="s">
        <v>711</v>
      </c>
      <c r="I8" s="2321" t="s">
        <v>97</v>
      </c>
    </row>
    <row r="9" spans="1:10" ht="15" customHeight="1">
      <c r="A9" s="2314"/>
      <c r="B9" s="2336"/>
      <c r="C9" s="419" t="str">
        <f>OF!C119</f>
        <v>Northward (N, NE). north-facing contributing area.</v>
      </c>
      <c r="D9" s="261">
        <f>OF!D119</f>
        <v>0</v>
      </c>
      <c r="E9" s="457">
        <v>1</v>
      </c>
      <c r="F9" s="458">
        <f>D9*E9</f>
        <v>0</v>
      </c>
      <c r="G9" s="466"/>
      <c r="H9" s="2180"/>
      <c r="I9" s="2319"/>
    </row>
    <row r="10" spans="1:10" ht="15" customHeight="1">
      <c r="A10" s="2314"/>
      <c r="B10" s="2336"/>
      <c r="C10" s="419" t="str">
        <f>OF!C120</f>
        <v>Southward (S, SW). south-facing contributing area.</v>
      </c>
      <c r="D10" s="261">
        <f>OF!D120</f>
        <v>0</v>
      </c>
      <c r="E10" s="457">
        <v>3</v>
      </c>
      <c r="F10" s="458">
        <f>D10*E10</f>
        <v>0</v>
      </c>
      <c r="G10" s="468"/>
      <c r="H10" s="2180"/>
      <c r="I10" s="2319"/>
    </row>
    <row r="11" spans="1:10" ht="15" customHeight="1" thickBot="1">
      <c r="A11" s="2315"/>
      <c r="B11" s="2337"/>
      <c r="C11" s="420" t="str">
        <f>OF!C121</f>
        <v>other (E, SE, W, NW), or no detectable uphill slope or input channel (flat).</v>
      </c>
      <c r="D11" s="336">
        <f>OF!D121</f>
        <v>0</v>
      </c>
      <c r="E11" s="462">
        <v>2</v>
      </c>
      <c r="F11" s="463">
        <f>D11*E11</f>
        <v>0</v>
      </c>
      <c r="G11" s="469"/>
      <c r="H11" s="2187"/>
      <c r="I11" s="2320"/>
    </row>
    <row r="12" spans="1:10" ht="16.2" customHeight="1" thickBot="1">
      <c r="A12" s="2313" t="str">
        <f>OF!A122</f>
        <v>OF27</v>
      </c>
      <c r="B12" s="2340" t="str">
        <f>OF!B122</f>
        <v>Internal Flow Distance (Path Length)</v>
      </c>
      <c r="C12" s="418" t="str">
        <f>OF!C122</f>
        <v xml:space="preserve">The horizontal flow distance from the wetland's inlet to outlet is: </v>
      </c>
      <c r="D12" s="454"/>
      <c r="E12" s="454"/>
      <c r="F12" s="455"/>
      <c r="G12" s="456">
        <f>MAX(F13:F18)/MAX(E13:E18)</f>
        <v>0</v>
      </c>
      <c r="H12" s="2181" t="s">
        <v>1167</v>
      </c>
      <c r="I12" s="2318" t="s">
        <v>1266</v>
      </c>
    </row>
    <row r="13" spans="1:10" ht="15" customHeight="1">
      <c r="A13" s="2314"/>
      <c r="B13" s="2341"/>
      <c r="C13" s="419" t="str">
        <f>OF!C123</f>
        <v>&lt;10 m</v>
      </c>
      <c r="D13" s="261">
        <f>OF!D123</f>
        <v>0</v>
      </c>
      <c r="E13" s="457">
        <v>0</v>
      </c>
      <c r="F13" s="458">
        <f t="shared" ref="F13:F18" si="0">D13*E13</f>
        <v>0</v>
      </c>
      <c r="G13" s="474"/>
      <c r="H13" s="2180"/>
      <c r="I13" s="2319"/>
    </row>
    <row r="14" spans="1:10" ht="15" customHeight="1">
      <c r="A14" s="2314"/>
      <c r="B14" s="2341"/>
      <c r="C14" s="421" t="str">
        <f>OF!C124</f>
        <v>10 - 50 m</v>
      </c>
      <c r="D14" s="245">
        <f>OF!D124</f>
        <v>0</v>
      </c>
      <c r="E14" s="457">
        <v>1</v>
      </c>
      <c r="F14" s="458">
        <f t="shared" si="0"/>
        <v>0</v>
      </c>
      <c r="G14" s="474"/>
      <c r="H14" s="2180"/>
      <c r="I14" s="2319"/>
    </row>
    <row r="15" spans="1:10" ht="15" customHeight="1">
      <c r="A15" s="2314"/>
      <c r="B15" s="2341"/>
      <c r="C15" s="421" t="str">
        <f>OF!C125</f>
        <v>50 - 100 m</v>
      </c>
      <c r="D15" s="245">
        <f>OF!D125</f>
        <v>0</v>
      </c>
      <c r="E15" s="457">
        <v>2</v>
      </c>
      <c r="F15" s="458">
        <f t="shared" si="0"/>
        <v>0</v>
      </c>
      <c r="G15" s="474"/>
      <c r="H15" s="2180"/>
      <c r="I15" s="2319"/>
    </row>
    <row r="16" spans="1:10" ht="15" customHeight="1">
      <c r="A16" s="2314"/>
      <c r="B16" s="2341"/>
      <c r="C16" s="421" t="str">
        <f>OF!C126</f>
        <v>100 - 1000 m</v>
      </c>
      <c r="D16" s="245">
        <f>OF!D126</f>
        <v>0</v>
      </c>
      <c r="E16" s="457">
        <v>3</v>
      </c>
      <c r="F16" s="458">
        <f t="shared" si="0"/>
        <v>0</v>
      </c>
      <c r="G16" s="474"/>
      <c r="H16" s="2180"/>
      <c r="I16" s="2319"/>
    </row>
    <row r="17" spans="1:9" ht="15" customHeight="1">
      <c r="A17" s="2314"/>
      <c r="B17" s="2341"/>
      <c r="C17" s="421" t="str">
        <f>OF!C127</f>
        <v>1- 2 km</v>
      </c>
      <c r="D17" s="245">
        <f>OF!D127</f>
        <v>0</v>
      </c>
      <c r="E17" s="457">
        <v>4</v>
      </c>
      <c r="F17" s="458">
        <f t="shared" si="0"/>
        <v>0</v>
      </c>
      <c r="G17" s="474"/>
      <c r="H17" s="2180"/>
      <c r="I17" s="2319"/>
    </row>
    <row r="18" spans="1:9" ht="15" customHeight="1" thickBot="1">
      <c r="A18" s="2315"/>
      <c r="B18" s="2342"/>
      <c r="C18" s="422" t="str">
        <f>OF!C128</f>
        <v>&gt;2 km, or wetland lacks an outlet.</v>
      </c>
      <c r="D18" s="246">
        <f>OF!D128</f>
        <v>0</v>
      </c>
      <c r="E18" s="462">
        <v>6</v>
      </c>
      <c r="F18" s="463">
        <f t="shared" si="0"/>
        <v>0</v>
      </c>
      <c r="G18" s="464"/>
      <c r="H18" s="2187"/>
      <c r="I18" s="2322"/>
    </row>
    <row r="19" spans="1:9" ht="30" customHeight="1" thickBot="1">
      <c r="A19" s="2343" t="str">
        <f>OF!A129</f>
        <v>OF28</v>
      </c>
      <c r="B19" s="2340" t="str">
        <f>OF!B129</f>
        <v>Growing Degree Days</v>
      </c>
      <c r="C19" s="413" t="str">
        <f>OF!C129</f>
        <v>According to Figure A-1 in Appendix A of the Manual, the mean annual Growing Degree Days (GDD) in the vicinity of the AA is approximately:</v>
      </c>
      <c r="D19" s="454"/>
      <c r="E19" s="454"/>
      <c r="F19" s="455"/>
      <c r="G19" s="465">
        <f>MAX(F20:F25)/MAX(E20:E25)</f>
        <v>0</v>
      </c>
      <c r="H19" s="2181" t="s">
        <v>1868</v>
      </c>
      <c r="I19" s="2321" t="s">
        <v>2073</v>
      </c>
    </row>
    <row r="20" spans="1:9" ht="15" customHeight="1">
      <c r="A20" s="2329"/>
      <c r="B20" s="2341"/>
      <c r="C20" s="414" t="str">
        <f>OF!C130</f>
        <v>800-1000 days</v>
      </c>
      <c r="D20" s="263">
        <f>OF!D130</f>
        <v>0</v>
      </c>
      <c r="E20" s="457">
        <v>1</v>
      </c>
      <c r="F20" s="458">
        <f t="shared" ref="F20:F25" si="1">D20*E20</f>
        <v>0</v>
      </c>
      <c r="G20" s="466"/>
      <c r="H20" s="2180"/>
      <c r="I20" s="2319"/>
    </row>
    <row r="21" spans="1:9" ht="15" customHeight="1">
      <c r="A21" s="2329"/>
      <c r="B21" s="2341"/>
      <c r="C21" s="415" t="str">
        <f>OF!C131</f>
        <v>1000-1200</v>
      </c>
      <c r="D21" s="264">
        <f>OF!D131</f>
        <v>0</v>
      </c>
      <c r="E21" s="457">
        <v>2</v>
      </c>
      <c r="F21" s="458">
        <f t="shared" si="1"/>
        <v>0</v>
      </c>
      <c r="G21" s="467"/>
      <c r="H21" s="2180"/>
      <c r="I21" s="2319"/>
    </row>
    <row r="22" spans="1:9" ht="15" customHeight="1">
      <c r="A22" s="2329"/>
      <c r="B22" s="2341"/>
      <c r="C22" s="415" t="str">
        <f>OF!C132</f>
        <v>1200-1400</v>
      </c>
      <c r="D22" s="264">
        <f>OF!D132</f>
        <v>0</v>
      </c>
      <c r="E22" s="457">
        <v>3</v>
      </c>
      <c r="F22" s="458">
        <f t="shared" si="1"/>
        <v>0</v>
      </c>
      <c r="G22" s="467"/>
      <c r="H22" s="2180"/>
      <c r="I22" s="2319"/>
    </row>
    <row r="23" spans="1:9" ht="15" customHeight="1">
      <c r="A23" s="2329"/>
      <c r="B23" s="2341"/>
      <c r="C23" s="415" t="str">
        <f>OF!C133</f>
        <v>1400-1600</v>
      </c>
      <c r="D23" s="264">
        <f>OF!D133</f>
        <v>0</v>
      </c>
      <c r="E23" s="457">
        <v>4</v>
      </c>
      <c r="F23" s="458">
        <f t="shared" si="1"/>
        <v>0</v>
      </c>
      <c r="G23" s="466"/>
      <c r="H23" s="2180"/>
      <c r="I23" s="2319"/>
    </row>
    <row r="24" spans="1:9" ht="15" customHeight="1" thickBot="1">
      <c r="A24" s="2329"/>
      <c r="B24" s="2341"/>
      <c r="C24" s="415" t="str">
        <f>OF!C134</f>
        <v>1600-1800</v>
      </c>
      <c r="D24" s="264">
        <f>OF!D134</f>
        <v>0</v>
      </c>
      <c r="E24" s="462">
        <v>5</v>
      </c>
      <c r="F24" s="458">
        <f t="shared" si="1"/>
        <v>0</v>
      </c>
      <c r="G24" s="468"/>
      <c r="H24" s="2180"/>
      <c r="I24" s="2319"/>
    </row>
    <row r="25" spans="1:9" ht="15" customHeight="1" thickBot="1">
      <c r="A25" s="2330"/>
      <c r="B25" s="2342"/>
      <c r="C25" s="416" t="str">
        <f>OF!C135</f>
        <v>&gt;1800 days</v>
      </c>
      <c r="D25" s="269">
        <f>OF!D135</f>
        <v>0</v>
      </c>
      <c r="E25" s="462">
        <v>6</v>
      </c>
      <c r="F25" s="463">
        <f t="shared" si="1"/>
        <v>0</v>
      </c>
      <c r="G25" s="469"/>
      <c r="H25" s="2187"/>
      <c r="I25" s="2320"/>
    </row>
    <row r="26" spans="1:9" ht="58.8" customHeight="1" thickBot="1">
      <c r="A26" s="2343" t="str">
        <f>F!A63</f>
        <v>F12</v>
      </c>
      <c r="B26" s="2340" t="str">
        <f>F!B63</f>
        <v xml:space="preserve">Ground Irregularity </v>
      </c>
      <c r="C26" s="425"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26" s="454"/>
      <c r="E26" s="454"/>
      <c r="F26" s="473"/>
      <c r="G26" s="465">
        <f>MAX(F27:F29)/MAX(E27:E29)</f>
        <v>0</v>
      </c>
      <c r="H26" s="2316" t="s">
        <v>2226</v>
      </c>
      <c r="I26" s="2318" t="s">
        <v>371</v>
      </c>
    </row>
    <row r="27" spans="1:9" ht="15" customHeight="1">
      <c r="A27" s="2314"/>
      <c r="B27" s="2336"/>
      <c r="C27" s="426" t="str">
        <f>F!C64</f>
        <v>Few or none (minimal microtopography; &lt;1% has such features).</v>
      </c>
      <c r="D27" s="263">
        <f>F!D64</f>
        <v>0</v>
      </c>
      <c r="E27" s="457">
        <v>1</v>
      </c>
      <c r="F27" s="472">
        <f>D27*E27</f>
        <v>0</v>
      </c>
      <c r="G27" s="479"/>
      <c r="H27" s="2201"/>
      <c r="I27" s="2319"/>
    </row>
    <row r="28" spans="1:9" ht="15" customHeight="1">
      <c r="A28" s="2314"/>
      <c r="B28" s="2336"/>
      <c r="C28" s="427" t="str">
        <f>F!C65</f>
        <v>Intermediate.</v>
      </c>
      <c r="D28" s="264">
        <f>F!D65</f>
        <v>0</v>
      </c>
      <c r="E28" s="457">
        <v>2</v>
      </c>
      <c r="F28" s="472">
        <f>D28*E28</f>
        <v>0</v>
      </c>
      <c r="G28" s="467"/>
      <c r="H28" s="2201"/>
      <c r="I28" s="2319"/>
    </row>
    <row r="29" spans="1:9" ht="15" customHeight="1" thickBot="1">
      <c r="A29" s="2315"/>
      <c r="B29" s="2337"/>
      <c r="C29" s="428" t="str">
        <f>F!C66</f>
        <v>Several (extensive micro-topography).</v>
      </c>
      <c r="D29" s="269">
        <f>F!D66</f>
        <v>0</v>
      </c>
      <c r="E29" s="462">
        <v>3</v>
      </c>
      <c r="F29" s="463">
        <f>D29*E29</f>
        <v>0</v>
      </c>
      <c r="G29" s="469"/>
      <c r="H29" s="2317"/>
      <c r="I29" s="2322"/>
    </row>
    <row r="30" spans="1:9" ht="51" customHeight="1" thickBot="1">
      <c r="A30" s="2348" t="str">
        <f>F!A71</f>
        <v>F14</v>
      </c>
      <c r="B30" s="2325" t="str">
        <f>F!B71</f>
        <v>Soil Texture</v>
      </c>
      <c r="C30" s="432" t="str">
        <f>F!C71</f>
        <v xml:space="preserve">In parts of the AA that lack persistent water, the texture of soil in the uppermost layer is mostly:  [To determine this, use a trowel to check in at least 3 widely spaced locations, and use the soil texture key (Figure A-7 in the Manual. ] </v>
      </c>
      <c r="D30" s="454"/>
      <c r="E30" s="470"/>
      <c r="F30" s="476"/>
      <c r="G30" s="471">
        <f>MAX(F31:F35)/MAX(E31:E35)</f>
        <v>0</v>
      </c>
      <c r="H30" s="2201" t="s">
        <v>1812</v>
      </c>
      <c r="I30" s="2321" t="s">
        <v>717</v>
      </c>
    </row>
    <row r="31" spans="1:9" ht="18" customHeight="1">
      <c r="A31" s="2348"/>
      <c r="B31" s="2325"/>
      <c r="C31" s="433" t="str">
        <f>F!C72</f>
        <v>Loamy: includes loam, sandy loam.</v>
      </c>
      <c r="D31" s="266">
        <f>F!D72</f>
        <v>0</v>
      </c>
      <c r="E31" s="457">
        <v>3</v>
      </c>
      <c r="F31" s="458">
        <f>D31*E31</f>
        <v>0</v>
      </c>
      <c r="G31" s="477"/>
      <c r="H31" s="2201"/>
      <c r="I31" s="2319"/>
    </row>
    <row r="32" spans="1:9" ht="18" customHeight="1">
      <c r="A32" s="2348"/>
      <c r="B32" s="2325"/>
      <c r="C32" s="434" t="str">
        <f>F!C73</f>
        <v>Fines: includes silt, clay, clay loam, silty clay, silty clay loam, sandy clay, sandy clay loam.</v>
      </c>
      <c r="D32" s="267">
        <f>F!D73</f>
        <v>0</v>
      </c>
      <c r="E32" s="457">
        <v>1</v>
      </c>
      <c r="F32" s="458">
        <f>D32*E32</f>
        <v>0</v>
      </c>
      <c r="G32" s="474"/>
      <c r="H32" s="2201"/>
      <c r="I32" s="2319"/>
    </row>
    <row r="33" spans="1:9" ht="18" customHeight="1">
      <c r="A33" s="2348"/>
      <c r="B33" s="2325"/>
      <c r="C33" s="434" t="str">
        <f>F!C74</f>
        <v>Peat, to 40 cm depth or greater.</v>
      </c>
      <c r="D33" s="267">
        <f>F!D74</f>
        <v>0</v>
      </c>
      <c r="E33" s="457">
        <v>5</v>
      </c>
      <c r="F33" s="458">
        <f>D33*E33</f>
        <v>0</v>
      </c>
      <c r="G33" s="474"/>
      <c r="H33" s="2201"/>
      <c r="I33" s="2319"/>
    </row>
    <row r="34" spans="1:9" ht="18" customHeight="1">
      <c r="A34" s="2348"/>
      <c r="B34" s="2325"/>
      <c r="C34" s="434" t="str">
        <f>F!C75</f>
        <v xml:space="preserve">Peat or organic &lt;40 cm deep. </v>
      </c>
      <c r="D34" s="267">
        <f>F!D75</f>
        <v>0</v>
      </c>
      <c r="E34" s="457">
        <v>4</v>
      </c>
      <c r="F34" s="458">
        <f>D34*E34</f>
        <v>0</v>
      </c>
      <c r="G34" s="474"/>
      <c r="H34" s="2201"/>
      <c r="I34" s="2319"/>
    </row>
    <row r="35" spans="1:9" ht="18" customHeight="1" thickBot="1">
      <c r="A35" s="2348"/>
      <c r="B35" s="2325"/>
      <c r="C35" s="1637" t="str">
        <f>F!C76</f>
        <v>Coarse: includes sand, loamy sand, gravel, cobble, stones, boulders, fluvents, fluvaquents, riverwash.</v>
      </c>
      <c r="D35" s="278">
        <f>F!D76</f>
        <v>0</v>
      </c>
      <c r="E35" s="461">
        <v>2</v>
      </c>
      <c r="F35" s="472">
        <f>D35*E35</f>
        <v>0</v>
      </c>
      <c r="G35" s="460"/>
      <c r="H35" s="2201"/>
      <c r="I35" s="2320"/>
    </row>
    <row r="36" spans="1:9" ht="30" customHeight="1" thickBot="1">
      <c r="A36" s="2313" t="str">
        <f>F!A134</f>
        <v>F27</v>
      </c>
      <c r="B36" s="2323" t="str">
        <f>F!B134</f>
        <v>% of AA that is Flooded Only Seasonally</v>
      </c>
      <c r="C36" s="411" t="str">
        <f>F!C134</f>
        <v>The percentage of the AA that is covered by unfrozen surface water only during the wettest time of the year during most years is:</v>
      </c>
      <c r="D36" s="454"/>
      <c r="E36" s="454"/>
      <c r="F36" s="475"/>
      <c r="G36" s="456">
        <f>IF((AllSat1&gt;0),"",MAX(F37:F41)/MAX(E37:E41))</f>
        <v>0</v>
      </c>
      <c r="H36" s="2316" t="s">
        <v>2230</v>
      </c>
      <c r="I36" s="2318" t="s">
        <v>365</v>
      </c>
    </row>
    <row r="37" spans="1:9" ht="15" customHeight="1">
      <c r="A37" s="2314"/>
      <c r="B37" s="2336"/>
      <c r="C37" s="423" t="str">
        <f>F!C135</f>
        <v xml:space="preserve">None, or &lt;0.01 hectare and &lt;1% of the AA. </v>
      </c>
      <c r="D37" s="355">
        <f>F!D135</f>
        <v>0</v>
      </c>
      <c r="E37" s="457">
        <v>0</v>
      </c>
      <c r="F37" s="472">
        <f>D37*E37</f>
        <v>0</v>
      </c>
      <c r="G37" s="459"/>
      <c r="H37" s="2201"/>
      <c r="I37" s="2319"/>
    </row>
    <row r="38" spans="1:9" ht="15" customHeight="1">
      <c r="A38" s="2314"/>
      <c r="B38" s="2336"/>
      <c r="C38" s="424" t="str">
        <f>F!C136</f>
        <v>1-20% of the AA, or &lt;1% but &gt;0.01 ha.</v>
      </c>
      <c r="D38" s="265">
        <f>F!D136</f>
        <v>0</v>
      </c>
      <c r="E38" s="457">
        <v>1</v>
      </c>
      <c r="F38" s="472">
        <f>D38*E38</f>
        <v>0</v>
      </c>
      <c r="G38" s="460"/>
      <c r="H38" s="2201"/>
      <c r="I38" s="2319"/>
    </row>
    <row r="39" spans="1:9" ht="15" customHeight="1">
      <c r="A39" s="2314"/>
      <c r="B39" s="2336"/>
      <c r="C39" s="424" t="str">
        <f>F!C137</f>
        <v>20-50% of the AA.</v>
      </c>
      <c r="D39" s="265">
        <f>F!D137</f>
        <v>0</v>
      </c>
      <c r="E39" s="457">
        <v>2</v>
      </c>
      <c r="F39" s="472">
        <f>D39*E39</f>
        <v>0</v>
      </c>
      <c r="G39" s="460"/>
      <c r="H39" s="2201"/>
      <c r="I39" s="2319"/>
    </row>
    <row r="40" spans="1:9" ht="15" customHeight="1">
      <c r="A40" s="2314"/>
      <c r="B40" s="2336"/>
      <c r="C40" s="424" t="str">
        <f>F!C138</f>
        <v>50-95% of the AA.</v>
      </c>
      <c r="D40" s="265">
        <f>F!D138</f>
        <v>0</v>
      </c>
      <c r="E40" s="457">
        <v>3</v>
      </c>
      <c r="F40" s="472">
        <f>D40*E40</f>
        <v>0</v>
      </c>
      <c r="G40" s="460"/>
      <c r="H40" s="2201"/>
      <c r="I40" s="2319"/>
    </row>
    <row r="41" spans="1:9" ht="15" customHeight="1" thickBot="1">
      <c r="A41" s="2315"/>
      <c r="B41" s="2337"/>
      <c r="C41" s="428" t="str">
        <f>F!C139</f>
        <v xml:space="preserve">&gt;95% of the AA. </v>
      </c>
      <c r="D41" s="269">
        <f>F!D139</f>
        <v>0</v>
      </c>
      <c r="E41" s="462">
        <v>4</v>
      </c>
      <c r="F41" s="463">
        <f>D41*E41</f>
        <v>0</v>
      </c>
      <c r="G41" s="464"/>
      <c r="H41" s="2317"/>
      <c r="I41" s="2322"/>
    </row>
    <row r="42" spans="1:9" ht="30" customHeight="1" thickBot="1">
      <c r="A42" s="2343" t="str">
        <f>F!A140</f>
        <v>F28</v>
      </c>
      <c r="B42" s="2340" t="str">
        <f>F!B140</f>
        <v>Annual Water Fluctuation Range</v>
      </c>
      <c r="C42" s="425" t="str">
        <f>F!C140</f>
        <v>The annual fluctuation in surface water level within most of the parts of the AA that contain surface water is:</v>
      </c>
      <c r="D42" s="454"/>
      <c r="E42" s="454"/>
      <c r="F42" s="475"/>
      <c r="G42" s="465">
        <f>IF((AllSat1=1),"",MAX(F43:F46)/MAX(E43:E46))</f>
        <v>0</v>
      </c>
      <c r="H42" s="2316" t="s">
        <v>1364</v>
      </c>
      <c r="I42" s="2318" t="s">
        <v>367</v>
      </c>
    </row>
    <row r="43" spans="1:9" ht="15" customHeight="1">
      <c r="A43" s="2314"/>
      <c r="B43" s="2336"/>
      <c r="C43" s="426" t="str">
        <f>F!C141</f>
        <v>&lt;10 cm change (stable or nearly so).</v>
      </c>
      <c r="D43" s="263">
        <f>F!D141</f>
        <v>0</v>
      </c>
      <c r="E43" s="457">
        <v>0</v>
      </c>
      <c r="F43" s="472">
        <f>D43*E43</f>
        <v>0</v>
      </c>
      <c r="G43" s="466"/>
      <c r="H43" s="2201"/>
      <c r="I43" s="2319"/>
    </row>
    <row r="44" spans="1:9" ht="15" customHeight="1">
      <c r="A44" s="2314"/>
      <c r="B44" s="2336"/>
      <c r="C44" s="427" t="str">
        <f>F!C142</f>
        <v>10 cm - 50 cm change.</v>
      </c>
      <c r="D44" s="264">
        <f>F!D142</f>
        <v>0</v>
      </c>
      <c r="E44" s="457">
        <v>2</v>
      </c>
      <c r="F44" s="472">
        <f>D44*E44</f>
        <v>0</v>
      </c>
      <c r="G44" s="468"/>
      <c r="H44" s="2201"/>
      <c r="I44" s="2319"/>
    </row>
    <row r="45" spans="1:9" ht="15" customHeight="1">
      <c r="A45" s="2314"/>
      <c r="B45" s="2336"/>
      <c r="C45" s="427" t="str">
        <f>F!C143</f>
        <v>0.5 - 1 m change.</v>
      </c>
      <c r="D45" s="264">
        <f>F!D143</f>
        <v>0</v>
      </c>
      <c r="E45" s="457">
        <v>3</v>
      </c>
      <c r="F45" s="472">
        <f>D45*E45</f>
        <v>0</v>
      </c>
      <c r="G45" s="468"/>
      <c r="H45" s="2201"/>
      <c r="I45" s="2319"/>
    </row>
    <row r="46" spans="1:9" ht="15" customHeight="1" thickBot="1">
      <c r="A46" s="2315"/>
      <c r="B46" s="2337"/>
      <c r="C46" s="428" t="str">
        <f>F!C144</f>
        <v>1-2 m change.</v>
      </c>
      <c r="D46" s="269">
        <f>F!D144</f>
        <v>0</v>
      </c>
      <c r="E46" s="462">
        <v>4</v>
      </c>
      <c r="F46" s="463">
        <f>D46*E46</f>
        <v>0</v>
      </c>
      <c r="G46" s="469"/>
      <c r="H46" s="2317"/>
      <c r="I46" s="2322"/>
    </row>
    <row r="47" spans="1:9" ht="31.95" customHeight="1" thickBot="1">
      <c r="A47" s="2328" t="str">
        <f>F!A157</f>
        <v>F31</v>
      </c>
      <c r="B47" s="2340" t="str">
        <f>F!B157</f>
        <v>% of Water That Is Ponded (not Flowing)</v>
      </c>
      <c r="C47" s="425" t="str">
        <f>F!C157</f>
        <v>During most times when surface water is present, the percentage that is ponded (stagnant, or flows so slowly that fine sediment is not held in suspension) is:</v>
      </c>
      <c r="D47" s="454"/>
      <c r="E47" s="454"/>
      <c r="F47" s="455"/>
      <c r="G47" s="456">
        <f>IF((AllSat1=1),"",MAX(F48:F52)/MAX(E48:E52))</f>
        <v>0</v>
      </c>
      <c r="H47" s="2316" t="s">
        <v>2345</v>
      </c>
      <c r="I47" s="2318" t="s">
        <v>366</v>
      </c>
    </row>
    <row r="48" spans="1:9" ht="27" customHeight="1">
      <c r="A48" s="2329"/>
      <c r="B48" s="2341"/>
      <c r="C48" s="426" t="str">
        <f>F!C158</f>
        <v>&lt;5% of the water, or it occupies &lt;100 sq.m cumulatively. Nearly all the surface water is flowing. SKIP to F34.</v>
      </c>
      <c r="D48" s="1165">
        <f>F!D158</f>
        <v>0</v>
      </c>
      <c r="E48" s="457">
        <v>0</v>
      </c>
      <c r="F48" s="472">
        <f>D48*E48</f>
        <v>0</v>
      </c>
      <c r="G48" s="460"/>
      <c r="H48" s="2201"/>
      <c r="I48" s="2319"/>
    </row>
    <row r="49" spans="1:9" ht="15" customHeight="1">
      <c r="A49" s="2329"/>
      <c r="B49" s="2341"/>
      <c r="C49" s="427" t="str">
        <f>F!C159</f>
        <v>5-30% of the water.</v>
      </c>
      <c r="D49" s="1166">
        <f>F!D159</f>
        <v>0</v>
      </c>
      <c r="E49" s="457">
        <v>2</v>
      </c>
      <c r="F49" s="472">
        <f>D49*E49</f>
        <v>0</v>
      </c>
      <c r="G49" s="460"/>
      <c r="H49" s="2201"/>
      <c r="I49" s="2319"/>
    </row>
    <row r="50" spans="1:9" ht="15" customHeight="1">
      <c r="A50" s="2329"/>
      <c r="B50" s="2341"/>
      <c r="C50" s="427" t="str">
        <f>F!C160</f>
        <v>30-70% of the water.</v>
      </c>
      <c r="D50" s="1166">
        <f>F!D160</f>
        <v>0</v>
      </c>
      <c r="E50" s="457">
        <v>3</v>
      </c>
      <c r="F50" s="472">
        <f>D50*E50</f>
        <v>0</v>
      </c>
      <c r="G50" s="460"/>
      <c r="H50" s="2201"/>
      <c r="I50" s="2319"/>
    </row>
    <row r="51" spans="1:9" ht="15" customHeight="1">
      <c r="A51" s="2329"/>
      <c r="B51" s="2341"/>
      <c r="C51" s="427" t="str">
        <f>F!C161</f>
        <v>70-95% of the water.</v>
      </c>
      <c r="D51" s="1166">
        <f>F!D161</f>
        <v>0</v>
      </c>
      <c r="E51" s="457">
        <v>4</v>
      </c>
      <c r="F51" s="472">
        <f>D51*E51</f>
        <v>0</v>
      </c>
      <c r="G51" s="460"/>
      <c r="H51" s="2201"/>
      <c r="I51" s="2319"/>
    </row>
    <row r="52" spans="1:9" ht="15" customHeight="1" thickBot="1">
      <c r="A52" s="2330"/>
      <c r="B52" s="2342"/>
      <c r="C52" s="428" t="str">
        <f>F!C162</f>
        <v>&gt;95% of the water.</v>
      </c>
      <c r="D52" s="1192">
        <f>F!D162</f>
        <v>0</v>
      </c>
      <c r="E52" s="462">
        <v>5</v>
      </c>
      <c r="F52" s="463">
        <f>D52*E52</f>
        <v>0</v>
      </c>
      <c r="G52" s="464"/>
      <c r="H52" s="2317"/>
      <c r="I52" s="2322"/>
    </row>
    <row r="53" spans="1:9" ht="30" customHeight="1" thickBot="1">
      <c r="A53" s="2313" t="str">
        <f>F!A200</f>
        <v>F42</v>
      </c>
      <c r="B53" s="2323" t="str">
        <f>F!B200</f>
        <v>Channel Connection &amp; Outflow Duration</v>
      </c>
      <c r="C53" s="411" t="str">
        <f>F!C200</f>
        <v>The most persistent surface water connection (outlet channel or pipe, ditch, or overbank water exchange) between the AA and the closest larger water body located downslope is:</v>
      </c>
      <c r="D53" s="454"/>
      <c r="E53" s="454"/>
      <c r="F53" s="475"/>
      <c r="G53" s="465">
        <f>MAX(F54:F58)/MAX(E54:E58)</f>
        <v>0</v>
      </c>
      <c r="H53" s="2316" t="s">
        <v>2229</v>
      </c>
      <c r="I53" s="2321" t="s">
        <v>368</v>
      </c>
    </row>
    <row r="54" spans="1:9" ht="18" customHeight="1">
      <c r="A54" s="2314"/>
      <c r="B54" s="2336"/>
      <c r="C54" s="170" t="str">
        <f>F!C201</f>
        <v>persistent (&gt;9 months/year, regardless of whether frozen or not).</v>
      </c>
      <c r="D54" s="261">
        <f>F!D201</f>
        <v>0</v>
      </c>
      <c r="E54" s="457">
        <v>1</v>
      </c>
      <c r="F54" s="472">
        <f>D54*E54</f>
        <v>0</v>
      </c>
      <c r="G54" s="466"/>
      <c r="H54" s="2201"/>
      <c r="I54" s="2319"/>
    </row>
    <row r="55" spans="1:9" ht="15" customHeight="1">
      <c r="A55" s="2314"/>
      <c r="B55" s="2336"/>
      <c r="C55" s="82" t="str">
        <f>F!C202</f>
        <v>seasonal (14 days to 9 months/year, not necessarily consecutive, including times when frozen).</v>
      </c>
      <c r="D55" s="245">
        <f>F!D202</f>
        <v>0</v>
      </c>
      <c r="E55" s="457">
        <v>2</v>
      </c>
      <c r="F55" s="472">
        <f>D55*E55</f>
        <v>0</v>
      </c>
      <c r="G55" s="468"/>
      <c r="H55" s="2201"/>
      <c r="I55" s="2319"/>
    </row>
    <row r="56" spans="1:9" ht="15" customHeight="1">
      <c r="A56" s="2314"/>
      <c r="B56" s="2336"/>
      <c r="C56" s="82" t="str">
        <f>F!C203</f>
        <v>temporary (&lt;14 days, not necessarily consecutive, but must be unfrozen).</v>
      </c>
      <c r="D56" s="245">
        <f>F!D203</f>
        <v>0</v>
      </c>
      <c r="E56" s="457">
        <v>3</v>
      </c>
      <c r="F56" s="472">
        <f>D56*E56</f>
        <v>0</v>
      </c>
      <c r="G56" s="468"/>
      <c r="H56" s="2201"/>
      <c r="I56" s="2319"/>
    </row>
    <row r="57" spans="1:9" ht="27" customHeight="1">
      <c r="A57" s="2314"/>
      <c r="B57" s="2336"/>
      <c r="C57" s="430" t="str">
        <f>F!C204</f>
        <v>none -- but maps show a stream or other water body that is downslope from the AA and within a distance that is less than the AA's length. SKIP to F44 (Tributary Channel).</v>
      </c>
      <c r="D57" s="337">
        <f>F!D204</f>
        <v>0</v>
      </c>
      <c r="E57" s="478">
        <v>9</v>
      </c>
      <c r="F57" s="472">
        <f>D57*E57</f>
        <v>0</v>
      </c>
      <c r="G57" s="468"/>
      <c r="H57" s="2201"/>
      <c r="I57" s="2319"/>
    </row>
    <row r="58" spans="1:9" ht="42" customHeight="1" thickBot="1">
      <c r="A58" s="2315"/>
      <c r="B58" s="2337"/>
      <c r="C58" s="431" t="str">
        <f>F!C205</f>
        <v>no surface water flows out of the wetland except possibly during extreme events (&lt;once per 10 years). Or, water flows only into a wetland, ditch, or lake that lacks an outlet. SKIP to F47 (pH Measurement).</v>
      </c>
      <c r="D58" s="338">
        <f>F!D205</f>
        <v>0</v>
      </c>
      <c r="E58" s="462">
        <v>10</v>
      </c>
      <c r="F58" s="463">
        <f>D58*E58</f>
        <v>0</v>
      </c>
      <c r="G58" s="469"/>
      <c r="H58" s="2317"/>
      <c r="I58" s="2320"/>
    </row>
    <row r="59" spans="1:9" ht="30" customHeight="1" thickBot="1">
      <c r="A59" s="2327" t="str">
        <f>F!A206</f>
        <v>F43</v>
      </c>
      <c r="B59" s="2336" t="str">
        <f>F!B206</f>
        <v xml:space="preserve">Outflow Confinement </v>
      </c>
      <c r="C59" s="411" t="str">
        <f>F!C206</f>
        <v>During major runoff events, in the places where surface water exits the AA or connected waters nearby, the water:</v>
      </c>
      <c r="D59" s="454"/>
      <c r="E59" s="470"/>
      <c r="F59" s="476"/>
      <c r="G59" s="471">
        <f>IF((OutNone + OutNone1&gt;0),"",IF((D62=1),0,IF((D60=1),1,0.5)))</f>
        <v>0.5</v>
      </c>
      <c r="H59" s="2201" t="s">
        <v>2259</v>
      </c>
      <c r="I59" s="2318" t="s">
        <v>369</v>
      </c>
    </row>
    <row r="60" spans="1:9" ht="42" customHeight="1">
      <c r="A60" s="2327"/>
      <c r="B60" s="2336"/>
      <c r="C60" s="417" t="str">
        <f>F!C207</f>
        <v>mostly passes through a pipe, culvert, narrowly breached dike, berm, beaver dam, or other partial obstruction (other than natural topography) that does not appear to drain the wetland artificially during most of the growing season.</v>
      </c>
      <c r="D60" s="262">
        <f>F!D207</f>
        <v>0</v>
      </c>
      <c r="E60" s="457">
        <v>3</v>
      </c>
      <c r="F60" s="458">
        <f>D60*E60</f>
        <v>0</v>
      </c>
      <c r="G60" s="477"/>
      <c r="H60" s="2201"/>
      <c r="I60" s="2319"/>
    </row>
    <row r="61" spans="1:9" ht="27" customHeight="1">
      <c r="A61" s="2327"/>
      <c r="B61" s="2336"/>
      <c r="C61" s="186" t="str">
        <f>F!C208</f>
        <v>leaves through natural exits (channels or diffuse outflow), not mainly through artificial or temporary features.</v>
      </c>
      <c r="D61" s="275">
        <f>F!D208</f>
        <v>0</v>
      </c>
      <c r="E61" s="457">
        <v>2</v>
      </c>
      <c r="F61" s="458">
        <f>D61*E61</f>
        <v>0</v>
      </c>
      <c r="G61" s="459"/>
      <c r="H61" s="2201"/>
      <c r="I61" s="2319"/>
    </row>
    <row r="62" spans="1:9" ht="27" customHeight="1" thickBot="1">
      <c r="A62" s="2327"/>
      <c r="B62" s="2336"/>
      <c r="C62" s="186" t="str">
        <f>F!C209</f>
        <v>exported more quickly than usual due to ditches or pipes within the AA (or connected to its outlet or within 10 m of the AA's edge) which drain the wetland artificially, or water is pumped out of the AA.</v>
      </c>
      <c r="D62" s="275">
        <f>F!D209</f>
        <v>0</v>
      </c>
      <c r="E62" s="461">
        <v>0</v>
      </c>
      <c r="F62" s="472">
        <f>D62*E62</f>
        <v>0</v>
      </c>
      <c r="G62" s="460"/>
      <c r="H62" s="2201"/>
      <c r="I62" s="2322"/>
    </row>
    <row r="63" spans="1:9" ht="34.200000000000003" customHeight="1" thickBot="1">
      <c r="A63" s="2313" t="str">
        <f>F!A212</f>
        <v>F46</v>
      </c>
      <c r="B63" s="2323" t="str">
        <f>F!B212</f>
        <v>Throughflow Resistance</v>
      </c>
      <c r="C63" s="411" t="str">
        <f>F!C212</f>
        <v>During its travel through the AA at the time of peak annual flow, water arriving in channels: [select only the ONE encountered by most of the incoming water].</v>
      </c>
      <c r="D63" s="454"/>
      <c r="E63" s="454"/>
      <c r="F63" s="473"/>
      <c r="G63" s="465">
        <f>IF(AND(Inflows=0,OutNone=1,OutNone1=1),"", MAX(F64:F68)/MAX(E64:E68))</f>
        <v>0</v>
      </c>
      <c r="H63" s="2316" t="s">
        <v>2228</v>
      </c>
      <c r="I63" s="2321" t="s">
        <v>370</v>
      </c>
    </row>
    <row r="64" spans="1:9" ht="42" customHeight="1">
      <c r="A64" s="2314"/>
      <c r="B64" s="2336"/>
      <c r="C64" s="17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64" s="261">
        <f>F!D213</f>
        <v>0</v>
      </c>
      <c r="E64" s="457">
        <v>0</v>
      </c>
      <c r="F64" s="458">
        <f>D64*E64</f>
        <v>0</v>
      </c>
      <c r="G64" s="479"/>
      <c r="H64" s="2201"/>
      <c r="I64" s="2319"/>
    </row>
    <row r="65" spans="1:9" ht="14.4" customHeight="1">
      <c r="A65" s="2314"/>
      <c r="B65" s="2336"/>
      <c r="C65" s="82" t="str">
        <f>F!C214</f>
        <v>bumps into herbaceous vegetation but mostly remains in fairly straight channels.</v>
      </c>
      <c r="D65" s="245">
        <f>F!D214</f>
        <v>0</v>
      </c>
      <c r="E65" s="457">
        <v>3</v>
      </c>
      <c r="F65" s="458">
        <f>D65*E65</f>
        <v>0</v>
      </c>
      <c r="G65" s="467"/>
      <c r="H65" s="2201"/>
      <c r="I65" s="2319"/>
    </row>
    <row r="66" spans="1:9" ht="27" customHeight="1">
      <c r="A66" s="2314"/>
      <c r="B66" s="2336"/>
      <c r="C66" s="82" t="str">
        <f>F!C215</f>
        <v>bumps into herbaceous vegetation and mostly spreads throughout, or is in widely meandering, multi-branched, or braided channels.</v>
      </c>
      <c r="D66" s="245">
        <f>F!D215</f>
        <v>0</v>
      </c>
      <c r="E66" s="457">
        <v>4</v>
      </c>
      <c r="F66" s="458">
        <f>D66*E66</f>
        <v>0</v>
      </c>
      <c r="G66" s="467"/>
      <c r="H66" s="2201"/>
      <c r="I66" s="2319"/>
    </row>
    <row r="67" spans="1:9" ht="16.95" customHeight="1">
      <c r="A67" s="2314"/>
      <c r="B67" s="2336"/>
      <c r="C67" s="82" t="str">
        <f>F!C216</f>
        <v>bumps into tree trunks and/or shrub stems but mostly remains in fairly straight channels.</v>
      </c>
      <c r="D67" s="245">
        <f>F!D216</f>
        <v>0</v>
      </c>
      <c r="E67" s="457">
        <v>6</v>
      </c>
      <c r="F67" s="458">
        <f>D67*E67</f>
        <v>0</v>
      </c>
      <c r="G67" s="467"/>
      <c r="H67" s="2201"/>
      <c r="I67" s="2319"/>
    </row>
    <row r="68" spans="1:9" ht="27" customHeight="1" thickBot="1">
      <c r="A68" s="2315"/>
      <c r="B68" s="2337"/>
      <c r="C68" s="438" t="str">
        <f>F!C217</f>
        <v>bumps into tree trunks and/or shrub stems and follows a fairly indirect path from entrance to exit (meandering, multi-branched, or braided).</v>
      </c>
      <c r="D68" s="246">
        <f>F!D217</f>
        <v>0</v>
      </c>
      <c r="E68" s="462">
        <v>8</v>
      </c>
      <c r="F68" s="463">
        <f>D68*E68</f>
        <v>0</v>
      </c>
      <c r="G68" s="469"/>
      <c r="H68" s="2317"/>
      <c r="I68" s="2320"/>
    </row>
    <row r="69" spans="1:9" ht="21" customHeight="1" thickBot="1">
      <c r="A69" s="2324" t="str">
        <f>F!A231</f>
        <v>F50</v>
      </c>
      <c r="B69" s="2324" t="str">
        <f>F!B231</f>
        <v>Groundwater Strength of Evidence</v>
      </c>
      <c r="C69" s="432" t="str">
        <f>F!C231</f>
        <v xml:space="preserve">Select first applicable choice. </v>
      </c>
      <c r="D69" s="454"/>
      <c r="E69" s="454"/>
      <c r="F69" s="455"/>
      <c r="G69" s="456">
        <f>IF((D72=1),"",MAX(F70:F72)/MAX(E70:E72))</f>
        <v>0</v>
      </c>
      <c r="H69" s="2181" t="s">
        <v>2260</v>
      </c>
      <c r="I69" s="2318" t="s">
        <v>718</v>
      </c>
    </row>
    <row r="70" spans="1:9" ht="41.4">
      <c r="A70" s="2325"/>
      <c r="B70" s="2325"/>
      <c r="C70" s="433" t="str">
        <f>F!C232</f>
        <v>Groundwater monitoring has demonstrated that groundwater primarily discharges to the wetland for longer periods during the year than periods when the wetland recharges the groundwater. Or, springs are known to be present within the AA.</v>
      </c>
      <c r="D70" s="266">
        <f>F!D232</f>
        <v>0</v>
      </c>
      <c r="E70" s="457">
        <v>1</v>
      </c>
      <c r="F70" s="458">
        <f>D70*E70</f>
        <v>0</v>
      </c>
      <c r="G70" s="477"/>
      <c r="H70" s="2180"/>
      <c r="I70" s="2319"/>
    </row>
    <row r="71" spans="1:9" ht="41.4">
      <c r="A71" s="2325"/>
      <c r="B71" s="2325"/>
      <c r="C71" s="434" t="str">
        <f>F!C233</f>
        <v>The upper end of the AA is located very close to the base of (but mostly not ON) a natural slope much steeper (usually &gt;15%) than that within the AA and longer than 100 m AND if surface water was measured, its pH (Q47) is &gt;5.5.</v>
      </c>
      <c r="D71" s="267">
        <f>F!D233</f>
        <v>0</v>
      </c>
      <c r="E71" s="457">
        <v>2</v>
      </c>
      <c r="F71" s="458">
        <f>D71*E71</f>
        <v>0</v>
      </c>
      <c r="G71" s="474"/>
      <c r="H71" s="2180"/>
      <c r="I71" s="2319"/>
    </row>
    <row r="72" spans="1:9" ht="27" customHeight="1" thickBot="1">
      <c r="A72" s="2326"/>
      <c r="B72" s="2325"/>
      <c r="C72" s="1637" t="str">
        <f>F!C234</f>
        <v>Neither of above is true, although some groundwater may discharge to or flow through the AA. Or groundwater influx is unknown.</v>
      </c>
      <c r="D72" s="278">
        <f>F!D234</f>
        <v>0</v>
      </c>
      <c r="E72" s="461">
        <v>3</v>
      </c>
      <c r="F72" s="472">
        <f>D72*E72</f>
        <v>0</v>
      </c>
      <c r="G72" s="460"/>
      <c r="H72" s="2180"/>
      <c r="I72" s="2320"/>
    </row>
    <row r="73" spans="1:9" ht="21" customHeight="1" thickBot="1">
      <c r="A73" s="2323" t="str">
        <f>F!A235</f>
        <v>F51</v>
      </c>
      <c r="B73" s="2323" t="str">
        <f>F!B235</f>
        <v>Internal Gradient</v>
      </c>
      <c r="C73" s="411" t="str">
        <f>F!C235</f>
        <v>The gradient along most of the flow path within the AA is:</v>
      </c>
      <c r="D73" s="1642"/>
      <c r="E73" s="454"/>
      <c r="F73" s="473"/>
      <c r="G73" s="456">
        <f>MAX(F74:F77)/MAX(E74:E77)</f>
        <v>0</v>
      </c>
      <c r="H73" s="2316" t="s">
        <v>1913</v>
      </c>
      <c r="I73" s="2318" t="s">
        <v>372</v>
      </c>
    </row>
    <row r="74" spans="1:9" ht="15" customHeight="1">
      <c r="A74" s="2336"/>
      <c r="B74" s="2336"/>
      <c r="C74" s="1638" t="str">
        <f>F!C236</f>
        <v>&lt;2% or the AA has no surface water outlet (not even seasonally)</v>
      </c>
      <c r="D74" s="245">
        <f>F!D236</f>
        <v>0</v>
      </c>
      <c r="E74" s="478">
        <v>5</v>
      </c>
      <c r="F74" s="458">
        <f>D74*E74</f>
        <v>0</v>
      </c>
      <c r="G74" s="477"/>
      <c r="H74" s="2201"/>
      <c r="I74" s="2319"/>
    </row>
    <row r="75" spans="1:9" ht="15" customHeight="1">
      <c r="A75" s="2336"/>
      <c r="B75" s="2336"/>
      <c r="C75" s="1639" t="str">
        <f>F!C237</f>
        <v>2-5%</v>
      </c>
      <c r="D75" s="262">
        <f>F!D237</f>
        <v>0</v>
      </c>
      <c r="E75" s="478">
        <v>3</v>
      </c>
      <c r="F75" s="458">
        <f>D75*E75</f>
        <v>0</v>
      </c>
      <c r="G75" s="474"/>
      <c r="H75" s="2201"/>
      <c r="I75" s="2319"/>
    </row>
    <row r="76" spans="1:9" ht="15" customHeight="1">
      <c r="A76" s="2336"/>
      <c r="B76" s="2336"/>
      <c r="C76" s="1639" t="str">
        <f>F!C238</f>
        <v>6-10%</v>
      </c>
      <c r="D76" s="275">
        <f>F!D238</f>
        <v>0</v>
      </c>
      <c r="E76" s="478">
        <v>2</v>
      </c>
      <c r="F76" s="458">
        <f>D76*E76</f>
        <v>0</v>
      </c>
      <c r="G76" s="474"/>
      <c r="H76" s="2201"/>
      <c r="I76" s="2319"/>
    </row>
    <row r="77" spans="1:9" ht="15" customHeight="1" thickBot="1">
      <c r="A77" s="2337"/>
      <c r="B77" s="2337"/>
      <c r="C77" s="1640" t="str">
        <f>F!C239</f>
        <v>&gt;10%</v>
      </c>
      <c r="D77" s="246">
        <f>F!D239</f>
        <v>0</v>
      </c>
      <c r="E77" s="1641">
        <v>0</v>
      </c>
      <c r="F77" s="463">
        <f>D77*E77</f>
        <v>0</v>
      </c>
      <c r="G77" s="464"/>
      <c r="H77" s="2184"/>
      <c r="I77" s="2322"/>
    </row>
    <row r="78" spans="1:9" s="138" customFormat="1" ht="36" customHeight="1" thickBot="1">
      <c r="A78" s="1614" t="s">
        <v>168</v>
      </c>
      <c r="B78" s="1615" t="s">
        <v>2401</v>
      </c>
      <c r="C78" s="1617" t="s">
        <v>1354</v>
      </c>
      <c r="D78" s="1616" t="s">
        <v>64</v>
      </c>
      <c r="E78" s="1643" t="s">
        <v>1383</v>
      </c>
      <c r="F78" s="1644" t="s">
        <v>1384</v>
      </c>
      <c r="G78" s="1645" t="s">
        <v>1293</v>
      </c>
      <c r="H78" s="1614" t="s">
        <v>1294</v>
      </c>
      <c r="I78" s="1646" t="s">
        <v>2623</v>
      </c>
    </row>
    <row r="79" spans="1:9" ht="73.2" customHeight="1" thickBot="1">
      <c r="A79" s="1340" t="str">
        <f>OF!A87</f>
        <v>OF16</v>
      </c>
      <c r="B79" s="1235" t="str">
        <f>OF!B87</f>
        <v>Flood Zone</v>
      </c>
      <c r="C79" s="1345" t="str">
        <f>OF!C87</f>
        <v xml:space="preserve">The AA is within a mapped Flood Zone or Flood Risk area, or an area in which river- or stream-associated floods within the past 20 years have damaged bridges, roads, buildings, or other infrastructure (not farmlands) within 5 km downslope from the AA. The floods must not be related to tidal influence or waves.  If true, enter “1” in next column. If neither are true AND AA is not in a river floodplain, enter “0”  and SKIP to OF18. Otherwise, change to blank before skipping to OF18. </v>
      </c>
      <c r="D79" s="1147">
        <f>IF((OF!D87=""),"",OF!D87)</f>
        <v>0</v>
      </c>
      <c r="E79" s="1341"/>
      <c r="F79" s="455"/>
      <c r="G79" s="1342">
        <f>IF((D79=""),"",D79)</f>
        <v>0</v>
      </c>
      <c r="H79" s="1481" t="s">
        <v>733</v>
      </c>
      <c r="I79" s="1477" t="s">
        <v>373</v>
      </c>
    </row>
    <row r="80" spans="1:9" ht="114" customHeight="1" thickBot="1">
      <c r="A80" s="1340" t="str">
        <f>OF!A88</f>
        <v>OF17</v>
      </c>
      <c r="B80" s="1445" t="str">
        <f>OF!B88</f>
        <v>Flood Damage</v>
      </c>
      <c r="C80" s="1445" t="str">
        <f>OF!C88</f>
        <v xml:space="preserve">Within the mapped Flood Zone, Flood Risk area, or area with known flood damage, ALL the following are true (If all true, enter “1” in next column. If false, enter "0")
(a) there are bridges, roads, buildings, or other infrastructure (not just farmlands) within 5 km downslope from the AA that are vulnerable to damaging floods;
(b) the damages would be caused mainly by rising river levels associated with precipitation and/or snowmelt, not primarily by high tides, hillslope runoff, or river ice jams, AND
(c) between the AA and the damage area, peak flow in a connecting channel (if any) is NOT regulated by dams.
</v>
      </c>
      <c r="D80" s="1448">
        <f>IF((OF!D88=""),"",OF!D88)</f>
        <v>0</v>
      </c>
      <c r="E80" s="1341"/>
      <c r="F80" s="455"/>
      <c r="G80" s="1348" t="str">
        <f>IF((D79=0),"",D80)</f>
        <v/>
      </c>
      <c r="H80" s="1243" t="s">
        <v>166</v>
      </c>
      <c r="I80" s="123" t="s">
        <v>2253</v>
      </c>
    </row>
    <row r="81" spans="1:9" ht="99" customHeight="1" thickBot="1">
      <c r="A81" s="2323" t="str">
        <f>OF!A89</f>
        <v>OF18</v>
      </c>
      <c r="B81" s="2323" t="str">
        <f>OF!B89</f>
        <v>Relative Elevation in Watershed</v>
      </c>
      <c r="C81" s="1236" t="str">
        <f>OF!C89</f>
        <v>To view watersheds, open Google Earth and then the NB_Watersheds.kmz file that accompanies this calculator. Determine the AA's position in its watershed as follows: 
1) If the AA is on a channel wider than 10 m, or has both inlet &amp; outlet and is closer to the watershed's outlet than to its upper end, check "lower 1/3.” 
2) If the AA is the source of a headwater stream, or lacks an outlet and is close to the watershed's outer margin, then check "upper 1/3.”  For all other conditions, check "middle 1/3".</v>
      </c>
      <c r="D81" s="454"/>
      <c r="E81" s="454"/>
      <c r="F81" s="1346"/>
      <c r="G81" s="1348">
        <f>(MAX(F82:F84)/MAX(E82:E84))</f>
        <v>0</v>
      </c>
      <c r="H81" s="2360" t="s">
        <v>1916</v>
      </c>
      <c r="I81" s="2321" t="s">
        <v>1917</v>
      </c>
    </row>
    <row r="82" spans="1:9" ht="13.8">
      <c r="A82" s="2336"/>
      <c r="B82" s="2314"/>
      <c r="C82" s="1344" t="str">
        <f>OF!C90</f>
        <v>in the upper one-third of its watershed.</v>
      </c>
      <c r="D82" s="245">
        <f>OF!D90</f>
        <v>0</v>
      </c>
      <c r="E82" s="457">
        <v>3</v>
      </c>
      <c r="F82" s="458">
        <f>D82*E82</f>
        <v>0</v>
      </c>
      <c r="G82" s="458"/>
      <c r="H82" s="2361"/>
      <c r="I82" s="2319"/>
    </row>
    <row r="83" spans="1:9" ht="13.8">
      <c r="A83" s="2336"/>
      <c r="B83" s="2314"/>
      <c r="C83" s="1344" t="str">
        <f>OF!C91</f>
        <v>in the middle one-third of its watershed.</v>
      </c>
      <c r="D83" s="245">
        <f>OF!D91</f>
        <v>0</v>
      </c>
      <c r="E83" s="457">
        <v>2</v>
      </c>
      <c r="F83" s="458">
        <f>D83*E83</f>
        <v>0</v>
      </c>
      <c r="G83" s="458"/>
      <c r="H83" s="2361"/>
      <c r="I83" s="2319"/>
    </row>
    <row r="84" spans="1:9" ht="14.4" thickBot="1">
      <c r="A84" s="2337"/>
      <c r="B84" s="2315"/>
      <c r="C84" s="1347" t="str">
        <f>OF!C92</f>
        <v>in the lower one-third of its watershed.</v>
      </c>
      <c r="D84" s="246">
        <f>OF!D92</f>
        <v>0</v>
      </c>
      <c r="E84" s="462">
        <v>1</v>
      </c>
      <c r="F84" s="458">
        <f>D84*E84</f>
        <v>0</v>
      </c>
      <c r="G84" s="463"/>
      <c r="H84" s="2362"/>
      <c r="I84" s="2320"/>
    </row>
    <row r="85" spans="1:9" ht="57" customHeight="1" thickBot="1">
      <c r="A85" s="2314" t="str">
        <f>OF!A110</f>
        <v>OF24</v>
      </c>
      <c r="B85" s="2336" t="str">
        <f>OF!B110</f>
        <v>Unvegetated Surface in the Contributing Area</v>
      </c>
      <c r="C85" s="561" t="str">
        <f>OF!C110</f>
        <v>The proportion of the AA's contributing area (measured to no more than 1000 m upslope) that is comprised of buildings, roads, parking lots, other pavement, exposed bedrock, landslides, and other mostly-bare surface is about :</v>
      </c>
      <c r="D85" s="470"/>
      <c r="E85" s="470"/>
      <c r="F85" s="476"/>
      <c r="G85" s="1343">
        <f>IF((NoCA=1),"",MAX(F86:F88)/MAX(E86:E88))</f>
        <v>0</v>
      </c>
      <c r="H85" s="2201" t="s">
        <v>2356</v>
      </c>
      <c r="I85" s="2318" t="s">
        <v>375</v>
      </c>
    </row>
    <row r="86" spans="1:9" ht="33" customHeight="1">
      <c r="A86" s="2314"/>
      <c r="B86" s="2336"/>
      <c r="C86" s="170" t="str">
        <f>OF!C111</f>
        <v>&lt;10%</v>
      </c>
      <c r="D86" s="261">
        <f>OF!D111</f>
        <v>0</v>
      </c>
      <c r="E86" s="457">
        <v>0</v>
      </c>
      <c r="F86" s="458">
        <f>D86*E86</f>
        <v>0</v>
      </c>
      <c r="G86" s="477"/>
      <c r="H86" s="2201"/>
      <c r="I86" s="2319"/>
    </row>
    <row r="87" spans="1:9" ht="33" customHeight="1">
      <c r="A87" s="2314"/>
      <c r="B87" s="2336"/>
      <c r="C87" s="82" t="str">
        <f>OF!C112</f>
        <v>10 to 25%</v>
      </c>
      <c r="D87" s="245">
        <f>OF!D112</f>
        <v>0</v>
      </c>
      <c r="E87" s="457">
        <v>3</v>
      </c>
      <c r="F87" s="458">
        <f>D87*E87</f>
        <v>0</v>
      </c>
      <c r="G87" s="474"/>
      <c r="H87" s="2201"/>
      <c r="I87" s="2319"/>
    </row>
    <row r="88" spans="1:9" ht="33" customHeight="1" thickBot="1">
      <c r="A88" s="2315"/>
      <c r="B88" s="2337"/>
      <c r="C88" s="438" t="str">
        <f>OF!C113</f>
        <v>&gt;25%</v>
      </c>
      <c r="D88" s="246">
        <f>OF!D113</f>
        <v>0</v>
      </c>
      <c r="E88" s="462">
        <v>4</v>
      </c>
      <c r="F88" s="463">
        <f>D88*E88</f>
        <v>0</v>
      </c>
      <c r="G88" s="464"/>
      <c r="H88" s="2317"/>
      <c r="I88" s="2322"/>
    </row>
    <row r="89" spans="1:9" ht="30" customHeight="1" thickBot="1">
      <c r="A89" s="2313" t="str">
        <f>OF!A114</f>
        <v>OF25</v>
      </c>
      <c r="B89" s="2323" t="str">
        <f>OF!B114</f>
        <v>Transport From Upslope</v>
      </c>
      <c r="C89" s="411" t="str">
        <f>OF!C114</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89" s="454"/>
      <c r="E89" s="454"/>
      <c r="F89" s="473"/>
      <c r="G89" s="480">
        <f>IF((NoCA=1),"",MAX(F90:F92)/MAX(E90:E92))</f>
        <v>0</v>
      </c>
      <c r="H89" s="2316" t="s">
        <v>2357</v>
      </c>
      <c r="I89" s="2321" t="s">
        <v>376</v>
      </c>
    </row>
    <row r="90" spans="1:9" ht="15" customHeight="1">
      <c r="A90" s="2314"/>
      <c r="B90" s="2336"/>
      <c r="C90" s="170" t="str">
        <f>OF!C115</f>
        <v>Mostly true</v>
      </c>
      <c r="D90" s="261">
        <f>OF!D115</f>
        <v>0</v>
      </c>
      <c r="E90" s="457">
        <v>2</v>
      </c>
      <c r="F90" s="458">
        <f>D90*E90</f>
        <v>0</v>
      </c>
      <c r="G90" s="477"/>
      <c r="H90" s="2201"/>
      <c r="I90" s="2319"/>
    </row>
    <row r="91" spans="1:9" ht="15" customHeight="1">
      <c r="A91" s="2314"/>
      <c r="B91" s="2336"/>
      <c r="C91" s="82" t="str">
        <f>OF!C116</f>
        <v>Somewhat true</v>
      </c>
      <c r="D91" s="245">
        <f>OF!D116</f>
        <v>0</v>
      </c>
      <c r="E91" s="457">
        <v>1</v>
      </c>
      <c r="F91" s="458">
        <f>D91*E91</f>
        <v>0</v>
      </c>
      <c r="G91" s="474"/>
      <c r="H91" s="2201"/>
      <c r="I91" s="2319"/>
    </row>
    <row r="92" spans="1:9" ht="15" customHeight="1" thickBot="1">
      <c r="A92" s="2315"/>
      <c r="B92" s="2337"/>
      <c r="C92" s="438" t="str">
        <f>OF!C117</f>
        <v>Mostly untrue</v>
      </c>
      <c r="D92" s="246">
        <f>OF!D117</f>
        <v>0</v>
      </c>
      <c r="E92" s="462">
        <v>0</v>
      </c>
      <c r="F92" s="463">
        <f>D92*E92</f>
        <v>0</v>
      </c>
      <c r="G92" s="464"/>
      <c r="H92" s="2317"/>
      <c r="I92" s="2322"/>
    </row>
    <row r="93" spans="1:9" ht="21" customHeight="1" thickBot="1">
      <c r="A93" s="1221"/>
      <c r="B93" s="1221"/>
      <c r="C93" s="1221"/>
      <c r="D93" s="1221"/>
      <c r="E93" s="1221"/>
      <c r="F93" s="1221"/>
      <c r="G93" s="1221"/>
      <c r="H93" s="1221"/>
      <c r="I93" s="1221"/>
    </row>
    <row r="94" spans="1:9" ht="21" customHeight="1">
      <c r="A94" s="63"/>
      <c r="B94" s="63"/>
      <c r="C94" s="63"/>
      <c r="D94" s="2334" t="s">
        <v>719</v>
      </c>
      <c r="E94" s="2335"/>
      <c r="F94" s="2335"/>
      <c r="G94" s="1896">
        <f>AVERAGE(SoilTex1,Groundw1, CApct1)</f>
        <v>0</v>
      </c>
      <c r="H94" s="1897" t="s">
        <v>1914</v>
      </c>
      <c r="I94" s="1898" t="s">
        <v>2710</v>
      </c>
    </row>
    <row r="95" spans="1:9" ht="21" customHeight="1">
      <c r="A95" s="63"/>
      <c r="B95" s="63"/>
      <c r="C95" s="63"/>
      <c r="D95" s="2338" t="s">
        <v>1316</v>
      </c>
      <c r="E95" s="2339"/>
      <c r="F95" s="2339"/>
      <c r="G95" s="1895">
        <f>AVERAGE(GDD1,Aspect1)</f>
        <v>0</v>
      </c>
      <c r="H95" s="1920" t="s">
        <v>2817</v>
      </c>
      <c r="I95" s="1899" t="s">
        <v>2711</v>
      </c>
    </row>
    <row r="96" spans="1:9" ht="21" customHeight="1">
      <c r="A96" s="63"/>
      <c r="B96" s="63"/>
      <c r="C96" s="63"/>
      <c r="D96" s="2344" t="s">
        <v>1296</v>
      </c>
      <c r="E96" s="2345"/>
      <c r="F96" s="2345"/>
      <c r="G96" s="1894">
        <f>IF((AllSat1=1),"",AVERAGE(Fluctua1,SeasPct1))</f>
        <v>0</v>
      </c>
      <c r="H96" s="1902" t="s">
        <v>2706</v>
      </c>
      <c r="I96" s="1899" t="s">
        <v>2712</v>
      </c>
    </row>
    <row r="97" spans="1:11" ht="30" customHeight="1" thickBot="1">
      <c r="A97" s="63"/>
      <c r="B97" s="63"/>
      <c r="C97" s="63"/>
      <c r="D97" s="2346" t="s">
        <v>430</v>
      </c>
      <c r="E97" s="2347"/>
      <c r="F97" s="2347"/>
      <c r="G97" s="1702">
        <f>IF((AllSat1=1),(3*Gradient1+Girreg1)/4, AVERAGE(Gradient1,Constric1,ThruFlo1,FloDist1,IsoDry1))</f>
        <v>0.1</v>
      </c>
      <c r="H97" s="1900" t="s">
        <v>2707</v>
      </c>
      <c r="I97" s="1901" t="s">
        <v>2713</v>
      </c>
    </row>
    <row r="98" spans="1:11" ht="21" customHeight="1" thickBot="1">
      <c r="A98" s="1218"/>
      <c r="B98" s="1218"/>
      <c r="C98" s="1218"/>
      <c r="D98" s="1218"/>
      <c r="E98" s="1218"/>
      <c r="F98" s="1218"/>
      <c r="G98" s="1218"/>
      <c r="H98" s="1218"/>
    </row>
    <row r="99" spans="1:11" s="481" customFormat="1" ht="30" customHeight="1" thickBot="1">
      <c r="A99" s="1218"/>
      <c r="B99" s="1562"/>
      <c r="C99" s="2331" t="s">
        <v>148</v>
      </c>
      <c r="D99" s="2332"/>
      <c r="E99" s="2333"/>
      <c r="F99" s="1591" t="s">
        <v>75</v>
      </c>
      <c r="G99" s="1703">
        <f>10*(IF((AllSat1=1), AVERAGE(OutDura1, AVERAGE(Friction,Freezing),Subsurf),
AVERAGE(OutDura1,(4*LiveStore+2*Friction+Subsurf)/7)))</f>
        <v>0.14285714285714288</v>
      </c>
      <c r="H99" s="2363" t="s">
        <v>1915</v>
      </c>
      <c r="I99" s="2364"/>
      <c r="K99" s="483"/>
    </row>
    <row r="100" spans="1:11" s="481" customFormat="1" ht="21" customHeight="1" thickBot="1">
      <c r="A100" s="1218"/>
      <c r="B100" s="1562"/>
      <c r="C100" s="2331" t="s">
        <v>2402</v>
      </c>
      <c r="D100" s="2332"/>
      <c r="E100" s="2333"/>
      <c r="F100" s="1949" t="s">
        <v>2888</v>
      </c>
      <c r="G100" s="1704">
        <f>10*(IF((Fdamage=1), 1,AVERAGE(FloodBdg1,ShedPos1,CAunveg1,Transport1)))</f>
        <v>0</v>
      </c>
      <c r="H100" s="2365" t="s">
        <v>2708</v>
      </c>
      <c r="I100" s="2366"/>
      <c r="K100" s="483"/>
    </row>
    <row r="101" spans="1:11" ht="21" customHeight="1" thickBot="1">
      <c r="A101" s="1218"/>
      <c r="B101" s="1218"/>
      <c r="C101" s="1218"/>
      <c r="D101" s="1218"/>
      <c r="E101" s="1218"/>
      <c r="F101" s="1218"/>
      <c r="G101" s="1218"/>
      <c r="H101" s="1218"/>
    </row>
    <row r="102" spans="1:11" ht="21" customHeight="1" thickBot="1">
      <c r="A102" s="1218"/>
      <c r="B102" s="1218"/>
      <c r="C102" s="1218"/>
      <c r="D102" s="1218"/>
      <c r="E102" s="1218"/>
      <c r="F102" s="1218"/>
      <c r="G102" s="1218"/>
      <c r="H102" s="2356" t="s">
        <v>806</v>
      </c>
      <c r="I102" s="2357"/>
    </row>
    <row r="103" spans="1:11" ht="27" customHeight="1">
      <c r="A103" s="1218"/>
      <c r="B103" s="1218"/>
      <c r="C103" s="1218"/>
      <c r="D103" s="1218"/>
      <c r="E103" s="1218"/>
      <c r="F103" s="1218"/>
      <c r="G103" s="1218"/>
      <c r="H103" s="2358" t="s">
        <v>2227</v>
      </c>
      <c r="I103" s="2359"/>
    </row>
    <row r="104" spans="1:11" ht="27" customHeight="1">
      <c r="A104" s="1218"/>
      <c r="B104" s="1218"/>
      <c r="C104" s="1218"/>
      <c r="D104" s="1218"/>
      <c r="E104" s="1218"/>
      <c r="F104" s="1218"/>
      <c r="G104" s="1218"/>
      <c r="H104" s="2367" t="s">
        <v>807</v>
      </c>
      <c r="I104" s="2368"/>
    </row>
    <row r="105" spans="1:11" ht="27" customHeight="1">
      <c r="A105" s="1218"/>
      <c r="B105" s="1218"/>
      <c r="C105" s="1218"/>
      <c r="D105" s="1218"/>
      <c r="E105" s="1218"/>
      <c r="F105" s="1218"/>
      <c r="G105" s="1218"/>
      <c r="H105" s="2367" t="s">
        <v>2134</v>
      </c>
      <c r="I105" s="2368"/>
    </row>
    <row r="106" spans="1:11" ht="42" customHeight="1">
      <c r="A106" s="1218"/>
      <c r="B106" s="1218"/>
      <c r="C106" s="1218"/>
      <c r="D106" s="1218"/>
      <c r="E106" s="1218"/>
      <c r="F106" s="1218"/>
      <c r="G106" s="1218"/>
      <c r="H106" s="2367" t="s">
        <v>2403</v>
      </c>
      <c r="I106" s="2368"/>
    </row>
    <row r="107" spans="1:11" ht="42" customHeight="1">
      <c r="A107" s="1218"/>
      <c r="B107" s="1218"/>
      <c r="C107" s="1218"/>
      <c r="D107" s="1218"/>
      <c r="E107" s="1218"/>
      <c r="F107" s="1218"/>
      <c r="G107" s="1218"/>
      <c r="H107" s="2367" t="s">
        <v>808</v>
      </c>
      <c r="I107" s="2368"/>
    </row>
    <row r="108" spans="1:11" ht="42" customHeight="1">
      <c r="A108" s="1218"/>
      <c r="B108" s="1218"/>
      <c r="C108" s="1218"/>
      <c r="D108" s="1218"/>
      <c r="E108" s="1218"/>
      <c r="F108" s="1218"/>
      <c r="G108" s="1218"/>
      <c r="H108" s="2367" t="s">
        <v>1295</v>
      </c>
      <c r="I108" s="2368"/>
    </row>
    <row r="109" spans="1:11" ht="42" customHeight="1">
      <c r="A109" s="1218"/>
      <c r="B109" s="1218"/>
      <c r="C109" s="1218"/>
      <c r="D109" s="1218"/>
      <c r="E109" s="1218"/>
      <c r="F109" s="1218"/>
      <c r="G109" s="1218"/>
      <c r="H109" s="2373" t="s">
        <v>2133</v>
      </c>
      <c r="I109" s="2374"/>
    </row>
    <row r="110" spans="1:11" ht="27" customHeight="1">
      <c r="A110" s="1218"/>
      <c r="B110" s="1218"/>
      <c r="C110" s="1218"/>
      <c r="D110" s="1218"/>
      <c r="E110" s="1218"/>
      <c r="F110" s="1218"/>
      <c r="G110" s="1218"/>
      <c r="H110" s="2367" t="s">
        <v>1713</v>
      </c>
      <c r="I110" s="2368"/>
    </row>
    <row r="111" spans="1:11" ht="27" customHeight="1">
      <c r="A111" s="1218"/>
      <c r="B111" s="1218"/>
      <c r="C111" s="1218"/>
      <c r="D111" s="1218"/>
      <c r="E111" s="1218"/>
      <c r="F111" s="1218"/>
      <c r="G111" s="1218"/>
      <c r="H111" s="2367" t="s">
        <v>809</v>
      </c>
      <c r="I111" s="2368"/>
    </row>
    <row r="112" spans="1:11" ht="27" customHeight="1">
      <c r="A112" s="1218"/>
      <c r="B112" s="1218"/>
      <c r="C112" s="1218"/>
      <c r="D112" s="1218"/>
      <c r="E112" s="1218"/>
      <c r="F112" s="1218"/>
      <c r="G112" s="1218"/>
      <c r="H112" s="2367" t="s">
        <v>810</v>
      </c>
      <c r="I112" s="2368"/>
    </row>
    <row r="113" spans="1:9" ht="27" customHeight="1">
      <c r="A113" s="1218"/>
      <c r="B113" s="1218"/>
      <c r="C113" s="1218"/>
      <c r="D113" s="1218"/>
      <c r="E113" s="1218"/>
      <c r="F113" s="1218"/>
      <c r="G113" s="1218"/>
      <c r="H113" s="2371" t="s">
        <v>1699</v>
      </c>
      <c r="I113" s="2372"/>
    </row>
    <row r="114" spans="1:9" ht="27" customHeight="1">
      <c r="A114" s="1218"/>
      <c r="B114" s="1218"/>
      <c r="C114" s="1218"/>
      <c r="D114" s="1218"/>
      <c r="E114" s="1218"/>
      <c r="F114" s="1218"/>
      <c r="G114" s="1218"/>
      <c r="H114" s="2367" t="s">
        <v>811</v>
      </c>
      <c r="I114" s="2368"/>
    </row>
    <row r="115" spans="1:9" ht="27" customHeight="1">
      <c r="A115" s="1218"/>
      <c r="B115" s="1218"/>
      <c r="C115" s="1218"/>
      <c r="D115" s="1218"/>
      <c r="E115" s="1218"/>
      <c r="F115" s="1218"/>
      <c r="G115" s="1218"/>
      <c r="H115" s="2367" t="s">
        <v>812</v>
      </c>
      <c r="I115" s="2368"/>
    </row>
    <row r="116" spans="1:9" ht="27" customHeight="1" thickBot="1">
      <c r="A116" s="91"/>
      <c r="B116" s="90"/>
      <c r="C116" s="63"/>
      <c r="E116" s="482"/>
      <c r="H116" s="2369" t="s">
        <v>813</v>
      </c>
      <c r="I116" s="2370"/>
    </row>
    <row r="117" spans="1:9" ht="15" customHeight="1">
      <c r="A117" s="91"/>
      <c r="B117" s="90"/>
      <c r="C117" s="63"/>
      <c r="E117" s="482"/>
      <c r="H117" s="1366"/>
    </row>
    <row r="118" spans="1:9" ht="15" customHeight="1">
      <c r="A118" s="91"/>
      <c r="B118" s="90"/>
      <c r="C118" s="63"/>
      <c r="E118" s="482"/>
    </row>
    <row r="119" spans="1:9" ht="15" customHeight="1">
      <c r="A119" s="91"/>
      <c r="B119" s="90"/>
      <c r="C119" s="63"/>
      <c r="E119" s="482"/>
    </row>
    <row r="120" spans="1:9" ht="15" customHeight="1">
      <c r="A120" s="91"/>
      <c r="B120" s="90"/>
      <c r="C120" s="63"/>
      <c r="E120" s="482"/>
    </row>
    <row r="121" spans="1:9" ht="15" customHeight="1">
      <c r="A121" s="91"/>
      <c r="B121" s="90"/>
      <c r="C121" s="63"/>
      <c r="E121" s="482"/>
    </row>
    <row r="122" spans="1:9" ht="15" customHeight="1">
      <c r="A122" s="91"/>
      <c r="B122" s="90"/>
      <c r="C122" s="63"/>
      <c r="E122" s="482"/>
    </row>
    <row r="123" spans="1:9" ht="15" customHeight="1">
      <c r="A123" s="91"/>
      <c r="B123" s="90"/>
      <c r="C123" s="63"/>
      <c r="E123" s="482"/>
      <c r="H123" s="7" t="s">
        <v>1050</v>
      </c>
    </row>
    <row r="124" spans="1:9" ht="15" customHeight="1">
      <c r="A124" s="91"/>
      <c r="B124" s="90"/>
      <c r="C124" s="63"/>
      <c r="E124" s="482"/>
    </row>
    <row r="125" spans="1:9" ht="15" customHeight="1">
      <c r="A125" s="91"/>
      <c r="B125" s="90"/>
      <c r="C125" s="63"/>
      <c r="E125" s="482"/>
    </row>
    <row r="126" spans="1:9" ht="15" customHeight="1">
      <c r="A126" s="91"/>
      <c r="B126" s="90"/>
      <c r="C126" s="63"/>
      <c r="E126" s="482"/>
    </row>
    <row r="127" spans="1:9" ht="15" customHeight="1">
      <c r="A127" s="91"/>
      <c r="B127" s="90"/>
      <c r="C127" s="63"/>
      <c r="E127" s="482"/>
    </row>
    <row r="128" spans="1:9" ht="15" customHeight="1">
      <c r="A128" s="91"/>
      <c r="B128" s="90"/>
      <c r="C128" s="63"/>
      <c r="E128" s="482"/>
    </row>
    <row r="129" spans="1:5" ht="15" customHeight="1">
      <c r="A129" s="91"/>
      <c r="B129" s="90"/>
      <c r="C129" s="63"/>
      <c r="E129" s="482"/>
    </row>
    <row r="130" spans="1:5" ht="15" customHeight="1">
      <c r="A130" s="91"/>
      <c r="B130" s="90"/>
      <c r="C130" s="63"/>
      <c r="E130" s="482"/>
    </row>
    <row r="131" spans="1:5" ht="15" customHeight="1">
      <c r="A131" s="91"/>
      <c r="B131" s="90"/>
      <c r="C131" s="63"/>
      <c r="E131" s="482"/>
    </row>
    <row r="132" spans="1:5" ht="15" customHeight="1">
      <c r="A132" s="91"/>
      <c r="B132" s="90"/>
      <c r="C132" s="63"/>
      <c r="E132" s="482"/>
    </row>
    <row r="133" spans="1:5" ht="15" customHeight="1">
      <c r="A133" s="91"/>
      <c r="B133" s="90"/>
      <c r="C133" s="63"/>
      <c r="E133" s="482"/>
    </row>
    <row r="134" spans="1:5" ht="15" customHeight="1">
      <c r="A134" s="91"/>
      <c r="B134" s="90"/>
      <c r="C134" s="63"/>
      <c r="E134" s="482"/>
    </row>
    <row r="135" spans="1:5" ht="15" customHeight="1">
      <c r="A135" s="91"/>
      <c r="B135" s="90"/>
      <c r="C135" s="63"/>
      <c r="E135" s="482"/>
    </row>
    <row r="136" spans="1:5" ht="15" customHeight="1">
      <c r="A136" s="91"/>
      <c r="B136" s="90"/>
      <c r="C136" s="63"/>
      <c r="E136" s="482"/>
    </row>
    <row r="137" spans="1:5" ht="15" customHeight="1">
      <c r="A137" s="91"/>
      <c r="B137" s="90"/>
      <c r="C137" s="63"/>
      <c r="E137" s="482"/>
    </row>
    <row r="138" spans="1:5" ht="15" customHeight="1">
      <c r="A138" s="91"/>
      <c r="B138" s="90"/>
      <c r="C138" s="63"/>
      <c r="E138" s="482"/>
    </row>
    <row r="139" spans="1:5" ht="15" customHeight="1">
      <c r="A139" s="91"/>
      <c r="B139" s="90"/>
      <c r="C139" s="63"/>
      <c r="E139" s="482"/>
    </row>
    <row r="140" spans="1:5" ht="15" customHeight="1">
      <c r="A140" s="91"/>
      <c r="B140" s="90"/>
      <c r="C140" s="63"/>
      <c r="E140" s="482"/>
    </row>
    <row r="141" spans="1:5" ht="15" customHeight="1">
      <c r="A141" s="91"/>
      <c r="B141" s="90"/>
      <c r="C141" s="63"/>
      <c r="E141" s="482"/>
    </row>
    <row r="142" spans="1:5" ht="15" customHeight="1">
      <c r="A142" s="91"/>
      <c r="B142" s="90"/>
      <c r="C142" s="63"/>
      <c r="E142" s="482"/>
    </row>
    <row r="143" spans="1:5" ht="15" customHeight="1">
      <c r="A143" s="91"/>
      <c r="B143" s="90"/>
      <c r="C143" s="63"/>
      <c r="E143" s="482"/>
    </row>
    <row r="144" spans="1:5" ht="15" customHeight="1">
      <c r="A144" s="91"/>
      <c r="B144" s="90"/>
      <c r="C144" s="63"/>
      <c r="E144" s="482"/>
    </row>
    <row r="145" spans="1:5" ht="15" customHeight="1">
      <c r="A145" s="91"/>
      <c r="B145" s="90"/>
      <c r="C145" s="63"/>
      <c r="E145" s="482"/>
    </row>
    <row r="146" spans="1:5" ht="15" customHeight="1">
      <c r="A146" s="91"/>
      <c r="B146" s="90"/>
      <c r="C146" s="63"/>
      <c r="E146" s="482"/>
    </row>
    <row r="147" spans="1:5" ht="15" customHeight="1">
      <c r="A147" s="91"/>
      <c r="B147" s="90"/>
      <c r="C147" s="63"/>
      <c r="E147" s="482"/>
    </row>
    <row r="148" spans="1:5" ht="15" customHeight="1">
      <c r="A148" s="91"/>
      <c r="B148" s="90"/>
      <c r="C148" s="63"/>
      <c r="E148" s="482"/>
    </row>
    <row r="149" spans="1:5" ht="15" customHeight="1">
      <c r="A149" s="91"/>
      <c r="B149" s="90"/>
      <c r="C149" s="63"/>
      <c r="E149" s="482"/>
    </row>
    <row r="150" spans="1:5" ht="15" customHeight="1">
      <c r="A150" s="91"/>
      <c r="B150" s="90"/>
      <c r="C150" s="63"/>
      <c r="E150" s="482"/>
    </row>
    <row r="151" spans="1:5" ht="15" customHeight="1">
      <c r="A151" s="91"/>
      <c r="B151" s="90"/>
      <c r="C151" s="63"/>
      <c r="E151" s="482"/>
    </row>
    <row r="152" spans="1:5" ht="15" customHeight="1">
      <c r="A152" s="91"/>
      <c r="B152" s="90"/>
      <c r="C152" s="63"/>
      <c r="E152" s="482"/>
    </row>
    <row r="153" spans="1:5" ht="15" customHeight="1">
      <c r="A153" s="91"/>
      <c r="B153" s="90"/>
      <c r="C153" s="63"/>
      <c r="E153" s="482"/>
    </row>
    <row r="154" spans="1:5" ht="15" customHeight="1">
      <c r="A154" s="91"/>
      <c r="B154" s="90"/>
      <c r="C154" s="63"/>
      <c r="E154" s="482"/>
    </row>
    <row r="155" spans="1:5" ht="15" customHeight="1">
      <c r="A155" s="91"/>
      <c r="B155" s="90"/>
      <c r="C155" s="63"/>
      <c r="E155" s="482"/>
    </row>
    <row r="156" spans="1:5" ht="15" customHeight="1">
      <c r="A156" s="91"/>
      <c r="B156" s="90"/>
      <c r="C156" s="63"/>
      <c r="E156" s="482"/>
    </row>
    <row r="157" spans="1:5" ht="15" customHeight="1">
      <c r="A157" s="91"/>
      <c r="B157" s="90"/>
      <c r="C157" s="63"/>
      <c r="E157" s="482"/>
    </row>
    <row r="158" spans="1:5" ht="15" customHeight="1">
      <c r="A158" s="91"/>
      <c r="B158" s="90"/>
      <c r="C158" s="63"/>
      <c r="E158" s="482"/>
    </row>
    <row r="159" spans="1:5" ht="15" customHeight="1">
      <c r="A159" s="91"/>
      <c r="B159" s="90"/>
      <c r="C159" s="63"/>
      <c r="E159" s="482"/>
    </row>
    <row r="160" spans="1:5" ht="15" customHeight="1">
      <c r="A160" s="91"/>
      <c r="B160" s="90"/>
      <c r="C160" s="63"/>
      <c r="E160" s="482"/>
    </row>
    <row r="161" spans="1:5" ht="15" customHeight="1">
      <c r="A161" s="91"/>
      <c r="B161" s="90"/>
      <c r="C161" s="63"/>
      <c r="E161" s="482"/>
    </row>
    <row r="162" spans="1:5" ht="15" customHeight="1">
      <c r="A162" s="91"/>
      <c r="B162" s="90"/>
      <c r="C162" s="63"/>
      <c r="E162" s="482"/>
    </row>
    <row r="163" spans="1:5" ht="15" customHeight="1">
      <c r="A163" s="91"/>
      <c r="B163" s="90"/>
      <c r="C163" s="63"/>
      <c r="E163" s="482"/>
    </row>
    <row r="164" spans="1:5" ht="15" customHeight="1">
      <c r="A164" s="91"/>
      <c r="B164" s="90"/>
      <c r="C164" s="63"/>
      <c r="E164" s="482"/>
    </row>
    <row r="165" spans="1:5" ht="15" customHeight="1">
      <c r="A165" s="91"/>
      <c r="B165" s="90"/>
      <c r="C165" s="63"/>
      <c r="E165" s="482"/>
    </row>
    <row r="166" spans="1:5" ht="15" customHeight="1">
      <c r="A166" s="91"/>
      <c r="B166" s="90"/>
      <c r="C166" s="63"/>
      <c r="E166" s="482"/>
    </row>
    <row r="167" spans="1:5" ht="15" customHeight="1">
      <c r="A167" s="91"/>
      <c r="B167" s="90"/>
      <c r="C167" s="63"/>
      <c r="E167" s="482"/>
    </row>
    <row r="168" spans="1:5" ht="15" customHeight="1">
      <c r="A168" s="91"/>
      <c r="B168" s="90"/>
      <c r="C168" s="63"/>
      <c r="E168" s="482"/>
    </row>
    <row r="169" spans="1:5" ht="15" customHeight="1">
      <c r="A169" s="91"/>
      <c r="B169" s="90"/>
      <c r="C169" s="63"/>
      <c r="E169" s="482"/>
    </row>
    <row r="170" spans="1:5" ht="15" customHeight="1">
      <c r="A170" s="91"/>
      <c r="B170" s="90"/>
      <c r="C170" s="63"/>
      <c r="E170" s="482"/>
    </row>
    <row r="171" spans="1:5" ht="15" customHeight="1">
      <c r="A171" s="91"/>
      <c r="B171" s="90"/>
      <c r="C171" s="63"/>
      <c r="E171" s="482"/>
    </row>
    <row r="172" spans="1:5" ht="15" customHeight="1">
      <c r="A172" s="91"/>
      <c r="B172" s="90"/>
      <c r="C172" s="63"/>
      <c r="E172" s="482"/>
    </row>
    <row r="173" spans="1:5" ht="15" customHeight="1">
      <c r="A173" s="91"/>
      <c r="B173" s="90"/>
      <c r="C173" s="63"/>
      <c r="E173" s="482"/>
    </row>
    <row r="174" spans="1:5" ht="15" customHeight="1">
      <c r="A174" s="91"/>
      <c r="B174" s="90"/>
      <c r="C174" s="63"/>
      <c r="E174" s="482"/>
    </row>
    <row r="175" spans="1:5" ht="15" customHeight="1">
      <c r="A175" s="91"/>
      <c r="B175" s="90"/>
      <c r="C175" s="63"/>
      <c r="E175" s="482"/>
    </row>
    <row r="176" spans="1:5" ht="15" customHeight="1">
      <c r="A176" s="91"/>
      <c r="B176" s="90"/>
      <c r="C176" s="63"/>
      <c r="E176" s="482"/>
    </row>
    <row r="177" spans="1:5" ht="15" customHeight="1">
      <c r="A177" s="91"/>
      <c r="B177" s="90"/>
      <c r="C177" s="63"/>
      <c r="E177" s="482"/>
    </row>
    <row r="178" spans="1:5" ht="15" customHeight="1">
      <c r="A178" s="91"/>
      <c r="B178" s="90"/>
      <c r="C178" s="63"/>
      <c r="E178" s="482"/>
    </row>
    <row r="179" spans="1:5" ht="15" customHeight="1">
      <c r="A179" s="91"/>
      <c r="B179" s="90"/>
      <c r="C179" s="63"/>
      <c r="E179" s="482"/>
    </row>
    <row r="180" spans="1:5" ht="15" customHeight="1">
      <c r="A180" s="91"/>
      <c r="B180" s="90"/>
      <c r="C180" s="63"/>
      <c r="E180" s="482"/>
    </row>
    <row r="181" spans="1:5" ht="15" customHeight="1">
      <c r="A181" s="91"/>
      <c r="B181" s="90"/>
      <c r="C181" s="63"/>
      <c r="E181" s="482"/>
    </row>
    <row r="182" spans="1:5" ht="15" customHeight="1">
      <c r="A182" s="91"/>
      <c r="B182" s="90"/>
      <c r="C182" s="63"/>
      <c r="E182" s="482"/>
    </row>
    <row r="183" spans="1:5" ht="15" customHeight="1">
      <c r="A183" s="91"/>
      <c r="B183" s="90"/>
      <c r="C183" s="63"/>
      <c r="E183" s="482"/>
    </row>
    <row r="184" spans="1:5" ht="15" customHeight="1">
      <c r="A184" s="91"/>
      <c r="B184" s="90"/>
      <c r="C184" s="63"/>
      <c r="E184" s="482"/>
    </row>
    <row r="185" spans="1:5" ht="15" customHeight="1">
      <c r="A185" s="91"/>
      <c r="B185" s="90"/>
      <c r="C185" s="63"/>
      <c r="E185" s="482"/>
    </row>
    <row r="186" spans="1:5" ht="15" customHeight="1">
      <c r="A186" s="91"/>
      <c r="B186" s="90"/>
      <c r="C186" s="63"/>
      <c r="E186" s="482"/>
    </row>
    <row r="187" spans="1:5" ht="15" customHeight="1">
      <c r="A187" s="91"/>
      <c r="B187" s="90"/>
      <c r="C187" s="63"/>
      <c r="E187" s="482"/>
    </row>
    <row r="188" spans="1:5" ht="15" customHeight="1">
      <c r="A188" s="91"/>
      <c r="B188" s="90"/>
      <c r="C188" s="63"/>
      <c r="E188" s="482"/>
    </row>
    <row r="189" spans="1:5" ht="15" customHeight="1">
      <c r="A189" s="91"/>
      <c r="B189" s="90"/>
      <c r="C189" s="63"/>
      <c r="E189" s="482"/>
    </row>
    <row r="190" spans="1:5" ht="15" customHeight="1">
      <c r="A190" s="91"/>
      <c r="B190" s="90"/>
      <c r="C190" s="63"/>
      <c r="E190" s="482"/>
    </row>
    <row r="191" spans="1:5" ht="15" customHeight="1">
      <c r="A191" s="91"/>
      <c r="B191" s="90"/>
      <c r="C191" s="63"/>
      <c r="E191" s="482"/>
    </row>
    <row r="192" spans="1:5" ht="15" customHeight="1">
      <c r="A192" s="91"/>
      <c r="B192" s="90"/>
      <c r="C192" s="63"/>
      <c r="E192" s="482"/>
    </row>
    <row r="193" spans="1:5" ht="15" customHeight="1">
      <c r="A193" s="91"/>
      <c r="B193" s="90"/>
      <c r="C193" s="63"/>
      <c r="E193" s="482"/>
    </row>
    <row r="194" spans="1:5" ht="15" customHeight="1">
      <c r="A194" s="91"/>
      <c r="B194" s="90"/>
      <c r="C194" s="63"/>
      <c r="E194" s="482"/>
    </row>
    <row r="195" spans="1:5" ht="15" customHeight="1">
      <c r="A195" s="91"/>
      <c r="B195" s="90"/>
      <c r="C195" s="63"/>
      <c r="E195" s="482"/>
    </row>
    <row r="196" spans="1:5" ht="15" customHeight="1">
      <c r="A196" s="91"/>
      <c r="B196" s="90"/>
      <c r="C196" s="63"/>
      <c r="E196" s="482"/>
    </row>
    <row r="197" spans="1:5" ht="15" customHeight="1">
      <c r="A197" s="91"/>
      <c r="B197" s="90"/>
      <c r="C197" s="63"/>
      <c r="E197" s="482"/>
    </row>
    <row r="198" spans="1:5" ht="15" customHeight="1">
      <c r="A198" s="91"/>
      <c r="B198" s="90"/>
      <c r="C198" s="63"/>
      <c r="E198" s="482"/>
    </row>
    <row r="199" spans="1:5" ht="15" customHeight="1">
      <c r="A199" s="91"/>
      <c r="B199" s="90"/>
      <c r="C199" s="63"/>
      <c r="E199" s="482"/>
    </row>
    <row r="200" spans="1:5" ht="15" customHeight="1">
      <c r="A200" s="91"/>
      <c r="B200" s="90"/>
      <c r="C200" s="63"/>
      <c r="E200" s="482"/>
    </row>
    <row r="201" spans="1:5" ht="15" customHeight="1">
      <c r="A201" s="91"/>
      <c r="B201" s="90"/>
      <c r="C201" s="63"/>
      <c r="E201" s="482"/>
    </row>
    <row r="202" spans="1:5" ht="15" customHeight="1">
      <c r="A202" s="91"/>
      <c r="B202" s="90"/>
      <c r="C202" s="63"/>
      <c r="E202" s="482"/>
    </row>
    <row r="203" spans="1:5" ht="15" customHeight="1">
      <c r="A203" s="91"/>
      <c r="B203" s="90"/>
      <c r="C203" s="63"/>
      <c r="E203" s="482"/>
    </row>
    <row r="204" spans="1:5" ht="15" customHeight="1">
      <c r="A204" s="91"/>
      <c r="B204" s="90"/>
      <c r="C204" s="63"/>
      <c r="E204" s="482"/>
    </row>
    <row r="205" spans="1:5" ht="15" customHeight="1">
      <c r="A205" s="91"/>
      <c r="B205" s="90"/>
      <c r="C205" s="63"/>
      <c r="E205" s="482"/>
    </row>
    <row r="206" spans="1:5" ht="15" customHeight="1">
      <c r="A206" s="91"/>
      <c r="B206" s="90"/>
      <c r="C206" s="63"/>
      <c r="E206" s="482"/>
    </row>
    <row r="207" spans="1:5" ht="15" customHeight="1">
      <c r="A207" s="91"/>
      <c r="B207" s="90"/>
      <c r="C207" s="63"/>
      <c r="E207" s="482"/>
    </row>
    <row r="208" spans="1:5" ht="15" customHeight="1">
      <c r="A208" s="91"/>
      <c r="B208" s="90"/>
      <c r="C208" s="63"/>
      <c r="E208" s="482"/>
    </row>
    <row r="209" spans="1:5" ht="15" customHeight="1">
      <c r="A209" s="91"/>
      <c r="B209" s="90"/>
      <c r="C209" s="63"/>
      <c r="E209" s="482"/>
    </row>
    <row r="210" spans="1:5" ht="15" customHeight="1">
      <c r="A210" s="91"/>
      <c r="B210" s="90"/>
      <c r="C210" s="63"/>
      <c r="E210" s="482"/>
    </row>
    <row r="211" spans="1:5" ht="15" customHeight="1">
      <c r="A211" s="91"/>
      <c r="B211" s="90"/>
      <c r="C211" s="63"/>
      <c r="E211" s="482"/>
    </row>
    <row r="212" spans="1:5" ht="15" customHeight="1">
      <c r="A212" s="91"/>
      <c r="B212" s="90"/>
      <c r="C212" s="63"/>
      <c r="E212" s="482"/>
    </row>
    <row r="213" spans="1:5" ht="15" customHeight="1">
      <c r="A213" s="91"/>
      <c r="B213" s="90"/>
      <c r="C213" s="63"/>
      <c r="E213" s="482"/>
    </row>
    <row r="214" spans="1:5" ht="15" customHeight="1">
      <c r="A214" s="91"/>
      <c r="B214" s="90"/>
      <c r="C214" s="63"/>
      <c r="E214" s="482"/>
    </row>
    <row r="215" spans="1:5" ht="15" customHeight="1">
      <c r="A215" s="91"/>
      <c r="B215" s="90"/>
      <c r="C215" s="63"/>
      <c r="E215" s="482"/>
    </row>
    <row r="216" spans="1:5" ht="15" customHeight="1">
      <c r="A216" s="91"/>
      <c r="B216" s="90"/>
      <c r="C216" s="63"/>
      <c r="E216" s="482"/>
    </row>
    <row r="217" spans="1:5" ht="15" customHeight="1">
      <c r="A217" s="91"/>
      <c r="B217" s="90"/>
      <c r="C217" s="63"/>
      <c r="E217" s="482"/>
    </row>
    <row r="218" spans="1:5" ht="15" customHeight="1">
      <c r="A218" s="91"/>
      <c r="B218" s="90"/>
      <c r="C218" s="63"/>
      <c r="E218" s="482"/>
    </row>
    <row r="219" spans="1:5" ht="15" customHeight="1">
      <c r="A219" s="91"/>
      <c r="B219" s="90"/>
      <c r="C219" s="63"/>
      <c r="E219" s="482"/>
    </row>
    <row r="220" spans="1:5" ht="15" customHeight="1">
      <c r="A220" s="91"/>
      <c r="B220" s="90"/>
      <c r="C220" s="63"/>
      <c r="E220" s="482"/>
    </row>
    <row r="221" spans="1:5" ht="15" customHeight="1">
      <c r="A221" s="91"/>
      <c r="B221" s="90"/>
      <c r="C221" s="63"/>
      <c r="E221" s="482"/>
    </row>
    <row r="222" spans="1:5" ht="15" customHeight="1">
      <c r="A222" s="91"/>
      <c r="B222" s="90"/>
      <c r="C222" s="63"/>
      <c r="E222" s="482"/>
    </row>
    <row r="223" spans="1:5" ht="15" customHeight="1">
      <c r="A223" s="91"/>
      <c r="B223" s="90"/>
      <c r="C223" s="63"/>
      <c r="E223" s="482"/>
    </row>
    <row r="224" spans="1:5" ht="15" customHeight="1">
      <c r="A224" s="91"/>
      <c r="B224" s="90"/>
      <c r="C224" s="63"/>
      <c r="E224" s="482"/>
    </row>
    <row r="225" spans="1:5" ht="15" customHeight="1">
      <c r="A225" s="91"/>
      <c r="B225" s="90"/>
      <c r="C225" s="63"/>
      <c r="E225" s="482"/>
    </row>
    <row r="226" spans="1:5" ht="15" customHeight="1">
      <c r="A226" s="91"/>
      <c r="B226" s="90"/>
      <c r="C226" s="63"/>
      <c r="E226" s="482"/>
    </row>
    <row r="227" spans="1:5" ht="15" customHeight="1">
      <c r="A227" s="91"/>
      <c r="B227" s="90"/>
      <c r="C227" s="63"/>
      <c r="E227" s="482"/>
    </row>
    <row r="228" spans="1:5" ht="15" customHeight="1">
      <c r="A228" s="91"/>
      <c r="B228" s="90"/>
      <c r="C228" s="63"/>
      <c r="E228" s="482"/>
    </row>
    <row r="229" spans="1:5" ht="15" customHeight="1">
      <c r="A229" s="91"/>
      <c r="B229" s="90"/>
      <c r="C229" s="63"/>
      <c r="E229" s="482"/>
    </row>
    <row r="230" spans="1:5" ht="15" customHeight="1">
      <c r="A230" s="91"/>
      <c r="B230" s="90"/>
      <c r="C230" s="63"/>
      <c r="E230" s="482"/>
    </row>
    <row r="231" spans="1:5" ht="15" customHeight="1">
      <c r="A231" s="91"/>
      <c r="B231" s="90"/>
      <c r="C231" s="63"/>
      <c r="E231" s="482"/>
    </row>
    <row r="232" spans="1:5" ht="15" customHeight="1">
      <c r="A232" s="91"/>
      <c r="B232" s="90"/>
      <c r="C232" s="63"/>
      <c r="E232" s="482"/>
    </row>
    <row r="233" spans="1:5" ht="15" customHeight="1">
      <c r="A233" s="91"/>
      <c r="B233" s="90"/>
      <c r="C233" s="63"/>
      <c r="E233" s="482"/>
    </row>
    <row r="234" spans="1:5" ht="15" customHeight="1">
      <c r="A234" s="91"/>
      <c r="B234" s="90"/>
      <c r="C234" s="63"/>
      <c r="E234" s="482"/>
    </row>
    <row r="235" spans="1:5" ht="15" customHeight="1">
      <c r="A235" s="91"/>
      <c r="B235" s="90"/>
      <c r="C235" s="63"/>
      <c r="E235" s="482"/>
    </row>
    <row r="236" spans="1:5" ht="15" customHeight="1">
      <c r="A236" s="91"/>
      <c r="B236" s="90"/>
      <c r="C236" s="63"/>
      <c r="E236" s="482"/>
    </row>
    <row r="237" spans="1:5" ht="15" customHeight="1">
      <c r="A237" s="91"/>
      <c r="B237" s="90"/>
      <c r="C237" s="63"/>
      <c r="E237" s="482"/>
    </row>
    <row r="238" spans="1:5" ht="15" customHeight="1">
      <c r="A238" s="91"/>
      <c r="B238" s="90"/>
      <c r="C238" s="63"/>
      <c r="E238" s="482"/>
    </row>
    <row r="239" spans="1:5" ht="15" customHeight="1">
      <c r="A239" s="91"/>
      <c r="B239" s="90"/>
      <c r="C239" s="63"/>
      <c r="E239" s="482"/>
    </row>
    <row r="240" spans="1:5" ht="15" customHeight="1">
      <c r="A240" s="91"/>
      <c r="B240" s="90"/>
      <c r="C240" s="63"/>
      <c r="E240" s="482"/>
    </row>
    <row r="241" spans="1:5" ht="15" customHeight="1">
      <c r="A241" s="91"/>
      <c r="B241" s="90"/>
      <c r="C241" s="63"/>
      <c r="E241" s="482"/>
    </row>
    <row r="242" spans="1:5" ht="15" customHeight="1">
      <c r="A242" s="91"/>
      <c r="B242" s="90"/>
      <c r="C242" s="63"/>
      <c r="E242" s="482"/>
    </row>
    <row r="243" spans="1:5" ht="15" customHeight="1">
      <c r="A243" s="91"/>
      <c r="B243" s="90"/>
      <c r="C243" s="63"/>
      <c r="E243" s="482"/>
    </row>
    <row r="244" spans="1:5" ht="15" customHeight="1">
      <c r="A244" s="91"/>
      <c r="B244" s="90"/>
      <c r="C244" s="63"/>
      <c r="E244" s="482"/>
    </row>
    <row r="245" spans="1:5" ht="15" customHeight="1">
      <c r="A245" s="91"/>
      <c r="B245" s="90"/>
      <c r="C245" s="63"/>
      <c r="E245" s="482"/>
    </row>
    <row r="246" spans="1:5" ht="15" customHeight="1">
      <c r="A246" s="91"/>
      <c r="B246" s="90"/>
      <c r="C246" s="63"/>
      <c r="E246" s="482"/>
    </row>
    <row r="247" spans="1:5" ht="15" customHeight="1">
      <c r="A247" s="91"/>
      <c r="B247" s="90"/>
      <c r="C247" s="63"/>
      <c r="E247" s="482"/>
    </row>
    <row r="248" spans="1:5" ht="15" customHeight="1">
      <c r="A248" s="91"/>
      <c r="B248" s="90"/>
      <c r="C248" s="63"/>
      <c r="E248" s="482"/>
    </row>
    <row r="249" spans="1:5" ht="15" customHeight="1">
      <c r="A249" s="91"/>
      <c r="B249" s="90"/>
      <c r="C249" s="63"/>
      <c r="E249" s="482"/>
    </row>
    <row r="250" spans="1:5" ht="15" customHeight="1">
      <c r="A250" s="91"/>
      <c r="B250" s="90"/>
      <c r="C250" s="63"/>
      <c r="E250" s="482"/>
    </row>
    <row r="251" spans="1:5" ht="15" customHeight="1">
      <c r="A251" s="91"/>
      <c r="B251" s="90"/>
      <c r="C251" s="63"/>
      <c r="E251" s="482"/>
    </row>
    <row r="252" spans="1:5" ht="15" customHeight="1">
      <c r="A252" s="91"/>
      <c r="B252" s="90"/>
      <c r="C252" s="63"/>
      <c r="E252" s="482"/>
    </row>
    <row r="253" spans="1:5" ht="15" customHeight="1">
      <c r="A253" s="91"/>
      <c r="B253" s="90"/>
      <c r="C253" s="63"/>
      <c r="E253" s="482"/>
    </row>
    <row r="254" spans="1:5" ht="15" customHeight="1">
      <c r="A254" s="91"/>
      <c r="B254" s="90"/>
      <c r="C254" s="63"/>
      <c r="E254" s="482"/>
    </row>
    <row r="255" spans="1:5" ht="15" customHeight="1">
      <c r="A255" s="91"/>
      <c r="B255" s="90"/>
      <c r="C255" s="63"/>
      <c r="E255" s="482"/>
    </row>
    <row r="256" spans="1:5" ht="15" customHeight="1">
      <c r="A256" s="91"/>
      <c r="B256" s="90"/>
      <c r="C256" s="63"/>
      <c r="E256" s="482"/>
    </row>
    <row r="257" spans="1:5" ht="15" customHeight="1">
      <c r="A257" s="91"/>
      <c r="B257" s="90"/>
      <c r="C257" s="63"/>
      <c r="E257" s="482"/>
    </row>
    <row r="258" spans="1:5" ht="15" customHeight="1">
      <c r="A258" s="91"/>
      <c r="B258" s="90"/>
      <c r="C258" s="63"/>
      <c r="E258" s="482"/>
    </row>
    <row r="259" spans="1:5" ht="15" customHeight="1">
      <c r="A259" s="91"/>
      <c r="B259" s="90"/>
      <c r="C259" s="63"/>
      <c r="E259" s="482"/>
    </row>
    <row r="260" spans="1:5" ht="15" customHeight="1">
      <c r="A260" s="91"/>
      <c r="B260" s="90"/>
      <c r="C260" s="63"/>
      <c r="E260" s="482"/>
    </row>
    <row r="261" spans="1:5" ht="15" customHeight="1">
      <c r="A261" s="91"/>
      <c r="B261" s="90"/>
      <c r="C261" s="63"/>
      <c r="E261" s="482"/>
    </row>
    <row r="262" spans="1:5" ht="15" customHeight="1">
      <c r="A262" s="91"/>
      <c r="B262" s="90"/>
      <c r="C262" s="63"/>
      <c r="E262" s="482"/>
    </row>
    <row r="263" spans="1:5" ht="15" customHeight="1">
      <c r="A263" s="91"/>
      <c r="B263" s="90"/>
      <c r="C263" s="63"/>
      <c r="E263" s="482"/>
    </row>
    <row r="264" spans="1:5" ht="15" customHeight="1">
      <c r="A264" s="91"/>
      <c r="B264" s="90"/>
      <c r="C264" s="63"/>
      <c r="E264" s="482"/>
    </row>
    <row r="265" spans="1:5" ht="15" customHeight="1">
      <c r="A265" s="91"/>
      <c r="B265" s="90"/>
      <c r="C265" s="63"/>
      <c r="E265" s="482"/>
    </row>
    <row r="266" spans="1:5" ht="15" customHeight="1">
      <c r="A266" s="91"/>
      <c r="B266" s="90"/>
      <c r="C266" s="63"/>
      <c r="E266" s="482"/>
    </row>
    <row r="267" spans="1:5" ht="15" customHeight="1">
      <c r="A267" s="91"/>
      <c r="B267" s="90"/>
      <c r="C267" s="63"/>
      <c r="E267" s="482"/>
    </row>
    <row r="268" spans="1:5" ht="15" customHeight="1">
      <c r="A268" s="91"/>
      <c r="B268" s="90"/>
      <c r="C268" s="63"/>
      <c r="E268" s="482"/>
    </row>
    <row r="269" spans="1:5" ht="15" customHeight="1">
      <c r="A269" s="91"/>
      <c r="B269" s="90"/>
      <c r="C269" s="63"/>
      <c r="E269" s="482"/>
    </row>
    <row r="270" spans="1:5" ht="15" customHeight="1">
      <c r="A270" s="91"/>
      <c r="B270" s="90"/>
      <c r="C270" s="63"/>
      <c r="E270" s="482"/>
    </row>
    <row r="271" spans="1:5" ht="15" customHeight="1">
      <c r="A271" s="91"/>
      <c r="B271" s="90"/>
      <c r="C271" s="63"/>
      <c r="E271" s="482"/>
    </row>
    <row r="272" spans="1:5" ht="15" customHeight="1">
      <c r="A272" s="91"/>
      <c r="B272" s="90"/>
      <c r="C272" s="63"/>
      <c r="E272" s="482"/>
    </row>
    <row r="273" spans="1:5" ht="15" customHeight="1">
      <c r="A273" s="91"/>
      <c r="B273" s="90"/>
      <c r="C273" s="63"/>
      <c r="E273" s="482"/>
    </row>
    <row r="274" spans="1:5" ht="15" customHeight="1">
      <c r="A274" s="91"/>
      <c r="B274" s="90"/>
      <c r="C274" s="63"/>
      <c r="E274" s="482"/>
    </row>
    <row r="275" spans="1:5" ht="15" customHeight="1">
      <c r="A275" s="91"/>
      <c r="B275" s="90"/>
      <c r="C275" s="63"/>
      <c r="E275" s="482"/>
    </row>
    <row r="276" spans="1:5" ht="15" customHeight="1">
      <c r="A276" s="91"/>
      <c r="B276" s="90"/>
      <c r="C276" s="63"/>
      <c r="E276" s="482"/>
    </row>
    <row r="277" spans="1:5" ht="15" customHeight="1">
      <c r="A277" s="91"/>
      <c r="B277" s="90"/>
      <c r="C277" s="63"/>
      <c r="E277" s="482"/>
    </row>
    <row r="278" spans="1:5" ht="15" customHeight="1">
      <c r="A278" s="91"/>
      <c r="B278" s="90"/>
      <c r="C278" s="63"/>
      <c r="E278" s="482"/>
    </row>
    <row r="279" spans="1:5" ht="15" customHeight="1">
      <c r="A279" s="91"/>
      <c r="B279" s="90"/>
      <c r="C279" s="63"/>
      <c r="E279" s="482"/>
    </row>
    <row r="280" spans="1:5" ht="15" customHeight="1">
      <c r="A280" s="91"/>
      <c r="B280" s="90"/>
      <c r="C280" s="63"/>
      <c r="E280" s="482"/>
    </row>
    <row r="281" spans="1:5" ht="15" customHeight="1">
      <c r="A281" s="91"/>
      <c r="B281" s="90"/>
      <c r="C281" s="63"/>
      <c r="E281" s="482"/>
    </row>
    <row r="282" spans="1:5" ht="15" customHeight="1">
      <c r="A282" s="91"/>
      <c r="B282" s="90"/>
      <c r="C282" s="63"/>
      <c r="E282" s="482"/>
    </row>
    <row r="283" spans="1:5" ht="15" customHeight="1">
      <c r="A283" s="91"/>
      <c r="B283" s="90"/>
      <c r="C283" s="63"/>
      <c r="E283" s="482"/>
    </row>
    <row r="284" spans="1:5" ht="15" customHeight="1">
      <c r="A284" s="91"/>
      <c r="B284" s="90"/>
      <c r="C284" s="63"/>
      <c r="E284" s="482"/>
    </row>
    <row r="285" spans="1:5" ht="15" customHeight="1">
      <c r="A285" s="91"/>
      <c r="B285" s="90"/>
      <c r="C285" s="63"/>
      <c r="E285" s="482"/>
    </row>
    <row r="286" spans="1:5" ht="15" customHeight="1">
      <c r="A286" s="91"/>
      <c r="B286" s="90"/>
      <c r="C286" s="63"/>
      <c r="E286" s="482"/>
    </row>
    <row r="287" spans="1:5" ht="15" customHeight="1">
      <c r="A287" s="91"/>
      <c r="B287" s="90"/>
      <c r="C287" s="63"/>
      <c r="E287" s="482"/>
    </row>
    <row r="288" spans="1:5" ht="15" customHeight="1">
      <c r="A288" s="91"/>
      <c r="B288" s="90"/>
      <c r="C288" s="63"/>
      <c r="E288" s="482"/>
    </row>
    <row r="289" spans="1:5" ht="15" customHeight="1">
      <c r="A289" s="91"/>
      <c r="B289" s="90"/>
      <c r="C289" s="63"/>
      <c r="E289" s="482"/>
    </row>
    <row r="290" spans="1:5" ht="15" customHeight="1">
      <c r="A290" s="91"/>
      <c r="B290" s="90"/>
      <c r="C290" s="63"/>
      <c r="E290" s="482"/>
    </row>
    <row r="291" spans="1:5" ht="15" customHeight="1">
      <c r="A291" s="91"/>
      <c r="B291" s="90"/>
      <c r="C291" s="63"/>
      <c r="E291" s="482"/>
    </row>
    <row r="292" spans="1:5" ht="15" customHeight="1">
      <c r="A292" s="91"/>
      <c r="B292" s="90"/>
      <c r="C292" s="63"/>
      <c r="E292" s="482"/>
    </row>
    <row r="293" spans="1:5" ht="15" customHeight="1">
      <c r="A293" s="91"/>
      <c r="B293" s="90"/>
      <c r="C293" s="63"/>
      <c r="E293" s="482"/>
    </row>
    <row r="294" spans="1:5" ht="15" customHeight="1">
      <c r="A294" s="91"/>
      <c r="B294" s="90"/>
      <c r="C294" s="63"/>
      <c r="E294" s="482"/>
    </row>
    <row r="295" spans="1:5" ht="15" customHeight="1">
      <c r="A295" s="91"/>
      <c r="B295" s="90"/>
      <c r="C295" s="63"/>
      <c r="E295" s="482"/>
    </row>
    <row r="296" spans="1:5" ht="15" customHeight="1">
      <c r="A296" s="91"/>
      <c r="B296" s="90"/>
      <c r="C296" s="63"/>
      <c r="E296" s="482"/>
    </row>
    <row r="297" spans="1:5" ht="15" customHeight="1">
      <c r="A297" s="91"/>
      <c r="B297" s="90"/>
      <c r="C297" s="63"/>
      <c r="E297" s="482"/>
    </row>
    <row r="298" spans="1:5" ht="15" customHeight="1">
      <c r="A298" s="91"/>
      <c r="B298" s="90"/>
      <c r="C298" s="63"/>
      <c r="E298" s="482"/>
    </row>
    <row r="299" spans="1:5" ht="15" customHeight="1">
      <c r="A299" s="91"/>
      <c r="B299" s="90"/>
      <c r="C299" s="63"/>
      <c r="E299" s="482"/>
    </row>
    <row r="300" spans="1:5" ht="15" customHeight="1">
      <c r="A300" s="91"/>
      <c r="B300" s="90"/>
      <c r="C300" s="63"/>
      <c r="E300" s="482"/>
    </row>
    <row r="301" spans="1:5" ht="15" customHeight="1">
      <c r="A301" s="91"/>
      <c r="B301" s="90"/>
      <c r="C301" s="63"/>
      <c r="E301" s="482"/>
    </row>
    <row r="302" spans="1:5" ht="15" customHeight="1">
      <c r="A302" s="91"/>
      <c r="B302" s="90"/>
      <c r="C302" s="63"/>
      <c r="E302" s="482"/>
    </row>
    <row r="303" spans="1:5" ht="15" customHeight="1">
      <c r="A303" s="91"/>
      <c r="B303" s="90"/>
      <c r="C303" s="63"/>
      <c r="E303" s="482"/>
    </row>
    <row r="304" spans="1:5" ht="15" customHeight="1">
      <c r="A304" s="91"/>
      <c r="B304" s="90"/>
      <c r="C304" s="63"/>
      <c r="E304" s="482"/>
    </row>
    <row r="305" spans="1:5" ht="15" customHeight="1">
      <c r="A305" s="91"/>
      <c r="B305" s="90"/>
      <c r="C305" s="63"/>
      <c r="E305" s="482"/>
    </row>
    <row r="306" spans="1:5" ht="15" customHeight="1">
      <c r="A306" s="91"/>
      <c r="B306" s="90"/>
      <c r="C306" s="63"/>
      <c r="E306" s="482"/>
    </row>
    <row r="307" spans="1:5" ht="15" customHeight="1">
      <c r="A307" s="91"/>
      <c r="B307" s="90"/>
      <c r="C307" s="63"/>
      <c r="E307" s="482"/>
    </row>
    <row r="308" spans="1:5" ht="15" customHeight="1">
      <c r="A308" s="91"/>
      <c r="B308" s="90"/>
      <c r="C308" s="63"/>
      <c r="E308" s="482"/>
    </row>
    <row r="309" spans="1:5" ht="15" customHeight="1">
      <c r="A309" s="91"/>
      <c r="B309" s="90"/>
      <c r="C309" s="63"/>
      <c r="E309" s="482"/>
    </row>
    <row r="310" spans="1:5" ht="15" customHeight="1">
      <c r="A310" s="91"/>
      <c r="B310" s="90"/>
      <c r="C310" s="63"/>
      <c r="E310" s="482"/>
    </row>
    <row r="311" spans="1:5" ht="15" customHeight="1">
      <c r="A311" s="91"/>
      <c r="B311" s="90"/>
      <c r="C311" s="63"/>
      <c r="E311" s="482"/>
    </row>
    <row r="312" spans="1:5" ht="15" customHeight="1">
      <c r="A312" s="91"/>
      <c r="B312" s="90"/>
      <c r="C312" s="63"/>
      <c r="E312" s="482"/>
    </row>
    <row r="313" spans="1:5" ht="15" customHeight="1">
      <c r="A313" s="91"/>
      <c r="B313" s="90"/>
      <c r="C313" s="63"/>
      <c r="E313" s="482"/>
    </row>
    <row r="314" spans="1:5" ht="15" customHeight="1">
      <c r="A314" s="91"/>
      <c r="B314" s="90"/>
      <c r="C314" s="63"/>
      <c r="E314" s="482"/>
    </row>
    <row r="315" spans="1:5" ht="15" customHeight="1">
      <c r="A315" s="91"/>
      <c r="B315" s="90"/>
      <c r="C315" s="63"/>
      <c r="E315" s="482"/>
    </row>
    <row r="316" spans="1:5" ht="15" customHeight="1">
      <c r="A316" s="91"/>
      <c r="B316" s="90"/>
      <c r="C316" s="63"/>
      <c r="E316" s="482"/>
    </row>
    <row r="317" spans="1:5" ht="15" customHeight="1">
      <c r="A317" s="91"/>
      <c r="B317" s="90"/>
      <c r="C317" s="63"/>
      <c r="E317" s="482"/>
    </row>
    <row r="318" spans="1:5" ht="15" customHeight="1">
      <c r="A318" s="91"/>
      <c r="B318" s="90"/>
      <c r="C318" s="63"/>
      <c r="E318" s="482"/>
    </row>
    <row r="319" spans="1:5" ht="15" customHeight="1">
      <c r="A319" s="91"/>
      <c r="B319" s="90"/>
      <c r="C319" s="63"/>
      <c r="E319" s="482"/>
    </row>
    <row r="320" spans="1:5" ht="15" customHeight="1">
      <c r="A320" s="91"/>
      <c r="B320" s="90"/>
      <c r="C320" s="63"/>
      <c r="E320" s="482"/>
    </row>
    <row r="321" spans="1:5" ht="15" customHeight="1">
      <c r="A321" s="91"/>
      <c r="B321" s="90"/>
      <c r="C321" s="63"/>
      <c r="E321" s="482"/>
    </row>
    <row r="322" spans="1:5" ht="15" customHeight="1">
      <c r="A322" s="91"/>
      <c r="B322" s="90"/>
      <c r="C322" s="63"/>
      <c r="E322" s="482"/>
    </row>
    <row r="323" spans="1:5" ht="15" customHeight="1">
      <c r="A323" s="91"/>
      <c r="B323" s="90"/>
      <c r="C323" s="63"/>
      <c r="E323" s="482"/>
    </row>
    <row r="324" spans="1:5" ht="15" customHeight="1">
      <c r="A324" s="91"/>
      <c r="B324" s="90"/>
      <c r="C324" s="63"/>
      <c r="E324" s="482"/>
    </row>
    <row r="325" spans="1:5" ht="15" customHeight="1">
      <c r="A325" s="91"/>
      <c r="B325" s="90"/>
      <c r="C325" s="63"/>
      <c r="E325" s="482"/>
    </row>
    <row r="326" spans="1:5" ht="15" customHeight="1">
      <c r="A326" s="91"/>
      <c r="B326" s="90"/>
      <c r="C326" s="63"/>
      <c r="E326" s="482"/>
    </row>
    <row r="327" spans="1:5" ht="15" customHeight="1">
      <c r="A327" s="91"/>
      <c r="B327" s="90"/>
      <c r="C327" s="63"/>
      <c r="E327" s="482"/>
    </row>
    <row r="328" spans="1:5" ht="15" customHeight="1">
      <c r="A328" s="91"/>
      <c r="B328" s="90"/>
      <c r="C328" s="63"/>
      <c r="E328" s="482"/>
    </row>
    <row r="329" spans="1:5" ht="15" customHeight="1">
      <c r="A329" s="91"/>
      <c r="B329" s="90"/>
      <c r="C329" s="63"/>
      <c r="E329" s="482"/>
    </row>
    <row r="330" spans="1:5" ht="15" customHeight="1">
      <c r="A330" s="91"/>
      <c r="B330" s="90"/>
      <c r="C330" s="63"/>
      <c r="E330" s="482"/>
    </row>
    <row r="331" spans="1:5" ht="15" customHeight="1">
      <c r="A331" s="91"/>
      <c r="B331" s="90"/>
      <c r="C331" s="63"/>
      <c r="E331" s="482"/>
    </row>
    <row r="332" spans="1:5" ht="15" customHeight="1">
      <c r="A332" s="91"/>
      <c r="B332" s="90"/>
      <c r="C332" s="63"/>
      <c r="E332" s="482"/>
    </row>
    <row r="333" spans="1:5" ht="15" customHeight="1">
      <c r="A333" s="91"/>
    </row>
  </sheetData>
  <sheetProtection password="C74A" sheet="1" objects="1" scenarios="1" formatColumns="0" formatRows="0"/>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93">
    <mergeCell ref="H104:I104"/>
    <mergeCell ref="H115:I115"/>
    <mergeCell ref="H116:I116"/>
    <mergeCell ref="H110:I110"/>
    <mergeCell ref="H111:I111"/>
    <mergeCell ref="H112:I112"/>
    <mergeCell ref="H113:I113"/>
    <mergeCell ref="H114:I114"/>
    <mergeCell ref="H105:I105"/>
    <mergeCell ref="H106:I106"/>
    <mergeCell ref="H107:I107"/>
    <mergeCell ref="H108:I108"/>
    <mergeCell ref="H109:I109"/>
    <mergeCell ref="H102:I102"/>
    <mergeCell ref="H103:I103"/>
    <mergeCell ref="I12:I18"/>
    <mergeCell ref="I19:I25"/>
    <mergeCell ref="I26:I29"/>
    <mergeCell ref="I30:I35"/>
    <mergeCell ref="I47:I52"/>
    <mergeCell ref="H19:H25"/>
    <mergeCell ref="H12:H18"/>
    <mergeCell ref="H36:H41"/>
    <mergeCell ref="H81:H84"/>
    <mergeCell ref="H99:I99"/>
    <mergeCell ref="H100:I100"/>
    <mergeCell ref="I89:I92"/>
    <mergeCell ref="I36:I41"/>
    <mergeCell ref="I42:I46"/>
    <mergeCell ref="A3:A7"/>
    <mergeCell ref="A30:A35"/>
    <mergeCell ref="B36:B41"/>
    <mergeCell ref="E1:I1"/>
    <mergeCell ref="I3:I7"/>
    <mergeCell ref="I8:I11"/>
    <mergeCell ref="H8:H11"/>
    <mergeCell ref="H3:H7"/>
    <mergeCell ref="A1:B1"/>
    <mergeCell ref="B3:B7"/>
    <mergeCell ref="A8:A11"/>
    <mergeCell ref="A19:A25"/>
    <mergeCell ref="C99:E99"/>
    <mergeCell ref="H69:H72"/>
    <mergeCell ref="H26:H29"/>
    <mergeCell ref="B69:B72"/>
    <mergeCell ref="A85:A88"/>
    <mergeCell ref="B47:B52"/>
    <mergeCell ref="B26:B29"/>
    <mergeCell ref="B63:B68"/>
    <mergeCell ref="B53:B58"/>
    <mergeCell ref="D96:F96"/>
    <mergeCell ref="D97:F97"/>
    <mergeCell ref="B30:B35"/>
    <mergeCell ref="H63:H68"/>
    <mergeCell ref="A26:A29"/>
    <mergeCell ref="H73:H77"/>
    <mergeCell ref="A36:A41"/>
    <mergeCell ref="B42:B46"/>
    <mergeCell ref="B19:B25"/>
    <mergeCell ref="B8:B11"/>
    <mergeCell ref="B12:B18"/>
    <mergeCell ref="A12:A18"/>
    <mergeCell ref="A42:A46"/>
    <mergeCell ref="C100:E100"/>
    <mergeCell ref="D94:F94"/>
    <mergeCell ref="A73:A77"/>
    <mergeCell ref="H30:H35"/>
    <mergeCell ref="B73:B77"/>
    <mergeCell ref="B59:B62"/>
    <mergeCell ref="H59:H62"/>
    <mergeCell ref="H85:H88"/>
    <mergeCell ref="A63:A68"/>
    <mergeCell ref="D95:F95"/>
    <mergeCell ref="B85:B88"/>
    <mergeCell ref="H53:H58"/>
    <mergeCell ref="H42:H46"/>
    <mergeCell ref="B89:B92"/>
    <mergeCell ref="H89:H92"/>
    <mergeCell ref="A81:A84"/>
    <mergeCell ref="A89:A92"/>
    <mergeCell ref="H47:H52"/>
    <mergeCell ref="I69:I72"/>
    <mergeCell ref="I81:I84"/>
    <mergeCell ref="I85:I88"/>
    <mergeCell ref="B81:B84"/>
    <mergeCell ref="A53:A58"/>
    <mergeCell ref="I53:I58"/>
    <mergeCell ref="I59:I62"/>
    <mergeCell ref="I63:I68"/>
    <mergeCell ref="I73:I77"/>
    <mergeCell ref="A69:A72"/>
    <mergeCell ref="A59:A62"/>
    <mergeCell ref="A47:A52"/>
  </mergeCells>
  <phoneticPr fontId="2" type="noConversion"/>
  <pageMargins left="0.75" right="0.75" top="1" bottom="1" header="0.5" footer="0.5"/>
  <pageSetup orientation="portrait" horizontalDpi="4294967294" verticalDpi="300" r:id="rId2"/>
  <headerFooter alignWithMargins="0"/>
</worksheet>
</file>

<file path=xl/worksheets/sheet7.xml><?xml version="1.0" encoding="utf-8"?>
<worksheet xmlns="http://schemas.openxmlformats.org/spreadsheetml/2006/main" xmlns:r="http://schemas.openxmlformats.org/officeDocument/2006/relationships">
  <sheetPr codeName="Sheet23"/>
  <dimension ref="A1:K61"/>
  <sheetViews>
    <sheetView zoomScaleNormal="100" workbookViewId="0">
      <selection sqref="A1:B1"/>
    </sheetView>
  </sheetViews>
  <sheetFormatPr defaultColWidth="9.33203125" defaultRowHeight="13.8"/>
  <cols>
    <col min="1" max="1" width="5.77734375" style="33" customWidth="1"/>
    <col min="2" max="2" width="18.77734375" style="33" customWidth="1"/>
    <col min="3" max="3" width="69.77734375" style="7" customWidth="1"/>
    <col min="4" max="6" width="6.77734375" style="185" customWidth="1"/>
    <col min="7" max="7" width="9.77734375" style="156" customWidth="1"/>
    <col min="8" max="8" width="69.77734375" style="7" customWidth="1"/>
    <col min="9" max="9" width="11.77734375" style="7" customWidth="1"/>
    <col min="10" max="10" width="9.33203125" style="7"/>
    <col min="11" max="11" width="9.33203125" style="138"/>
    <col min="12" max="16384" width="9.33203125" style="7"/>
  </cols>
  <sheetData>
    <row r="1" spans="1:11" ht="45" customHeight="1" thickBot="1">
      <c r="A1" s="2386" t="s">
        <v>1601</v>
      </c>
      <c r="B1" s="2387"/>
      <c r="C1" s="124" t="s">
        <v>1252</v>
      </c>
      <c r="D1" s="543" t="s">
        <v>1253</v>
      </c>
      <c r="E1" s="2375"/>
      <c r="F1" s="2376"/>
      <c r="G1" s="2376"/>
      <c r="H1" s="2376"/>
      <c r="I1" s="2376"/>
    </row>
    <row r="2" spans="1:11" s="450" customFormat="1" ht="36" customHeight="1" thickBot="1">
      <c r="A2" s="1555" t="s">
        <v>168</v>
      </c>
      <c r="B2" s="1555" t="s">
        <v>2621</v>
      </c>
      <c r="C2" s="1574" t="s">
        <v>1354</v>
      </c>
      <c r="D2" s="1575" t="s">
        <v>64</v>
      </c>
      <c r="E2" s="1576" t="s">
        <v>1383</v>
      </c>
      <c r="F2" s="1577" t="s">
        <v>1384</v>
      </c>
      <c r="G2" s="1578" t="s">
        <v>1293</v>
      </c>
      <c r="H2" s="1579" t="s">
        <v>1294</v>
      </c>
      <c r="I2" s="1580" t="s">
        <v>2622</v>
      </c>
    </row>
    <row r="3" spans="1:11" ht="21" customHeight="1" thickBot="1">
      <c r="A3" s="2181" t="str">
        <f>OF!A118</f>
        <v>OF26</v>
      </c>
      <c r="B3" s="2318" t="str">
        <f>OF!B118</f>
        <v>Aspect</v>
      </c>
      <c r="C3" s="439" t="str">
        <f>OF!C118</f>
        <v>The overland flow direction of most surface water (in streams or runoff) that enters the AA is:</v>
      </c>
      <c r="D3" s="517"/>
      <c r="E3" s="517"/>
      <c r="F3" s="518"/>
      <c r="G3" s="537">
        <f>MAX(F4:F6)/MAX(E4:E6)</f>
        <v>0</v>
      </c>
      <c r="H3" s="2209" t="s">
        <v>1920</v>
      </c>
      <c r="I3" s="2212" t="s">
        <v>439</v>
      </c>
    </row>
    <row r="4" spans="1:11" ht="15" customHeight="1">
      <c r="A4" s="2180"/>
      <c r="B4" s="2319"/>
      <c r="C4" s="440" t="str">
        <f>OF!C119</f>
        <v>Northward (N, NE). north-facing contributing area.</v>
      </c>
      <c r="D4" s="255">
        <f>OF!D119</f>
        <v>0</v>
      </c>
      <c r="E4" s="514">
        <v>2</v>
      </c>
      <c r="F4" s="514">
        <f>D4*E4</f>
        <v>0</v>
      </c>
      <c r="G4" s="515"/>
      <c r="H4" s="2208"/>
      <c r="I4" s="2213"/>
    </row>
    <row r="5" spans="1:11" ht="15" customHeight="1">
      <c r="A5" s="2180"/>
      <c r="B5" s="2319"/>
      <c r="C5" s="352" t="str">
        <f>OF!C120</f>
        <v>Southward (S, SW). south-facing contributing area.</v>
      </c>
      <c r="D5" s="78">
        <f>OF!D120</f>
        <v>0</v>
      </c>
      <c r="E5" s="514">
        <v>0</v>
      </c>
      <c r="F5" s="514">
        <f>D5*E5</f>
        <v>0</v>
      </c>
      <c r="G5" s="509"/>
      <c r="H5" s="2208"/>
      <c r="I5" s="2213"/>
    </row>
    <row r="6" spans="1:11" ht="15" customHeight="1" thickBot="1">
      <c r="A6" s="2187"/>
      <c r="B6" s="2322"/>
      <c r="C6" s="441" t="str">
        <f>OF!C121</f>
        <v>other (E, SE, W, NW), or no detectable uphill slope or input channel (flat).</v>
      </c>
      <c r="D6" s="193">
        <f>OF!D121</f>
        <v>0</v>
      </c>
      <c r="E6" s="520">
        <v>1</v>
      </c>
      <c r="F6" s="520">
        <f>D6*E6</f>
        <v>0</v>
      </c>
      <c r="G6" s="521"/>
      <c r="H6" s="2210"/>
      <c r="I6" s="2377"/>
    </row>
    <row r="7" spans="1:11" s="8" customFormat="1" ht="21" customHeight="1" thickBot="1">
      <c r="A7" s="2389" t="str">
        <f>F!A4</f>
        <v>F1</v>
      </c>
      <c r="B7" s="2148" t="str">
        <f>F!B4</f>
        <v>Wetland Type</v>
      </c>
      <c r="C7" s="400" t="str">
        <f>F!C4</f>
        <v>The vegetated part of the Assessment Area (AA) is mostly a (select ONE):</v>
      </c>
      <c r="D7" s="517"/>
      <c r="E7" s="505"/>
      <c r="F7" s="512"/>
      <c r="G7" s="538">
        <f>MAX(F8:F11)/MAX(E8:E11)</f>
        <v>0</v>
      </c>
      <c r="H7" s="2211" t="s">
        <v>1813</v>
      </c>
      <c r="I7" s="2148" t="s">
        <v>536</v>
      </c>
      <c r="K7" s="163"/>
    </row>
    <row r="8" spans="1:11" s="8" customFormat="1" ht="57" customHeight="1">
      <c r="A8" s="2390"/>
      <c r="B8" s="2146"/>
      <c r="C8" s="357"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8" s="354">
        <f>F!D5</f>
        <v>0</v>
      </c>
      <c r="E8" s="507">
        <v>2</v>
      </c>
      <c r="F8" s="514">
        <f>D8*E8</f>
        <v>0</v>
      </c>
      <c r="G8" s="515"/>
      <c r="H8" s="2211"/>
      <c r="I8" s="2146"/>
      <c r="K8" s="163"/>
    </row>
    <row r="9" spans="1:11" s="8" customFormat="1" ht="57" customHeight="1">
      <c r="A9" s="2390"/>
      <c r="B9" s="2146"/>
      <c r="C9" s="358"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9" s="254">
        <f>F!D6</f>
        <v>0</v>
      </c>
      <c r="E9" s="507">
        <v>3</v>
      </c>
      <c r="F9" s="514">
        <f>D9*E9</f>
        <v>0</v>
      </c>
      <c r="G9" s="509"/>
      <c r="H9" s="2211"/>
      <c r="I9" s="2146"/>
      <c r="K9" s="163"/>
    </row>
    <row r="10" spans="1:11" ht="69" customHeight="1">
      <c r="A10" s="2390"/>
      <c r="B10" s="2146"/>
      <c r="C10" s="442"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10" s="264">
        <f>F!D7</f>
        <v>0</v>
      </c>
      <c r="E10" s="507">
        <v>4</v>
      </c>
      <c r="F10" s="514">
        <f>D10*E10</f>
        <v>0</v>
      </c>
      <c r="G10" s="509"/>
      <c r="H10" s="2211"/>
      <c r="I10" s="2146"/>
    </row>
    <row r="11" spans="1:11" ht="69" customHeight="1" thickBot="1">
      <c r="A11" s="2391"/>
      <c r="B11" s="2149"/>
      <c r="C11" s="442"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11" s="264">
        <f>F!D8</f>
        <v>0</v>
      </c>
      <c r="E11" s="507">
        <v>1</v>
      </c>
      <c r="F11" s="514">
        <f>D11*E11</f>
        <v>0</v>
      </c>
      <c r="G11" s="510"/>
      <c r="H11" s="2211"/>
      <c r="I11" s="2149"/>
    </row>
    <row r="12" spans="1:11" ht="45" customHeight="1" thickBot="1">
      <c r="A12" s="2181" t="str">
        <f>F!A71</f>
        <v>F14</v>
      </c>
      <c r="B12" s="2212" t="str">
        <f>F!B71</f>
        <v>Soil Texture</v>
      </c>
      <c r="C12" s="443" t="str">
        <f>F!C71</f>
        <v xml:space="preserve">In parts of the AA that lack persistent water, the texture of soil in the uppermost layer is mostly:  [To determine this, use a trowel to check in at least 3 widely spaced locations, and use the soil texture key (Figure A-7 in the Manual. ] </v>
      </c>
      <c r="D12" s="517"/>
      <c r="E12" s="517"/>
      <c r="F12" s="518"/>
      <c r="G12" s="537">
        <f>MAX(F13:F17)/MAX(E13:E17)</f>
        <v>0</v>
      </c>
      <c r="H12" s="2209" t="s">
        <v>2135</v>
      </c>
      <c r="I12" s="2212" t="s">
        <v>436</v>
      </c>
    </row>
    <row r="13" spans="1:11" ht="16.8" customHeight="1">
      <c r="A13" s="2180"/>
      <c r="B13" s="2213"/>
      <c r="C13" s="445" t="str">
        <f>F!C72</f>
        <v>Loamy: includes loam, sandy loam.</v>
      </c>
      <c r="D13" s="255">
        <f>F!D72</f>
        <v>0</v>
      </c>
      <c r="E13" s="514">
        <v>3</v>
      </c>
      <c r="F13" s="514">
        <f>D13*E13</f>
        <v>0</v>
      </c>
      <c r="G13" s="515"/>
      <c r="H13" s="2208"/>
      <c r="I13" s="2213"/>
    </row>
    <row r="14" spans="1:11" ht="27" customHeight="1">
      <c r="A14" s="2180"/>
      <c r="B14" s="2213"/>
      <c r="C14" s="446" t="str">
        <f>F!C73</f>
        <v>Fines: includes silt, clay, clay loam, silty clay, silty clay loam, sandy clay, sandy clay loam.</v>
      </c>
      <c r="D14" s="78">
        <f>F!D73</f>
        <v>0</v>
      </c>
      <c r="E14" s="514">
        <v>1</v>
      </c>
      <c r="F14" s="514">
        <f>D14*E14</f>
        <v>0</v>
      </c>
      <c r="G14" s="509"/>
      <c r="H14" s="2208"/>
      <c r="I14" s="2213"/>
    </row>
    <row r="15" spans="1:11" ht="16.8" customHeight="1">
      <c r="A15" s="2180"/>
      <c r="B15" s="2213"/>
      <c r="C15" s="446" t="str">
        <f>F!C74</f>
        <v>Peat, to 40 cm depth or greater.</v>
      </c>
      <c r="D15" s="78">
        <f>F!D74</f>
        <v>0</v>
      </c>
      <c r="E15" s="514">
        <v>5</v>
      </c>
      <c r="F15" s="514">
        <f>D15*E15</f>
        <v>0</v>
      </c>
      <c r="G15" s="509"/>
      <c r="H15" s="2208"/>
      <c r="I15" s="2213"/>
    </row>
    <row r="16" spans="1:11" ht="16.8" customHeight="1">
      <c r="A16" s="2180"/>
      <c r="B16" s="2213"/>
      <c r="C16" s="446" t="str">
        <f>F!C75</f>
        <v xml:space="preserve">Peat or organic &lt;40 cm deep. </v>
      </c>
      <c r="D16" s="78">
        <f>F!D75</f>
        <v>0</v>
      </c>
      <c r="E16" s="514">
        <v>4</v>
      </c>
      <c r="F16" s="514">
        <f>D16*E16</f>
        <v>0</v>
      </c>
      <c r="G16" s="509"/>
      <c r="H16" s="2208"/>
      <c r="I16" s="2213"/>
    </row>
    <row r="17" spans="1:9" ht="27" customHeight="1" thickBot="1">
      <c r="A17" s="2187"/>
      <c r="B17" s="2377"/>
      <c r="C17" s="444" t="str">
        <f>F!C76</f>
        <v>Coarse: includes sand, loamy sand, gravel, cobble, stones, boulders, fluvents, fluvaquents, riverwash.</v>
      </c>
      <c r="D17" s="193">
        <f>F!D76</f>
        <v>0</v>
      </c>
      <c r="E17" s="520">
        <v>2</v>
      </c>
      <c r="F17" s="520">
        <f>D17*E17</f>
        <v>0</v>
      </c>
      <c r="G17" s="521"/>
      <c r="H17" s="2210"/>
      <c r="I17" s="2377"/>
    </row>
    <row r="18" spans="1:9" ht="30" customHeight="1" thickBot="1">
      <c r="A18" s="2181" t="str">
        <f>F!A147</f>
        <v>F29</v>
      </c>
      <c r="B18" s="2212" t="str">
        <f>F!B147</f>
        <v>Predominant Depth Class</v>
      </c>
      <c r="C18" s="443" t="str">
        <f>F!C147</f>
        <v>During most of the time when surface water is present during the growing season, its depth, averaged over the entire inundated part of the AA, is:</v>
      </c>
      <c r="D18" s="517"/>
      <c r="E18" s="539"/>
      <c r="F18" s="518"/>
      <c r="G18" s="537">
        <f>IF((AllSat1&gt;0),"",IF((TooSmall=1),"",MAX(F19:F23)/MAX(E19:E23)))</f>
        <v>0</v>
      </c>
      <c r="H18" s="2209" t="s">
        <v>2261</v>
      </c>
      <c r="I18" s="2212" t="s">
        <v>435</v>
      </c>
    </row>
    <row r="19" spans="1:9" ht="15" customHeight="1">
      <c r="A19" s="2180"/>
      <c r="B19" s="2213"/>
      <c r="C19" s="657" t="str">
        <f>F!C148</f>
        <v>&lt;10 cm deep (but &gt;0).</v>
      </c>
      <c r="D19" s="654">
        <f>F!D148</f>
        <v>0</v>
      </c>
      <c r="E19" s="507">
        <v>0</v>
      </c>
      <c r="F19" s="514">
        <f>D19*E19</f>
        <v>0</v>
      </c>
      <c r="G19" s="515"/>
      <c r="H19" s="2208"/>
      <c r="I19" s="2213"/>
    </row>
    <row r="20" spans="1:9" ht="15" customHeight="1">
      <c r="A20" s="2180"/>
      <c r="B20" s="2213"/>
      <c r="C20" s="353" t="str">
        <f>F!C149</f>
        <v>10 - 50 cm deep.</v>
      </c>
      <c r="D20" s="549">
        <f>F!D149</f>
        <v>0</v>
      </c>
      <c r="E20" s="507">
        <v>1</v>
      </c>
      <c r="F20" s="514">
        <f>D20*E20</f>
        <v>0</v>
      </c>
      <c r="G20" s="509"/>
      <c r="H20" s="2208"/>
      <c r="I20" s="2213"/>
    </row>
    <row r="21" spans="1:9" ht="15" customHeight="1">
      <c r="A21" s="2180"/>
      <c r="B21" s="2213"/>
      <c r="C21" s="353" t="str">
        <f>F!C150</f>
        <v>0.5 - 1 m deep.</v>
      </c>
      <c r="D21" s="549">
        <f>F!D150</f>
        <v>0</v>
      </c>
      <c r="E21" s="507">
        <v>2</v>
      </c>
      <c r="F21" s="514">
        <f>D21*E21</f>
        <v>0</v>
      </c>
      <c r="G21" s="509"/>
      <c r="H21" s="2208"/>
      <c r="I21" s="2213"/>
    </row>
    <row r="22" spans="1:9" ht="15" customHeight="1">
      <c r="A22" s="2180"/>
      <c r="B22" s="2213"/>
      <c r="C22" s="353" t="str">
        <f>F!C151</f>
        <v>1 - 2 m deep.</v>
      </c>
      <c r="D22" s="549">
        <f>F!D151</f>
        <v>0</v>
      </c>
      <c r="E22" s="507">
        <v>3</v>
      </c>
      <c r="F22" s="514">
        <f>D22*E22</f>
        <v>0</v>
      </c>
      <c r="G22" s="509"/>
      <c r="H22" s="2208"/>
      <c r="I22" s="2213"/>
    </row>
    <row r="23" spans="1:9" ht="15" customHeight="1" thickBot="1">
      <c r="A23" s="2187"/>
      <c r="B23" s="2377"/>
      <c r="C23" s="444" t="str">
        <f>F!C152</f>
        <v>&gt;2 m deep. True for many fringe wetlands.</v>
      </c>
      <c r="D23" s="193">
        <f>F!D152</f>
        <v>0</v>
      </c>
      <c r="E23" s="540">
        <v>4</v>
      </c>
      <c r="F23" s="520">
        <f>D23*E23</f>
        <v>0</v>
      </c>
      <c r="G23" s="521"/>
      <c r="H23" s="2210"/>
      <c r="I23" s="2377"/>
    </row>
    <row r="24" spans="1:9" ht="30" customHeight="1" thickBot="1">
      <c r="A24" s="2180" t="str">
        <f>F!A200</f>
        <v>F42</v>
      </c>
      <c r="B24" s="2213" t="str">
        <f>F!B200</f>
        <v>Channel Connection &amp; Outflow Duration</v>
      </c>
      <c r="C24" s="448" t="str">
        <f>F!C200</f>
        <v>The most persistent surface water connection (outlet channel or pipe, ditch, or overbank water exchange) between the AA and the closest larger water body located downslope is:</v>
      </c>
      <c r="D24" s="505"/>
      <c r="E24" s="504"/>
      <c r="F24" s="512"/>
      <c r="G24" s="541">
        <f>MAX(F25:F29)/MAX(E25:E29)</f>
        <v>0</v>
      </c>
      <c r="H24" s="2208" t="s">
        <v>710</v>
      </c>
      <c r="I24" s="2212" t="s">
        <v>438</v>
      </c>
    </row>
    <row r="25" spans="1:9" ht="15" customHeight="1">
      <c r="A25" s="2180"/>
      <c r="B25" s="2213"/>
      <c r="C25" s="440" t="str">
        <f>F!C201</f>
        <v>persistent (&gt;9 months/year, regardless of whether frozen or not).</v>
      </c>
      <c r="D25" s="255">
        <f>F!D201</f>
        <v>0</v>
      </c>
      <c r="E25" s="514">
        <v>6</v>
      </c>
      <c r="F25" s="514">
        <f>D25*E25</f>
        <v>0</v>
      </c>
      <c r="G25" s="515"/>
      <c r="H25" s="2208"/>
      <c r="I25" s="2213"/>
    </row>
    <row r="26" spans="1:9" ht="15" customHeight="1">
      <c r="A26" s="2180"/>
      <c r="B26" s="2213"/>
      <c r="C26" s="352" t="str">
        <f>F!C202</f>
        <v>seasonal (14 days to 9 months/year, not necessarily consecutive, including times when frozen).</v>
      </c>
      <c r="D26" s="78">
        <f>F!D202</f>
        <v>0</v>
      </c>
      <c r="E26" s="514">
        <v>3</v>
      </c>
      <c r="F26" s="514">
        <f>D26*E26</f>
        <v>0</v>
      </c>
      <c r="G26" s="509"/>
      <c r="H26" s="2208"/>
      <c r="I26" s="2213"/>
    </row>
    <row r="27" spans="1:9" ht="15" customHeight="1">
      <c r="A27" s="2180"/>
      <c r="B27" s="2213"/>
      <c r="C27" s="352" t="str">
        <f>F!C203</f>
        <v>temporary (&lt;14 days, not necessarily consecutive, but must be unfrozen).</v>
      </c>
      <c r="D27" s="78">
        <f>F!D203</f>
        <v>0</v>
      </c>
      <c r="E27" s="514">
        <v>2</v>
      </c>
      <c r="F27" s="514">
        <f>D27*E27</f>
        <v>0</v>
      </c>
      <c r="G27" s="509"/>
      <c r="H27" s="2208"/>
      <c r="I27" s="2213"/>
    </row>
    <row r="28" spans="1:9" ht="27" customHeight="1">
      <c r="A28" s="2180"/>
      <c r="B28" s="2213"/>
      <c r="C28" s="352" t="str">
        <f>F!C204</f>
        <v>none -- but maps show a stream or other water body that is downslope from the AA and within a distance that is less than the AA's length. SKIP to F44 (Tributary Channel).</v>
      </c>
      <c r="D28" s="78">
        <f>F!D204</f>
        <v>0</v>
      </c>
      <c r="E28" s="514">
        <v>1</v>
      </c>
      <c r="F28" s="514">
        <f>D28*E28</f>
        <v>0</v>
      </c>
      <c r="G28" s="510"/>
      <c r="H28" s="2208"/>
      <c r="I28" s="2213"/>
    </row>
    <row r="29" spans="1:9" ht="42" customHeight="1" thickBot="1">
      <c r="A29" s="2187"/>
      <c r="B29" s="2377"/>
      <c r="C29" s="441" t="str">
        <f>F!C205</f>
        <v>no surface water flows out of the wetland except possibly during extreme events (&lt;once per 10 years). Or, water flows only into a wetland, ditch, or lake that lacks an outlet. SKIP to F47 (pH Measurement).</v>
      </c>
      <c r="D29" s="193">
        <f>F!D205</f>
        <v>0</v>
      </c>
      <c r="E29" s="520">
        <v>0</v>
      </c>
      <c r="F29" s="520">
        <f>D29*E29</f>
        <v>0</v>
      </c>
      <c r="G29" s="521"/>
      <c r="H29" s="2210"/>
      <c r="I29" s="2377"/>
    </row>
    <row r="30" spans="1:9" ht="21" customHeight="1" thickBot="1">
      <c r="A30" s="2388" t="str">
        <f>F!A231</f>
        <v>F50</v>
      </c>
      <c r="B30" s="2213" t="str">
        <f>F!B231</f>
        <v>Groundwater Strength of Evidence</v>
      </c>
      <c r="C30" s="356" t="str">
        <f>F!C231</f>
        <v xml:space="preserve">Select first applicable choice. </v>
      </c>
      <c r="D30" s="517"/>
      <c r="E30" s="505"/>
      <c r="F30" s="512"/>
      <c r="G30" s="541">
        <f>MAX(F31:F33)/MAX(E31:E33)</f>
        <v>0</v>
      </c>
      <c r="H30" s="2208" t="s">
        <v>2380</v>
      </c>
      <c r="I30" s="2212" t="s">
        <v>437</v>
      </c>
    </row>
    <row r="31" spans="1:9" ht="42" customHeight="1">
      <c r="A31" s="2388"/>
      <c r="B31" s="2213"/>
      <c r="C31" s="445" t="str">
        <f>F!C232</f>
        <v>Groundwater monitoring has demonstrated that groundwater primarily discharges to the wetland for longer periods during the year than periods when the wetland recharges the groundwater. Or, springs are known to be present within the AA.</v>
      </c>
      <c r="D31" s="255">
        <f>F!D232</f>
        <v>0</v>
      </c>
      <c r="E31" s="514">
        <v>3</v>
      </c>
      <c r="F31" s="514">
        <f>D31*E31</f>
        <v>0</v>
      </c>
      <c r="G31" s="515"/>
      <c r="H31" s="2208"/>
      <c r="I31" s="2213"/>
    </row>
    <row r="32" spans="1:9" ht="42" customHeight="1">
      <c r="A32" s="2388"/>
      <c r="B32" s="2213"/>
      <c r="C32" s="446" t="str">
        <f>F!C233</f>
        <v>The upper end of the AA is located very close to the base of (but mostly not ON) a natural slope much steeper (usually &gt;15%) than that within the AA and longer than 100 m AND if surface water was measured, its pH (Q47) is &gt;5.5.</v>
      </c>
      <c r="D32" s="78">
        <f>F!D233</f>
        <v>0</v>
      </c>
      <c r="E32" s="514">
        <v>2</v>
      </c>
      <c r="F32" s="514">
        <f>D32*E32</f>
        <v>0</v>
      </c>
      <c r="G32" s="509"/>
      <c r="H32" s="2208"/>
      <c r="I32" s="2213"/>
    </row>
    <row r="33" spans="1:11" ht="27" customHeight="1" thickBot="1">
      <c r="A33" s="2388"/>
      <c r="B33" s="2213"/>
      <c r="C33" s="353" t="str">
        <f>F!C234</f>
        <v>Neither of above is true, although some groundwater may discharge to or flow through the AA. Or groundwater influx is unknown.</v>
      </c>
      <c r="D33" s="399">
        <f>F!D234</f>
        <v>0</v>
      </c>
      <c r="E33" s="516">
        <v>0</v>
      </c>
      <c r="F33" s="516">
        <f>D33*E33</f>
        <v>0</v>
      </c>
      <c r="G33" s="510"/>
      <c r="H33" s="2208"/>
      <c r="I33" s="2377"/>
    </row>
    <row r="34" spans="1:11" s="138" customFormat="1" ht="36" customHeight="1" thickBot="1">
      <c r="A34" s="1581" t="s">
        <v>168</v>
      </c>
      <c r="B34" s="1582" t="s">
        <v>2624</v>
      </c>
      <c r="C34" s="1583" t="s">
        <v>1354</v>
      </c>
      <c r="D34" s="1584" t="s">
        <v>64</v>
      </c>
      <c r="E34" s="1585" t="s">
        <v>1383</v>
      </c>
      <c r="F34" s="1586" t="s">
        <v>1384</v>
      </c>
      <c r="G34" s="1587" t="s">
        <v>1293</v>
      </c>
      <c r="H34" s="1588" t="s">
        <v>1294</v>
      </c>
      <c r="I34" s="1588" t="s">
        <v>2622</v>
      </c>
    </row>
    <row r="35" spans="1:11" ht="99" customHeight="1" thickBot="1">
      <c r="A35" s="2150" t="str">
        <f>OF!A89</f>
        <v>OF18</v>
      </c>
      <c r="B35" s="2148" t="str">
        <f>OF!B89</f>
        <v>Relative Elevation in Watershed</v>
      </c>
      <c r="C35" s="81" t="str">
        <f>OF!C89</f>
        <v>To view watersheds, open Google Earth and then the NB_Watersheds.kmz file that accompanies this calculator. Determine the AA's position in its watershed as follows: 
1) If the AA is on a channel wider than 10 m, or has both inlet &amp; outlet and is closer to the watershed's outlet than to its upper end, check "lower 1/3.” 
2) If the AA is the source of a headwater stream, or lacks an outlet and is close to the watershed's outer margin, then check "upper 1/3.”  For all other conditions, check "middle 1/3".</v>
      </c>
      <c r="D35" s="539"/>
      <c r="E35" s="517"/>
      <c r="F35" s="517"/>
      <c r="G35" s="1593">
        <f>MAX(F36:F38)/MAX(E36:E38)</f>
        <v>0</v>
      </c>
      <c r="H35" s="2148" t="s">
        <v>1918</v>
      </c>
      <c r="I35" s="2212" t="s">
        <v>2625</v>
      </c>
      <c r="K35" s="7"/>
    </row>
    <row r="36" spans="1:11" ht="15" customHeight="1">
      <c r="A36" s="2151"/>
      <c r="B36" s="2146"/>
      <c r="C36" s="1076" t="str">
        <f>OF!C90</f>
        <v>in the upper one-third of its watershed.</v>
      </c>
      <c r="D36" s="247">
        <f>OF!D90</f>
        <v>0</v>
      </c>
      <c r="E36" s="505">
        <v>3</v>
      </c>
      <c r="F36" s="514">
        <f>D36*E36</f>
        <v>0</v>
      </c>
      <c r="G36" s="512"/>
      <c r="H36" s="2146"/>
      <c r="I36" s="2213"/>
      <c r="K36" s="7"/>
    </row>
    <row r="37" spans="1:11" ht="15" customHeight="1">
      <c r="A37" s="2151"/>
      <c r="B37" s="2146"/>
      <c r="C37" s="491" t="str">
        <f>OF!C91</f>
        <v>in the middle one-third of its watershed.</v>
      </c>
      <c r="D37" s="247">
        <f>OF!D91</f>
        <v>0</v>
      </c>
      <c r="E37" s="505">
        <v>2</v>
      </c>
      <c r="F37" s="514">
        <f>D37*E37</f>
        <v>0</v>
      </c>
      <c r="G37" s="512"/>
      <c r="H37" s="2146"/>
      <c r="I37" s="2213"/>
      <c r="K37" s="7"/>
    </row>
    <row r="38" spans="1:11" ht="15" customHeight="1" thickBot="1">
      <c r="A38" s="2152"/>
      <c r="B38" s="2149"/>
      <c r="C38" s="659" t="str">
        <f>OF!C92</f>
        <v>in the lower one-third of its watershed.</v>
      </c>
      <c r="D38" s="254">
        <f>OF!D92</f>
        <v>0</v>
      </c>
      <c r="E38" s="1349">
        <v>1</v>
      </c>
      <c r="F38" s="516">
        <f>D38*E38</f>
        <v>0</v>
      </c>
      <c r="G38" s="528"/>
      <c r="H38" s="2149"/>
      <c r="I38" s="2377"/>
      <c r="K38" s="7"/>
    </row>
    <row r="39" spans="1:11" ht="30" customHeight="1" thickBot="1">
      <c r="A39" s="2392"/>
      <c r="B39" s="2212" t="s">
        <v>614</v>
      </c>
      <c r="C39" s="1056" t="s">
        <v>615</v>
      </c>
      <c r="D39" s="1592"/>
      <c r="E39" s="531"/>
      <c r="F39" s="526"/>
      <c r="G39" s="527">
        <f>INV!G160/10</f>
        <v>0.11111111111111112</v>
      </c>
      <c r="H39" s="123" t="s">
        <v>617</v>
      </c>
      <c r="I39" s="123" t="s">
        <v>446</v>
      </c>
    </row>
    <row r="40" spans="1:11" ht="30" customHeight="1" thickBot="1">
      <c r="A40" s="2392"/>
      <c r="B40" s="2213"/>
      <c r="C40" s="1056" t="s">
        <v>161</v>
      </c>
      <c r="D40" s="1592"/>
      <c r="E40" s="531"/>
      <c r="F40" s="526"/>
      <c r="G40" s="527">
        <f>FA!G147/10</f>
        <v>0</v>
      </c>
      <c r="H40" s="123" t="s">
        <v>617</v>
      </c>
      <c r="I40" s="123" t="s">
        <v>447</v>
      </c>
    </row>
    <row r="41" spans="1:11" ht="30" customHeight="1" thickBot="1">
      <c r="A41" s="2393"/>
      <c r="B41" s="2377"/>
      <c r="C41" s="1056" t="s">
        <v>162</v>
      </c>
      <c r="D41" s="1592"/>
      <c r="E41" s="531"/>
      <c r="F41" s="531"/>
      <c r="G41" s="527">
        <f>FR!G138/10</f>
        <v>0</v>
      </c>
      <c r="H41" s="123" t="s">
        <v>617</v>
      </c>
      <c r="I41" s="123" t="s">
        <v>448</v>
      </c>
    </row>
    <row r="42" spans="1:11" ht="21" customHeight="1" thickBot="1">
      <c r="A42" s="2379"/>
      <c r="B42" s="2379"/>
      <c r="C42" s="2379"/>
      <c r="D42" s="2379"/>
      <c r="E42" s="2379"/>
      <c r="F42" s="2379"/>
      <c r="G42" s="2379"/>
      <c r="H42" s="2379"/>
    </row>
    <row r="43" spans="1:11" ht="21" customHeight="1">
      <c r="A43" s="2397"/>
      <c r="B43" s="2397"/>
      <c r="C43" s="2397"/>
      <c r="D43" s="2402" t="s">
        <v>200</v>
      </c>
      <c r="E43" s="2403"/>
      <c r="F43" s="2403"/>
      <c r="G43" s="1691">
        <f>OutDur2_</f>
        <v>0</v>
      </c>
      <c r="H43" s="1897" t="s">
        <v>432</v>
      </c>
      <c r="I43" s="1898" t="s">
        <v>2714</v>
      </c>
    </row>
    <row r="44" spans="1:11" ht="21" customHeight="1">
      <c r="A44" s="2397"/>
      <c r="B44" s="2397"/>
      <c r="C44" s="2397"/>
      <c r="D44" s="2404" t="s">
        <v>278</v>
      </c>
      <c r="E44" s="2405"/>
      <c r="F44" s="2406"/>
      <c r="G44" s="1692">
        <f>AVERAGE(Aspect2_,Depth2_,Soil2_)</f>
        <v>0</v>
      </c>
      <c r="H44" s="1858" t="s">
        <v>2704</v>
      </c>
      <c r="I44" s="1899" t="s">
        <v>2715</v>
      </c>
    </row>
    <row r="45" spans="1:11" ht="21" customHeight="1" thickBot="1">
      <c r="A45" s="2397"/>
      <c r="B45" s="2397"/>
      <c r="C45" s="2397"/>
      <c r="D45" s="2400" t="s">
        <v>431</v>
      </c>
      <c r="E45" s="2401"/>
      <c r="F45" s="2401"/>
      <c r="G45" s="1693">
        <f>AVERAGE(Wettype2,Groundw2_)</f>
        <v>0</v>
      </c>
      <c r="H45" s="1903" t="s">
        <v>2703</v>
      </c>
      <c r="I45" s="1901" t="s">
        <v>2716</v>
      </c>
    </row>
    <row r="46" spans="1:11" ht="21" customHeight="1" thickBot="1">
      <c r="A46" s="2397"/>
      <c r="B46" s="2397"/>
      <c r="C46" s="2397"/>
      <c r="D46" s="2397"/>
      <c r="E46" s="2397"/>
      <c r="F46" s="2397"/>
      <c r="G46" s="2397"/>
      <c r="H46" s="2397"/>
    </row>
    <row r="47" spans="1:11" ht="30" customHeight="1" thickBot="1">
      <c r="A47" s="2398"/>
      <c r="B47" s="2399"/>
      <c r="C47" s="2394" t="s">
        <v>613</v>
      </c>
      <c r="D47" s="2395"/>
      <c r="E47" s="2396"/>
      <c r="F47" s="1591" t="s">
        <v>75</v>
      </c>
      <c r="G47" s="1589">
        <f>10*ConnectivLF*((ClimateLF + 2*GroundwDisch)/ 3)</f>
        <v>0</v>
      </c>
      <c r="H47" s="2363" t="s">
        <v>1919</v>
      </c>
      <c r="I47" s="2364"/>
    </row>
    <row r="48" spans="1:11" ht="30" customHeight="1" thickBot="1">
      <c r="A48" s="2398"/>
      <c r="B48" s="2399"/>
      <c r="C48" s="2394" t="s">
        <v>2404</v>
      </c>
      <c r="D48" s="2395"/>
      <c r="E48" s="2396"/>
      <c r="F48" s="1949" t="s">
        <v>2888</v>
      </c>
      <c r="G48" s="1590">
        <f>10*(AVERAGE(ShedPos2,AVERAGE(InvScore2_,AnadScore2_,ResFishScore2_)))</f>
        <v>0.1851851851851852</v>
      </c>
      <c r="H48" s="2363" t="s">
        <v>2705</v>
      </c>
      <c r="I48" s="2364"/>
    </row>
    <row r="49" spans="1:9" ht="21" customHeight="1" thickBot="1">
      <c r="A49" s="7"/>
      <c r="B49" s="7"/>
      <c r="D49" s="7"/>
      <c r="E49" s="7"/>
      <c r="F49" s="7"/>
      <c r="G49" s="7"/>
    </row>
    <row r="50" spans="1:9" ht="21" customHeight="1" thickBot="1">
      <c r="A50" s="7"/>
      <c r="B50" s="7"/>
      <c r="D50" s="7"/>
      <c r="E50" s="7"/>
      <c r="F50" s="7"/>
      <c r="G50" s="7"/>
      <c r="H50" s="2381" t="s">
        <v>806</v>
      </c>
      <c r="I50" s="2382"/>
    </row>
    <row r="51" spans="1:9" ht="27" customHeight="1">
      <c r="A51" s="7"/>
      <c r="B51" s="7"/>
      <c r="D51" s="7"/>
      <c r="E51" s="7"/>
      <c r="F51" s="7"/>
      <c r="G51" s="7"/>
      <c r="H51" s="2181" t="s">
        <v>1878</v>
      </c>
      <c r="I51" s="2383"/>
    </row>
    <row r="52" spans="1:9" ht="27" customHeight="1">
      <c r="A52" s="7"/>
      <c r="B52" s="7"/>
      <c r="D52" s="7"/>
      <c r="E52" s="7"/>
      <c r="F52" s="7"/>
      <c r="G52" s="7"/>
      <c r="H52" s="2384" t="s">
        <v>2616</v>
      </c>
      <c r="I52" s="2384"/>
    </row>
    <row r="53" spans="1:9" ht="42" customHeight="1">
      <c r="A53" s="7"/>
      <c r="B53" s="7"/>
      <c r="D53" s="7"/>
      <c r="E53" s="7"/>
      <c r="F53" s="7"/>
      <c r="G53" s="7"/>
      <c r="H53" s="2384" t="s">
        <v>1134</v>
      </c>
      <c r="I53" s="2384"/>
    </row>
    <row r="54" spans="1:9" ht="42" customHeight="1">
      <c r="A54" s="7"/>
      <c r="B54" s="7"/>
      <c r="D54" s="7"/>
      <c r="E54" s="7"/>
      <c r="F54" s="7"/>
      <c r="G54" s="7"/>
      <c r="H54" s="2385" t="s">
        <v>814</v>
      </c>
      <c r="I54" s="2385"/>
    </row>
    <row r="55" spans="1:9" ht="27" customHeight="1">
      <c r="A55" s="7"/>
      <c r="B55" s="7"/>
      <c r="D55" s="7"/>
      <c r="E55" s="7"/>
      <c r="F55" s="7"/>
      <c r="G55" s="7"/>
      <c r="H55" s="2385" t="s">
        <v>2164</v>
      </c>
      <c r="I55" s="2385"/>
    </row>
    <row r="56" spans="1:9" ht="27" customHeight="1">
      <c r="A56" s="7"/>
      <c r="B56" s="7"/>
      <c r="D56" s="7"/>
      <c r="E56" s="7"/>
      <c r="F56" s="7"/>
      <c r="G56" s="7"/>
      <c r="H56" s="2378" t="s">
        <v>1644</v>
      </c>
      <c r="I56" s="2378"/>
    </row>
    <row r="57" spans="1:9" ht="27" customHeight="1">
      <c r="A57" s="7"/>
      <c r="B57" s="7"/>
      <c r="D57" s="7"/>
      <c r="E57" s="7"/>
      <c r="F57" s="7"/>
      <c r="G57" s="7"/>
      <c r="H57" s="2378" t="s">
        <v>1699</v>
      </c>
      <c r="I57" s="2378"/>
    </row>
    <row r="58" spans="1:9" ht="27" customHeight="1">
      <c r="A58" s="7"/>
      <c r="B58" s="7"/>
      <c r="D58" s="7"/>
      <c r="E58" s="7"/>
      <c r="F58" s="7"/>
      <c r="G58" s="7"/>
      <c r="H58" s="2384" t="s">
        <v>815</v>
      </c>
      <c r="I58" s="2384"/>
    </row>
    <row r="59" spans="1:9" ht="27" customHeight="1">
      <c r="A59" s="7"/>
      <c r="B59" s="7"/>
      <c r="D59" s="7"/>
      <c r="E59" s="7"/>
      <c r="F59" s="7"/>
      <c r="G59" s="7"/>
      <c r="H59" s="2384" t="s">
        <v>1355</v>
      </c>
      <c r="I59" s="2384"/>
    </row>
    <row r="60" spans="1:9" ht="27" customHeight="1">
      <c r="A60" s="7"/>
      <c r="B60" s="7"/>
      <c r="D60" s="7"/>
      <c r="E60" s="7"/>
      <c r="F60" s="7"/>
      <c r="G60" s="7"/>
      <c r="H60" s="2384" t="s">
        <v>2617</v>
      </c>
      <c r="I60" s="2384"/>
    </row>
    <row r="61" spans="1:9" ht="42" customHeight="1">
      <c r="H61" s="2380" t="s">
        <v>2136</v>
      </c>
      <c r="I61" s="2380"/>
    </row>
  </sheetData>
  <sheetProtection password="C74A" sheet="1" objects="1" scenarios="1" formatCells="0" formatColumns="0" formatRows="0" insertColumns="0" insertRows="0" insertHyperlinks="0" deleteColumns="0" deleteRows="0"/>
  <mergeCells count="55">
    <mergeCell ref="C47:E47"/>
    <mergeCell ref="C48:E48"/>
    <mergeCell ref="A46:H46"/>
    <mergeCell ref="A43:C45"/>
    <mergeCell ref="A47:B48"/>
    <mergeCell ref="H48:I48"/>
    <mergeCell ref="D45:F45"/>
    <mergeCell ref="D43:F43"/>
    <mergeCell ref="D44:F44"/>
    <mergeCell ref="A39:A41"/>
    <mergeCell ref="H7:H11"/>
    <mergeCell ref="H24:H29"/>
    <mergeCell ref="B24:B29"/>
    <mergeCell ref="B12:B17"/>
    <mergeCell ref="B39:B41"/>
    <mergeCell ref="A35:A38"/>
    <mergeCell ref="B35:B38"/>
    <mergeCell ref="H35:H38"/>
    <mergeCell ref="A1:B1"/>
    <mergeCell ref="B30:B33"/>
    <mergeCell ref="A3:A6"/>
    <mergeCell ref="A18:A23"/>
    <mergeCell ref="B7:B11"/>
    <mergeCell ref="A12:A17"/>
    <mergeCell ref="A30:A33"/>
    <mergeCell ref="A24:A29"/>
    <mergeCell ref="B18:B23"/>
    <mergeCell ref="B3:B6"/>
    <mergeCell ref="A7:A11"/>
    <mergeCell ref="H61:I61"/>
    <mergeCell ref="H50:I50"/>
    <mergeCell ref="H51:I51"/>
    <mergeCell ref="H53:I53"/>
    <mergeCell ref="H54:I54"/>
    <mergeCell ref="H55:I55"/>
    <mergeCell ref="H52:I52"/>
    <mergeCell ref="H60:I60"/>
    <mergeCell ref="H58:I58"/>
    <mergeCell ref="H59:I59"/>
    <mergeCell ref="E1:I1"/>
    <mergeCell ref="I30:I33"/>
    <mergeCell ref="I35:I38"/>
    <mergeCell ref="H56:I56"/>
    <mergeCell ref="H57:I57"/>
    <mergeCell ref="H47:I47"/>
    <mergeCell ref="I3:I6"/>
    <mergeCell ref="I7:I11"/>
    <mergeCell ref="I12:I17"/>
    <mergeCell ref="I18:I23"/>
    <mergeCell ref="I24:I29"/>
    <mergeCell ref="H3:H6"/>
    <mergeCell ref="H30:H33"/>
    <mergeCell ref="H18:H23"/>
    <mergeCell ref="H12:H17"/>
    <mergeCell ref="A42:H42"/>
  </mergeCells>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sheetPr codeName="Sheet11"/>
  <dimension ref="A1:K87"/>
  <sheetViews>
    <sheetView zoomScaleNormal="100" workbookViewId="0">
      <selection sqref="A1:B1"/>
    </sheetView>
  </sheetViews>
  <sheetFormatPr defaultColWidth="9.33203125" defaultRowHeight="13.8"/>
  <cols>
    <col min="1" max="1" width="5.77734375" style="33" customWidth="1"/>
    <col min="2" max="2" width="18.77734375" style="33" customWidth="1"/>
    <col min="3" max="3" width="69.77734375" style="7" customWidth="1"/>
    <col min="4" max="6" width="6.77734375" style="180" customWidth="1"/>
    <col min="7" max="7" width="9.77734375" style="176" customWidth="1"/>
    <col min="8" max="8" width="69.77734375" style="8" customWidth="1"/>
    <col min="9" max="9" width="11.77734375" style="13" customWidth="1"/>
    <col min="10" max="10" width="9.33203125" style="12"/>
    <col min="11" max="11" width="9.33203125" style="166"/>
    <col min="12" max="16384" width="9.33203125" style="12"/>
  </cols>
  <sheetData>
    <row r="1" spans="1:11" ht="48" customHeight="1" thickBot="1">
      <c r="A1" s="2418" t="s">
        <v>2620</v>
      </c>
      <c r="B1" s="2419"/>
      <c r="C1" s="124" t="s">
        <v>1251</v>
      </c>
      <c r="D1" s="543" t="s">
        <v>1230</v>
      </c>
      <c r="E1" s="2414"/>
      <c r="F1" s="2415"/>
      <c r="G1" s="2415"/>
      <c r="H1" s="2415"/>
      <c r="I1" s="2415"/>
    </row>
    <row r="2" spans="1:11" s="449" customFormat="1" ht="36" customHeight="1" thickBot="1">
      <c r="A2" s="1595" t="s">
        <v>168</v>
      </c>
      <c r="B2" s="1555" t="s">
        <v>1758</v>
      </c>
      <c r="C2" s="1596" t="s">
        <v>1354</v>
      </c>
      <c r="D2" s="1575" t="s">
        <v>64</v>
      </c>
      <c r="E2" s="1576" t="s">
        <v>1383</v>
      </c>
      <c r="F2" s="1577" t="s">
        <v>1384</v>
      </c>
      <c r="G2" s="1578" t="s">
        <v>1293</v>
      </c>
      <c r="H2" s="1595" t="s">
        <v>1294</v>
      </c>
      <c r="I2" s="1604" t="s">
        <v>2622</v>
      </c>
    </row>
    <row r="3" spans="1:11" ht="21" customHeight="1" thickBot="1">
      <c r="A3" s="2181" t="str">
        <f>OF!A118</f>
        <v>OF26</v>
      </c>
      <c r="B3" s="2212" t="str">
        <f>OF!B118</f>
        <v>Aspect</v>
      </c>
      <c r="C3" s="439" t="str">
        <f>OF!C118</f>
        <v>The overland flow direction of most surface water (in streams or runoff) that enters the AA is:</v>
      </c>
      <c r="D3" s="499"/>
      <c r="E3" s="499"/>
      <c r="F3" s="383"/>
      <c r="G3" s="500">
        <f>IF((NoCA=1),"", MAX(F4:F6)/MAX(E4:E6))</f>
        <v>0</v>
      </c>
      <c r="H3" s="2148" t="s">
        <v>1136</v>
      </c>
      <c r="I3" s="2411" t="s">
        <v>453</v>
      </c>
    </row>
    <row r="4" spans="1:11" ht="15" customHeight="1">
      <c r="A4" s="2180"/>
      <c r="B4" s="2213"/>
      <c r="C4" s="440" t="str">
        <f>OF!C119</f>
        <v>Northward (N, NE). north-facing contributing area.</v>
      </c>
      <c r="D4" s="255">
        <f>OF!D119</f>
        <v>0</v>
      </c>
      <c r="E4" s="385">
        <v>2</v>
      </c>
      <c r="F4" s="385">
        <f>D4*E4</f>
        <v>0</v>
      </c>
      <c r="G4" s="501"/>
      <c r="H4" s="2146"/>
      <c r="I4" s="2412"/>
    </row>
    <row r="5" spans="1:11" ht="15" customHeight="1">
      <c r="A5" s="2180"/>
      <c r="B5" s="2213"/>
      <c r="C5" s="352" t="str">
        <f>OF!C120</f>
        <v>Southward (S, SW). south-facing contributing area.</v>
      </c>
      <c r="D5" s="78">
        <f>OF!D120</f>
        <v>0</v>
      </c>
      <c r="E5" s="385">
        <v>0</v>
      </c>
      <c r="F5" s="385">
        <f>D5*E5</f>
        <v>0</v>
      </c>
      <c r="G5" s="502"/>
      <c r="H5" s="2146"/>
      <c r="I5" s="2412"/>
    </row>
    <row r="6" spans="1:11" ht="15" customHeight="1" thickBot="1">
      <c r="A6" s="2187"/>
      <c r="B6" s="2377"/>
      <c r="C6" s="441" t="str">
        <f>OF!C121</f>
        <v>other (E, SE, W, NW), or no detectable uphill slope or input channel (flat).</v>
      </c>
      <c r="D6" s="193">
        <f>OF!D121</f>
        <v>0</v>
      </c>
      <c r="E6" s="389">
        <v>1</v>
      </c>
      <c r="F6" s="389">
        <f>D6*E6</f>
        <v>0</v>
      </c>
      <c r="G6" s="503"/>
      <c r="H6" s="2149"/>
      <c r="I6" s="2413"/>
    </row>
    <row r="7" spans="1:11" s="7" customFormat="1" ht="30" customHeight="1" thickBot="1">
      <c r="A7" s="2150" t="str">
        <f>F!A115</f>
        <v>F24</v>
      </c>
      <c r="B7" s="2148" t="str">
        <f>F!B115</f>
        <v>% of AA Without Surface Water</v>
      </c>
      <c r="C7" s="436" t="str">
        <f>F!C115</f>
        <v>The percentage of the AA that never contains surface water during an average year (that is, except perhaps for a few hours after snowmelt or rainstorms), but which is still a wetland, is:</v>
      </c>
      <c r="D7" s="499"/>
      <c r="E7" s="539"/>
      <c r="F7" s="517"/>
      <c r="G7" s="500">
        <f>MAX(F8:F13)/MAX(E8:E13)</f>
        <v>0</v>
      </c>
      <c r="H7" s="2148" t="s">
        <v>800</v>
      </c>
      <c r="I7" s="2212" t="s">
        <v>799</v>
      </c>
      <c r="K7" s="138"/>
    </row>
    <row r="8" spans="1:11" s="7" customFormat="1" ht="27" customHeight="1">
      <c r="A8" s="2151"/>
      <c r="B8" s="2146"/>
      <c r="C8" s="30" t="str">
        <f>F!C116</f>
        <v xml:space="preserve">&lt;1% AND &lt;0.01 hectare (about 10 m on a side) never has surface water. In other words, all or nearly all of the AA is covered by water permanently or at least seasonally.  </v>
      </c>
      <c r="D8" s="354">
        <f>F!D116</f>
        <v>0</v>
      </c>
      <c r="E8" s="507">
        <v>0</v>
      </c>
      <c r="F8" s="508">
        <f t="shared" ref="F8:F13" si="0">D8*E8</f>
        <v>0</v>
      </c>
      <c r="G8" s="509"/>
      <c r="H8" s="2146"/>
      <c r="I8" s="2213"/>
      <c r="K8" s="138"/>
    </row>
    <row r="9" spans="1:11" s="7" customFormat="1" ht="15" customHeight="1">
      <c r="A9" s="2151"/>
      <c r="B9" s="2146"/>
      <c r="C9" s="1486" t="str">
        <f>F!C117</f>
        <v>1-25% of the AA,  or &lt;1% but &gt;0.01 ha, never contains surface water.</v>
      </c>
      <c r="D9" s="254">
        <f>F!D117</f>
        <v>0</v>
      </c>
      <c r="E9" s="507">
        <v>1</v>
      </c>
      <c r="F9" s="508">
        <f t="shared" si="0"/>
        <v>0</v>
      </c>
      <c r="G9" s="509"/>
      <c r="H9" s="2146"/>
      <c r="I9" s="2213"/>
      <c r="K9" s="138"/>
    </row>
    <row r="10" spans="1:11" s="7" customFormat="1" ht="15" customHeight="1">
      <c r="A10" s="2151"/>
      <c r="B10" s="2146"/>
      <c r="C10" s="1486" t="str">
        <f>F!C118</f>
        <v>25-50% of the AA never contains surface water.</v>
      </c>
      <c r="D10" s="254">
        <f>F!D118</f>
        <v>0</v>
      </c>
      <c r="E10" s="507">
        <v>2</v>
      </c>
      <c r="F10" s="508">
        <f t="shared" si="0"/>
        <v>0</v>
      </c>
      <c r="G10" s="509"/>
      <c r="H10" s="2146"/>
      <c r="I10" s="2213"/>
      <c r="K10" s="138"/>
    </row>
    <row r="11" spans="1:11" s="7" customFormat="1" ht="15" customHeight="1">
      <c r="A11" s="2151"/>
      <c r="B11" s="2146"/>
      <c r="C11" s="1486" t="str">
        <f>F!C119</f>
        <v>50-75% of the AA never contains surface water.</v>
      </c>
      <c r="D11" s="254">
        <f>F!D119</f>
        <v>0</v>
      </c>
      <c r="E11" s="507">
        <v>3</v>
      </c>
      <c r="F11" s="508">
        <f t="shared" si="0"/>
        <v>0</v>
      </c>
      <c r="G11" s="509"/>
      <c r="H11" s="2146"/>
      <c r="I11" s="2213"/>
      <c r="K11" s="138"/>
    </row>
    <row r="12" spans="1:11" s="7" customFormat="1" ht="16.2" customHeight="1">
      <c r="A12" s="2151"/>
      <c r="B12" s="2146"/>
      <c r="C12" s="1486" t="str">
        <f>F!C120</f>
        <v>75-99% of the AA never contains surface water.</v>
      </c>
      <c r="D12" s="254">
        <f>F!D121</f>
        <v>0</v>
      </c>
      <c r="E12" s="507">
        <v>4</v>
      </c>
      <c r="F12" s="508">
        <f t="shared" si="0"/>
        <v>0</v>
      </c>
      <c r="G12" s="509"/>
      <c r="H12" s="2146"/>
      <c r="I12" s="2213"/>
      <c r="K12" s="138"/>
    </row>
    <row r="13" spans="1:11" s="7" customFormat="1" ht="27" customHeight="1" thickBot="1">
      <c r="A13" s="2152"/>
      <c r="B13" s="2149"/>
      <c r="C13" s="194" t="str">
        <f>F!C121</f>
        <v>100%. True for many bogs, meadow marshes, swamps that lack vernal pools.  Enter "1" and SKIP to F42 (Channel Connection).</v>
      </c>
      <c r="D13" s="248">
        <f>F!D122</f>
        <v>0</v>
      </c>
      <c r="E13" s="540">
        <v>5</v>
      </c>
      <c r="F13" s="525">
        <f t="shared" si="0"/>
        <v>0</v>
      </c>
      <c r="G13" s="521"/>
      <c r="H13" s="2149"/>
      <c r="I13" s="2377"/>
      <c r="K13" s="138"/>
    </row>
    <row r="14" spans="1:11" s="14" customFormat="1" ht="30" customHeight="1" thickBot="1">
      <c r="A14" s="2180" t="str">
        <f>F!A128</f>
        <v>F26</v>
      </c>
      <c r="B14" s="2213" t="str">
        <f>F!B128</f>
        <v>% of Summertime Water that Is Shaded</v>
      </c>
      <c r="C14" s="448" t="str">
        <f>F!C128</f>
        <v>At mid-day during the warmest time of year, the area of surface water within the AA that is shaded by vegetation and other features that are within the AA at that time is:</v>
      </c>
      <c r="D14" s="391"/>
      <c r="E14" s="391"/>
      <c r="F14" s="382"/>
      <c r="G14" s="506">
        <f>IF((AllSat1&gt;0),"",IF((NoPersis=1),"",(MAX(F15:F19)/MAX(E15:E19))))</f>
        <v>0</v>
      </c>
      <c r="H14" s="2211" t="s">
        <v>2917</v>
      </c>
      <c r="I14" s="2411" t="s">
        <v>450</v>
      </c>
      <c r="K14" s="142"/>
    </row>
    <row r="15" spans="1:11" s="14" customFormat="1" ht="15" customHeight="1">
      <c r="A15" s="2180"/>
      <c r="B15" s="2213"/>
      <c r="C15" s="440" t="str">
        <f>F!C129</f>
        <v>&lt;5% of the water is shaded, or no surface water is present then.</v>
      </c>
      <c r="D15" s="255">
        <f>F!D129</f>
        <v>0</v>
      </c>
      <c r="E15" s="385">
        <v>0</v>
      </c>
      <c r="F15" s="385">
        <f>D15*E15</f>
        <v>0</v>
      </c>
      <c r="G15" s="501"/>
      <c r="H15" s="2211"/>
      <c r="I15" s="2412"/>
      <c r="K15" s="142"/>
    </row>
    <row r="16" spans="1:11" s="14" customFormat="1" ht="15" customHeight="1">
      <c r="A16" s="2180"/>
      <c r="B16" s="2213"/>
      <c r="C16" s="352" t="str">
        <f>F!C130</f>
        <v>5-25% of the water is shaded.</v>
      </c>
      <c r="D16" s="78">
        <f>F!D130</f>
        <v>0</v>
      </c>
      <c r="E16" s="385">
        <v>1</v>
      </c>
      <c r="F16" s="385">
        <f>D16*E16</f>
        <v>0</v>
      </c>
      <c r="G16" s="502"/>
      <c r="H16" s="2211"/>
      <c r="I16" s="2412"/>
      <c r="K16" s="142"/>
    </row>
    <row r="17" spans="1:11" s="14" customFormat="1" ht="15" customHeight="1">
      <c r="A17" s="2180"/>
      <c r="B17" s="2213"/>
      <c r="C17" s="352" t="str">
        <f>F!C131</f>
        <v>25-50% of the water is shaded.</v>
      </c>
      <c r="D17" s="78">
        <f>F!D131</f>
        <v>0</v>
      </c>
      <c r="E17" s="385">
        <v>2</v>
      </c>
      <c r="F17" s="385">
        <f>D17*E17</f>
        <v>0</v>
      </c>
      <c r="G17" s="502"/>
      <c r="H17" s="2211"/>
      <c r="I17" s="2412"/>
      <c r="K17" s="142"/>
    </row>
    <row r="18" spans="1:11" s="14" customFormat="1" ht="15" customHeight="1">
      <c r="A18" s="2180"/>
      <c r="B18" s="2213"/>
      <c r="C18" s="352" t="str">
        <f>F!C132</f>
        <v>50-75% of the water is shaded.</v>
      </c>
      <c r="D18" s="78">
        <f>F!D132</f>
        <v>0</v>
      </c>
      <c r="E18" s="385">
        <v>3</v>
      </c>
      <c r="F18" s="385">
        <f>D18*E18</f>
        <v>0</v>
      </c>
      <c r="G18" s="502"/>
      <c r="H18" s="2211"/>
      <c r="I18" s="2412"/>
      <c r="K18" s="142"/>
    </row>
    <row r="19" spans="1:11" s="14" customFormat="1" ht="15.6" customHeight="1" thickBot="1">
      <c r="A19" s="2187"/>
      <c r="B19" s="2377"/>
      <c r="C19" s="441" t="str">
        <f>F!C133</f>
        <v>&gt;75% of the water is shaded.</v>
      </c>
      <c r="D19" s="193">
        <f>F!D133</f>
        <v>0</v>
      </c>
      <c r="E19" s="389">
        <v>4</v>
      </c>
      <c r="F19" s="389">
        <f>D19*E19</f>
        <v>0</v>
      </c>
      <c r="G19" s="503"/>
      <c r="H19" s="2420"/>
      <c r="I19" s="2413"/>
      <c r="K19" s="142"/>
    </row>
    <row r="20" spans="1:11" ht="30" customHeight="1" thickBot="1">
      <c r="A20" s="2388" t="str">
        <f>F!A147</f>
        <v>F29</v>
      </c>
      <c r="B20" s="2213" t="str">
        <f>F!B147</f>
        <v>Predominant Depth Class</v>
      </c>
      <c r="C20" s="448" t="str">
        <f>F!C147</f>
        <v>During most of the time when surface water is present during the growing season, its depth, averaged over the entire inundated part of the AA, is:</v>
      </c>
      <c r="D20" s="499"/>
      <c r="E20" s="391"/>
      <c r="F20" s="382"/>
      <c r="G20" s="506">
        <f>IF((AllSat1&gt;0),"",IF((TooSmall=1),"",MAX(F21:F25)/MAX(E21:E25)))</f>
        <v>0</v>
      </c>
      <c r="H20" s="2211" t="s">
        <v>2262</v>
      </c>
      <c r="I20" s="2411" t="s">
        <v>452</v>
      </c>
    </row>
    <row r="21" spans="1:11" ht="15" customHeight="1">
      <c r="A21" s="2388"/>
      <c r="B21" s="2213"/>
      <c r="C21" s="440" t="str">
        <f>F!C148</f>
        <v>&lt;10 cm deep (but &gt;0).</v>
      </c>
      <c r="D21" s="255">
        <f>F!D148</f>
        <v>0</v>
      </c>
      <c r="E21" s="385">
        <v>0</v>
      </c>
      <c r="F21" s="385">
        <f>D21*E21</f>
        <v>0</v>
      </c>
      <c r="G21" s="501"/>
      <c r="H21" s="2211"/>
      <c r="I21" s="2412"/>
    </row>
    <row r="22" spans="1:11" ht="15" customHeight="1">
      <c r="A22" s="2388"/>
      <c r="B22" s="2213"/>
      <c r="C22" s="352" t="str">
        <f>F!C149</f>
        <v>10 - 50 cm deep.</v>
      </c>
      <c r="D22" s="78">
        <f>F!D149</f>
        <v>0</v>
      </c>
      <c r="E22" s="385">
        <v>1</v>
      </c>
      <c r="F22" s="385">
        <f>D22*E22</f>
        <v>0</v>
      </c>
      <c r="G22" s="502"/>
      <c r="H22" s="2211"/>
      <c r="I22" s="2412"/>
    </row>
    <row r="23" spans="1:11" ht="15" customHeight="1">
      <c r="A23" s="2388"/>
      <c r="B23" s="2213"/>
      <c r="C23" s="352" t="str">
        <f>F!C150</f>
        <v>0.5 - 1 m deep.</v>
      </c>
      <c r="D23" s="78">
        <f>F!D150</f>
        <v>0</v>
      </c>
      <c r="E23" s="385">
        <v>2</v>
      </c>
      <c r="F23" s="385">
        <f>D23*E23</f>
        <v>0</v>
      </c>
      <c r="G23" s="502"/>
      <c r="H23" s="2211"/>
      <c r="I23" s="2412"/>
    </row>
    <row r="24" spans="1:11" ht="15" customHeight="1">
      <c r="A24" s="2388"/>
      <c r="B24" s="2213"/>
      <c r="C24" s="352" t="str">
        <f>F!C151</f>
        <v>1 - 2 m deep.</v>
      </c>
      <c r="D24" s="78">
        <f>F!D151</f>
        <v>0</v>
      </c>
      <c r="E24" s="385">
        <v>4</v>
      </c>
      <c r="F24" s="385">
        <f>D24*E24</f>
        <v>0</v>
      </c>
      <c r="G24" s="502"/>
      <c r="H24" s="2211"/>
      <c r="I24" s="2412"/>
    </row>
    <row r="25" spans="1:11" ht="15.6" customHeight="1" thickBot="1">
      <c r="A25" s="2388"/>
      <c r="B25" s="2213"/>
      <c r="C25" s="447" t="str">
        <f>F!C152</f>
        <v>&gt;2 m deep. True for many fringe wetlands.</v>
      </c>
      <c r="D25" s="399">
        <f>F!D152</f>
        <v>0</v>
      </c>
      <c r="E25" s="387">
        <v>6</v>
      </c>
      <c r="F25" s="387">
        <f>D25*E25</f>
        <v>0</v>
      </c>
      <c r="G25" s="511"/>
      <c r="H25" s="2211"/>
      <c r="I25" s="2413"/>
    </row>
    <row r="26" spans="1:11" s="14" customFormat="1" ht="31.2" customHeight="1" thickBot="1">
      <c r="A26" s="2421" t="str">
        <f>F!A157</f>
        <v>F31</v>
      </c>
      <c r="B26" s="2148" t="str">
        <f>F!B157</f>
        <v>% of Water That Is Ponded (not Flowing)</v>
      </c>
      <c r="C26" s="436" t="str">
        <f>F!C157</f>
        <v>During most times when surface water is present, the percentage that is ponded (stagnant, or flows so slowly that fine sediment is not held in suspension) is:</v>
      </c>
      <c r="D26" s="499"/>
      <c r="E26" s="365"/>
      <c r="F26" s="383"/>
      <c r="G26" s="500">
        <f>IF((AllSat1&gt;0),"",IF((TooSmall=1),"",MAX(F27:F31)/MAX(E27:E31)))</f>
        <v>0</v>
      </c>
      <c r="H26" s="2148" t="s">
        <v>2358</v>
      </c>
      <c r="I26" s="2411" t="s">
        <v>451</v>
      </c>
      <c r="K26" s="142"/>
    </row>
    <row r="27" spans="1:11" s="14" customFormat="1" ht="27" customHeight="1">
      <c r="A27" s="2422"/>
      <c r="B27" s="2146"/>
      <c r="C27" s="30" t="str">
        <f>F!C158</f>
        <v>&lt;5% of the water, or it occupies &lt;100 sq.m cumulatively. Nearly all the surface water is flowing. SKIP to F34.</v>
      </c>
      <c r="D27" s="282">
        <f>F!D158</f>
        <v>0</v>
      </c>
      <c r="E27" s="361">
        <v>4</v>
      </c>
      <c r="F27" s="385">
        <f>D27*E27</f>
        <v>0</v>
      </c>
      <c r="G27" s="502"/>
      <c r="H27" s="2146"/>
      <c r="I27" s="2412"/>
      <c r="K27" s="142"/>
    </row>
    <row r="28" spans="1:11" s="14" customFormat="1" ht="15" customHeight="1">
      <c r="A28" s="2422"/>
      <c r="B28" s="2146"/>
      <c r="C28" s="6" t="str">
        <f>F!C159</f>
        <v>5-30% of the water.</v>
      </c>
      <c r="D28" s="283">
        <f>F!D159</f>
        <v>0</v>
      </c>
      <c r="E28" s="361">
        <v>3</v>
      </c>
      <c r="F28" s="385">
        <f>D28*E28</f>
        <v>0</v>
      </c>
      <c r="G28" s="502"/>
      <c r="H28" s="2146"/>
      <c r="I28" s="2412"/>
      <c r="K28" s="142"/>
    </row>
    <row r="29" spans="1:11" s="14" customFormat="1" ht="15" customHeight="1">
      <c r="A29" s="2422"/>
      <c r="B29" s="2146"/>
      <c r="C29" s="6" t="str">
        <f>F!C160</f>
        <v>30-70% of the water.</v>
      </c>
      <c r="D29" s="283">
        <f>F!D160</f>
        <v>0</v>
      </c>
      <c r="E29" s="361">
        <v>2</v>
      </c>
      <c r="F29" s="385">
        <f>D29*E29</f>
        <v>0</v>
      </c>
      <c r="G29" s="502"/>
      <c r="H29" s="2146"/>
      <c r="I29" s="2412"/>
      <c r="K29" s="142"/>
    </row>
    <row r="30" spans="1:11" s="14" customFormat="1" ht="15" customHeight="1">
      <c r="A30" s="2422"/>
      <c r="B30" s="2146"/>
      <c r="C30" s="6" t="str">
        <f>F!C161</f>
        <v>70-95% of the water.</v>
      </c>
      <c r="D30" s="283">
        <f>F!D161</f>
        <v>0</v>
      </c>
      <c r="E30" s="361">
        <v>1</v>
      </c>
      <c r="F30" s="385">
        <f>D30*E30</f>
        <v>0</v>
      </c>
      <c r="G30" s="502"/>
      <c r="H30" s="2146"/>
      <c r="I30" s="2412"/>
      <c r="K30" s="142"/>
    </row>
    <row r="31" spans="1:11" s="14" customFormat="1" ht="15.6" customHeight="1" thickBot="1">
      <c r="A31" s="2423"/>
      <c r="B31" s="2149"/>
      <c r="C31" s="194" t="str">
        <f>F!C162</f>
        <v>&gt;95% of the water.</v>
      </c>
      <c r="D31" s="284">
        <f>F!D162</f>
        <v>0</v>
      </c>
      <c r="E31" s="362">
        <v>0</v>
      </c>
      <c r="F31" s="389">
        <f>D31*E31</f>
        <v>0</v>
      </c>
      <c r="G31" s="503"/>
      <c r="H31" s="2149"/>
      <c r="I31" s="2413"/>
      <c r="K31" s="142"/>
    </row>
    <row r="32" spans="1:11" s="14" customFormat="1" ht="30" customHeight="1" thickBot="1">
      <c r="A32" s="2150" t="str">
        <f>F!A164</f>
        <v>F33</v>
      </c>
      <c r="B32" s="2148" t="str">
        <f>F!B164</f>
        <v xml:space="preserve">% of Ponded Water that is Open </v>
      </c>
      <c r="C32" s="5" t="str">
        <f>F!C164</f>
        <v>In ducks-eye aerial view, the percentage of the ponded water that is open (lacking emergent vegetation during most of the growing season, and unhidden by a forest or shrub canopy) is:</v>
      </c>
      <c r="D32" s="392"/>
      <c r="E32" s="365"/>
      <c r="F32" s="499"/>
      <c r="G32" s="500">
        <f>IF((AllSat1&gt;0),"",IF((TooSmall=1),"",IF((NoPonded=1),"",MAX(F33:F38)/MAX(E33:E38))))</f>
        <v>0</v>
      </c>
      <c r="H32" s="2148" t="s">
        <v>2263</v>
      </c>
      <c r="I32" s="2411" t="s">
        <v>1161</v>
      </c>
      <c r="K32" s="142"/>
    </row>
    <row r="33" spans="1:11" s="14" customFormat="1" ht="28.95" customHeight="1">
      <c r="A33" s="2151"/>
      <c r="B33" s="2146"/>
      <c r="C33" s="1241" t="str">
        <f>F!C165</f>
        <v>None, or &lt;1% of the AA and largest pool occupies &lt;0.01 hectares. Enter "1" and SKIP to F41 (Floating Algae &amp; Duckweed).</v>
      </c>
      <c r="D33" s="254">
        <f>F!D165</f>
        <v>0</v>
      </c>
      <c r="E33" s="361">
        <v>5</v>
      </c>
      <c r="F33" s="385">
        <f t="shared" ref="F33:F38" si="1">D33*E33</f>
        <v>0</v>
      </c>
      <c r="G33" s="502"/>
      <c r="H33" s="2146"/>
      <c r="I33" s="2412"/>
      <c r="K33" s="142"/>
    </row>
    <row r="34" spans="1:11" s="14" customFormat="1" ht="15" customHeight="1">
      <c r="A34" s="2151"/>
      <c r="B34" s="2146"/>
      <c r="C34" s="437" t="str">
        <f>F!C166</f>
        <v>1-4% of the ponded water. Enter "1" and SKIP to F40 (Floating Algae &amp; Duckweed).</v>
      </c>
      <c r="D34" s="254">
        <f>F!D166</f>
        <v>0</v>
      </c>
      <c r="E34" s="361">
        <v>4</v>
      </c>
      <c r="F34" s="385">
        <f t="shared" si="1"/>
        <v>0</v>
      </c>
      <c r="G34" s="502"/>
      <c r="H34" s="2146"/>
      <c r="I34" s="2412"/>
      <c r="K34" s="142"/>
    </row>
    <row r="35" spans="1:11" s="14" customFormat="1" ht="15" customHeight="1">
      <c r="A35" s="2151"/>
      <c r="B35" s="2146"/>
      <c r="C35" s="437" t="str">
        <f>F!C167</f>
        <v>5-30% of the ponded water.</v>
      </c>
      <c r="D35" s="254">
        <f>F!D167</f>
        <v>0</v>
      </c>
      <c r="E35" s="361">
        <v>3</v>
      </c>
      <c r="F35" s="385">
        <f t="shared" si="1"/>
        <v>0</v>
      </c>
      <c r="G35" s="502"/>
      <c r="H35" s="2146"/>
      <c r="I35" s="2412"/>
      <c r="K35" s="142"/>
    </row>
    <row r="36" spans="1:11" s="14" customFormat="1" ht="15" customHeight="1">
      <c r="A36" s="2151"/>
      <c r="B36" s="2146"/>
      <c r="C36" s="437" t="str">
        <f>F!C168</f>
        <v>30-70% of the ponded water.</v>
      </c>
      <c r="D36" s="254">
        <f>F!D168</f>
        <v>0</v>
      </c>
      <c r="E36" s="361">
        <v>2</v>
      </c>
      <c r="F36" s="385">
        <f t="shared" si="1"/>
        <v>0</v>
      </c>
      <c r="G36" s="502"/>
      <c r="H36" s="2146"/>
      <c r="I36" s="2412"/>
      <c r="K36" s="142"/>
    </row>
    <row r="37" spans="1:11" s="14" customFormat="1" ht="15" customHeight="1">
      <c r="A37" s="2151"/>
      <c r="B37" s="2146"/>
      <c r="C37" s="437" t="str">
        <f>F!C169</f>
        <v>70-99% of the ponded water.</v>
      </c>
      <c r="D37" s="254">
        <f>F!D169</f>
        <v>0</v>
      </c>
      <c r="E37" s="361">
        <v>1</v>
      </c>
      <c r="F37" s="385">
        <f t="shared" si="1"/>
        <v>0</v>
      </c>
      <c r="G37" s="502"/>
      <c r="H37" s="2146"/>
      <c r="I37" s="2412"/>
      <c r="K37" s="142"/>
    </row>
    <row r="38" spans="1:11" s="14" customFormat="1" ht="15.6" customHeight="1" thickBot="1">
      <c r="A38" s="2152"/>
      <c r="B38" s="2149"/>
      <c r="C38" s="194" t="str">
        <f>F!C170</f>
        <v xml:space="preserve">100% of the ponded water. </v>
      </c>
      <c r="D38" s="248">
        <f>F!D170</f>
        <v>0</v>
      </c>
      <c r="E38" s="362">
        <v>0</v>
      </c>
      <c r="F38" s="389">
        <f t="shared" si="1"/>
        <v>0</v>
      </c>
      <c r="G38" s="503"/>
      <c r="H38" s="2149"/>
      <c r="I38" s="2413"/>
      <c r="K38" s="142"/>
    </row>
    <row r="39" spans="1:11" ht="21" customHeight="1" thickBot="1">
      <c r="A39" s="2388" t="str">
        <f>F!A231</f>
        <v>F50</v>
      </c>
      <c r="B39" s="2213" t="str">
        <f>F!B231</f>
        <v>Groundwater Strength of Evidence</v>
      </c>
      <c r="C39" s="123" t="str">
        <f>F!C231</f>
        <v xml:space="preserve">Select first applicable choice. </v>
      </c>
      <c r="D39" s="499"/>
      <c r="E39" s="391"/>
      <c r="F39" s="382"/>
      <c r="G39" s="506">
        <f>MAX(F40:F42)/MAX(E40:E42)</f>
        <v>0</v>
      </c>
      <c r="H39" s="2211" t="s">
        <v>1645</v>
      </c>
      <c r="I39" s="2411" t="s">
        <v>449</v>
      </c>
    </row>
    <row r="40" spans="1:11" ht="47.4" customHeight="1">
      <c r="A40" s="2388"/>
      <c r="B40" s="2213"/>
      <c r="C40" s="490" t="str">
        <f>F!C232</f>
        <v>Groundwater monitoring has demonstrated that groundwater primarily discharges to the wetland for longer periods during the year than periods when the wetland recharges the groundwater. Or, springs are known to be present within the AA.</v>
      </c>
      <c r="D40" s="398">
        <f>F!D232</f>
        <v>0</v>
      </c>
      <c r="E40" s="385">
        <v>3</v>
      </c>
      <c r="F40" s="385">
        <f>D40*E40</f>
        <v>0</v>
      </c>
      <c r="G40" s="501"/>
      <c r="H40" s="2211"/>
      <c r="I40" s="2412"/>
    </row>
    <row r="41" spans="1:11" ht="45.6" customHeight="1">
      <c r="A41" s="2388"/>
      <c r="B41" s="2213"/>
      <c r="C41" s="447" t="str">
        <f>F!C233</f>
        <v>The upper end of the AA is located very close to the base of (but mostly not ON) a natural slope much steeper (usually &gt;15%) than that within the AA and longer than 100 m AND if surface water was measured, its pH (Q47) is &gt;5.5.</v>
      </c>
      <c r="D41" s="399">
        <f>F!D233</f>
        <v>0</v>
      </c>
      <c r="E41" s="385">
        <v>2</v>
      </c>
      <c r="F41" s="385">
        <f>D41*E41</f>
        <v>0</v>
      </c>
      <c r="G41" s="502"/>
      <c r="H41" s="2211"/>
      <c r="I41" s="2412"/>
    </row>
    <row r="42" spans="1:11" ht="27.6" customHeight="1" thickBot="1">
      <c r="A42" s="2428"/>
      <c r="B42" s="2321"/>
      <c r="C42" s="447" t="str">
        <f>F!C234</f>
        <v>Neither of above is true, although some groundwater may discharge to or flow through the AA. Or groundwater influx is unknown.</v>
      </c>
      <c r="D42" s="399">
        <f>F!D234</f>
        <v>0</v>
      </c>
      <c r="E42" s="385">
        <v>0</v>
      </c>
      <c r="F42" s="385">
        <f>D42*E42</f>
        <v>0</v>
      </c>
      <c r="G42" s="502"/>
      <c r="H42" s="2210"/>
      <c r="I42" s="2413"/>
    </row>
    <row r="43" spans="1:11" s="450" customFormat="1" ht="36" customHeight="1" thickBot="1">
      <c r="A43" s="1597" t="s">
        <v>168</v>
      </c>
      <c r="B43" s="1598" t="s">
        <v>2619</v>
      </c>
      <c r="C43" s="1599" t="s">
        <v>1354</v>
      </c>
      <c r="D43" s="1600" t="s">
        <v>64</v>
      </c>
      <c r="E43" s="1601" t="s">
        <v>1383</v>
      </c>
      <c r="F43" s="1602" t="s">
        <v>1384</v>
      </c>
      <c r="G43" s="1603" t="s">
        <v>1293</v>
      </c>
      <c r="H43" s="1581" t="s">
        <v>1294</v>
      </c>
      <c r="I43" s="1582" t="s">
        <v>2622</v>
      </c>
    </row>
    <row r="44" spans="1:11" s="121" customFormat="1" ht="45" customHeight="1" thickBot="1">
      <c r="A44" s="2426" t="str">
        <f>OF!A89</f>
        <v>OF18</v>
      </c>
      <c r="B44" s="2424" t="str">
        <f>OF!B89</f>
        <v>Relative Elevation in Watershed</v>
      </c>
      <c r="C44" s="1606" t="str">
        <f>OF!C89</f>
        <v>To view watersheds, open Google Earth and then the NB_Watersheds.kmz file that accompanies this calculator. Determine the AA's position in its watershed as follows: 
1) If the AA is on a channel wider than 10 m, or has both inlet &amp; outlet and is closer to the watershed's outlet than to its upper end, check "lower 1/3.” 
2) If the AA is the source of a headwater stream, or lacks an outlet and is close to the watershed's outer margin, then check "upper 1/3.”  For all other conditions, check "middle 1/3".</v>
      </c>
      <c r="D44" s="1605"/>
      <c r="E44" s="1350"/>
      <c r="F44" s="1350"/>
      <c r="G44" s="519">
        <f>MAX(F45:F47)/MAX(E45:E47)</f>
        <v>0</v>
      </c>
      <c r="H44" s="2424" t="s">
        <v>1923</v>
      </c>
      <c r="I44" s="2212" t="s">
        <v>1922</v>
      </c>
      <c r="K44" s="450"/>
    </row>
    <row r="45" spans="1:11" s="121" customFormat="1" ht="19.2" customHeight="1">
      <c r="A45" s="2427"/>
      <c r="B45" s="2425"/>
      <c r="C45" s="1607" t="str">
        <f>OF!C90</f>
        <v>in the upper one-third of its watershed.</v>
      </c>
      <c r="D45" s="1133">
        <f>OF!D90</f>
        <v>0</v>
      </c>
      <c r="E45" s="505">
        <v>3</v>
      </c>
      <c r="F45" s="514">
        <f>D45*E45</f>
        <v>0</v>
      </c>
      <c r="G45" s="1609"/>
      <c r="H45" s="2425"/>
      <c r="I45" s="2213"/>
      <c r="K45" s="450"/>
    </row>
    <row r="46" spans="1:11" s="121" customFormat="1" ht="19.2" customHeight="1">
      <c r="A46" s="2427"/>
      <c r="B46" s="2425"/>
      <c r="C46" s="1608" t="str">
        <f>OF!C91</f>
        <v>in the middle one-third of its watershed.</v>
      </c>
      <c r="D46" s="1133">
        <f>OF!D91</f>
        <v>0</v>
      </c>
      <c r="E46" s="505">
        <v>2</v>
      </c>
      <c r="F46" s="514">
        <f>D46*E46</f>
        <v>0</v>
      </c>
      <c r="G46" s="1609"/>
      <c r="H46" s="2425"/>
      <c r="I46" s="2213"/>
      <c r="K46" s="450"/>
    </row>
    <row r="47" spans="1:11" s="121" customFormat="1" ht="15.6" customHeight="1" thickBot="1">
      <c r="A47" s="2427"/>
      <c r="B47" s="2425"/>
      <c r="C47" s="1610" t="str">
        <f>OF!C92</f>
        <v>in the lower one-third of its watershed.</v>
      </c>
      <c r="D47" s="1611">
        <f>OF!D92</f>
        <v>0</v>
      </c>
      <c r="E47" s="1349">
        <v>1</v>
      </c>
      <c r="F47" s="516">
        <f>D47*E47</f>
        <v>0</v>
      </c>
      <c r="G47" s="1612"/>
      <c r="H47" s="2425"/>
      <c r="I47" s="2213"/>
      <c r="K47" s="450"/>
    </row>
    <row r="48" spans="1:11" s="13" customFormat="1" ht="45" customHeight="1" thickBot="1">
      <c r="A48" s="2150" t="str">
        <f>OF!A110</f>
        <v>OF24</v>
      </c>
      <c r="B48" s="2148" t="str">
        <f>OF!B110</f>
        <v>Unvegetated Surface in the Contributing Area</v>
      </c>
      <c r="C48" s="436" t="str">
        <f>OF!C110</f>
        <v>The proportion of the AA's contributing area (measured to no more than 1000 m upslope) that is comprised of buildings, roads, parking lots, other pavement, exposed bedrock, landslides, and other mostly-bare surface is about :</v>
      </c>
      <c r="D48" s="499"/>
      <c r="E48" s="517"/>
      <c r="F48" s="518"/>
      <c r="G48" s="498">
        <f>MAX(F49:F51)/MAX(E49:E51)</f>
        <v>0</v>
      </c>
      <c r="H48" s="2212" t="s">
        <v>618</v>
      </c>
      <c r="I48" s="2411" t="s">
        <v>445</v>
      </c>
      <c r="K48" s="167"/>
    </row>
    <row r="49" spans="1:11" s="13" customFormat="1" ht="15" customHeight="1">
      <c r="A49" s="2151"/>
      <c r="B49" s="2146"/>
      <c r="C49" s="30" t="str">
        <f>OF!C111</f>
        <v>&lt;10%</v>
      </c>
      <c r="D49" s="256">
        <f>OF!D111</f>
        <v>0</v>
      </c>
      <c r="E49" s="514">
        <v>0</v>
      </c>
      <c r="F49" s="514">
        <f>D49*E49</f>
        <v>0</v>
      </c>
      <c r="G49" s="515"/>
      <c r="H49" s="2213"/>
      <c r="I49" s="2412"/>
      <c r="K49" s="167"/>
    </row>
    <row r="50" spans="1:11" s="13" customFormat="1" ht="15" customHeight="1">
      <c r="A50" s="2151"/>
      <c r="B50" s="2146"/>
      <c r="C50" s="1486" t="str">
        <f>OF!C112</f>
        <v>10 to 25%</v>
      </c>
      <c r="D50" s="247">
        <f>OF!D112</f>
        <v>0</v>
      </c>
      <c r="E50" s="514">
        <v>2</v>
      </c>
      <c r="F50" s="514">
        <f>D50*E50</f>
        <v>0</v>
      </c>
      <c r="G50" s="509"/>
      <c r="H50" s="2213"/>
      <c r="I50" s="2412"/>
      <c r="K50" s="167"/>
    </row>
    <row r="51" spans="1:11" s="13" customFormat="1" ht="15.6" customHeight="1" thickBot="1">
      <c r="A51" s="2152"/>
      <c r="B51" s="2149"/>
      <c r="C51" s="194" t="str">
        <f>OF!C113</f>
        <v>&gt;25%</v>
      </c>
      <c r="D51" s="248">
        <f>OF!D113</f>
        <v>0</v>
      </c>
      <c r="E51" s="520">
        <v>3</v>
      </c>
      <c r="F51" s="520">
        <f>D51*E51</f>
        <v>0</v>
      </c>
      <c r="G51" s="521"/>
      <c r="H51" s="2377"/>
      <c r="I51" s="2413"/>
      <c r="K51" s="167"/>
    </row>
    <row r="52" spans="1:11" ht="21" customHeight="1" thickBot="1">
      <c r="A52" s="2181" t="str">
        <f>OF!A$118</f>
        <v>OF26</v>
      </c>
      <c r="B52" s="2212" t="str">
        <f>OF!B$118</f>
        <v>Aspect</v>
      </c>
      <c r="C52" s="439" t="str">
        <f>OF!C118</f>
        <v>The overland flow direction of most surface water (in streams or runoff) that enters the AA is:</v>
      </c>
      <c r="D52" s="499"/>
      <c r="E52" s="522"/>
      <c r="F52" s="522"/>
      <c r="G52" s="519">
        <f>IF((NoCA=1),"", MAX(F53:F55)/MAX(E53:E55))</f>
        <v>0</v>
      </c>
      <c r="H52" s="2212" t="s">
        <v>2264</v>
      </c>
      <c r="I52" s="2411" t="s">
        <v>444</v>
      </c>
    </row>
    <row r="53" spans="1:11" ht="15" customHeight="1">
      <c r="A53" s="2180"/>
      <c r="B53" s="2213"/>
      <c r="C53" s="490" t="str">
        <f>OF!C119</f>
        <v>Northward (N, NE). north-facing contributing area.</v>
      </c>
      <c r="D53" s="398">
        <f>OF!D119</f>
        <v>0</v>
      </c>
      <c r="E53" s="508">
        <v>0</v>
      </c>
      <c r="F53" s="508">
        <f>D53*E53</f>
        <v>0</v>
      </c>
      <c r="G53" s="523"/>
      <c r="H53" s="2213"/>
      <c r="I53" s="2412"/>
    </row>
    <row r="54" spans="1:11" ht="15" customHeight="1">
      <c r="A54" s="2180"/>
      <c r="B54" s="2213"/>
      <c r="C54" s="447" t="str">
        <f>OF!C120</f>
        <v>Southward (S, SW). south-facing contributing area.</v>
      </c>
      <c r="D54" s="399">
        <f>OF!D120</f>
        <v>0</v>
      </c>
      <c r="E54" s="508">
        <v>2</v>
      </c>
      <c r="F54" s="508">
        <f>D54*E54</f>
        <v>0</v>
      </c>
      <c r="G54" s="524"/>
      <c r="H54" s="2213"/>
      <c r="I54" s="2412"/>
    </row>
    <row r="55" spans="1:11" ht="15.6" customHeight="1" thickBot="1">
      <c r="A55" s="2187"/>
      <c r="B55" s="2377"/>
      <c r="C55" s="441" t="str">
        <f>OF!C121</f>
        <v>other (E, SE, W, NW), or no detectable uphill slope or input channel (flat).</v>
      </c>
      <c r="D55" s="193">
        <f>OF!D121</f>
        <v>0</v>
      </c>
      <c r="E55" s="525">
        <v>1</v>
      </c>
      <c r="F55" s="525">
        <f>D55*E55</f>
        <v>0</v>
      </c>
      <c r="G55" s="1196"/>
      <c r="H55" s="2377"/>
      <c r="I55" s="2413"/>
    </row>
    <row r="56" spans="1:11" s="13" customFormat="1" ht="30" customHeight="1" thickBot="1">
      <c r="A56" s="2150" t="str">
        <f>OF!A129</f>
        <v>OF28</v>
      </c>
      <c r="B56" s="2148" t="str">
        <f>OF!B129</f>
        <v>Growing Degree Days</v>
      </c>
      <c r="C56" s="1568" t="str">
        <f>OF!C129</f>
        <v>According to Figure A-1 in Appendix A of the Manual, the mean annual Growing Degree Days (GDD) in the vicinity of the AA is approximately:</v>
      </c>
      <c r="D56" s="499"/>
      <c r="E56" s="517"/>
      <c r="F56" s="518"/>
      <c r="G56" s="519">
        <f>MAX(F57:F62)/MAX(E57:E62)</f>
        <v>0</v>
      </c>
      <c r="H56" s="2148" t="s">
        <v>1126</v>
      </c>
      <c r="I56" s="2411" t="s">
        <v>1267</v>
      </c>
      <c r="K56" s="167"/>
    </row>
    <row r="57" spans="1:11" s="13" customFormat="1" ht="15" customHeight="1">
      <c r="A57" s="2151"/>
      <c r="B57" s="2146"/>
      <c r="C57" s="1076" t="str">
        <f>OF!C130</f>
        <v>800-1000 days</v>
      </c>
      <c r="D57" s="256">
        <f>OF!D130</f>
        <v>0</v>
      </c>
      <c r="E57" s="514">
        <v>0</v>
      </c>
      <c r="F57" s="514">
        <f t="shared" ref="F57:F62" si="2">D57*E57</f>
        <v>0</v>
      </c>
      <c r="G57" s="509"/>
      <c r="H57" s="2146"/>
      <c r="I57" s="2412"/>
      <c r="K57" s="167"/>
    </row>
    <row r="58" spans="1:11" s="13" customFormat="1" ht="15" customHeight="1">
      <c r="A58" s="2151"/>
      <c r="B58" s="2146"/>
      <c r="C58" s="491" t="str">
        <f>OF!C131</f>
        <v>1000-1200</v>
      </c>
      <c r="D58" s="247">
        <f>OF!D131</f>
        <v>0</v>
      </c>
      <c r="E58" s="514">
        <v>1</v>
      </c>
      <c r="F58" s="514">
        <f t="shared" si="2"/>
        <v>0</v>
      </c>
      <c r="G58" s="509"/>
      <c r="H58" s="2146"/>
      <c r="I58" s="2412"/>
      <c r="K58" s="167"/>
    </row>
    <row r="59" spans="1:11" s="13" customFormat="1" ht="15" customHeight="1">
      <c r="A59" s="2151"/>
      <c r="B59" s="2146"/>
      <c r="C59" s="491" t="str">
        <f>OF!C132</f>
        <v>1200-1400</v>
      </c>
      <c r="D59" s="247">
        <f>OF!D132</f>
        <v>0</v>
      </c>
      <c r="E59" s="514">
        <v>2</v>
      </c>
      <c r="F59" s="514">
        <f t="shared" si="2"/>
        <v>0</v>
      </c>
      <c r="G59" s="509"/>
      <c r="H59" s="2146"/>
      <c r="I59" s="2412"/>
      <c r="K59" s="167"/>
    </row>
    <row r="60" spans="1:11" s="13" customFormat="1" ht="15" customHeight="1">
      <c r="A60" s="2151"/>
      <c r="B60" s="2146"/>
      <c r="C60" s="491" t="str">
        <f>OF!C133</f>
        <v>1400-1600</v>
      </c>
      <c r="D60" s="247">
        <f>OF!D133</f>
        <v>0</v>
      </c>
      <c r="E60" s="514">
        <v>3</v>
      </c>
      <c r="F60" s="514">
        <f t="shared" si="2"/>
        <v>0</v>
      </c>
      <c r="G60" s="509"/>
      <c r="H60" s="2146"/>
      <c r="I60" s="2412"/>
      <c r="K60" s="167"/>
    </row>
    <row r="61" spans="1:11" s="13" customFormat="1" ht="15" customHeight="1">
      <c r="A61" s="2151"/>
      <c r="B61" s="2146"/>
      <c r="C61" s="491" t="str">
        <f>OF!C134</f>
        <v>1600-1800</v>
      </c>
      <c r="D61" s="247">
        <f>OF!D134</f>
        <v>0</v>
      </c>
      <c r="E61" s="514">
        <v>4</v>
      </c>
      <c r="F61" s="514">
        <f t="shared" si="2"/>
        <v>0</v>
      </c>
      <c r="G61" s="509"/>
      <c r="H61" s="2146"/>
      <c r="I61" s="2412"/>
      <c r="K61" s="167"/>
    </row>
    <row r="62" spans="1:11" s="13" customFormat="1" ht="15.6" customHeight="1" thickBot="1">
      <c r="A62" s="2152"/>
      <c r="B62" s="2149"/>
      <c r="C62" s="492" t="str">
        <f>OF!C135</f>
        <v>&gt;1800 days</v>
      </c>
      <c r="D62" s="248">
        <f>OF!D135</f>
        <v>0</v>
      </c>
      <c r="E62" s="520">
        <v>5</v>
      </c>
      <c r="F62" s="520">
        <f t="shared" si="2"/>
        <v>0</v>
      </c>
      <c r="G62" s="521"/>
      <c r="H62" s="2149"/>
      <c r="I62" s="2413"/>
      <c r="K62" s="167"/>
    </row>
    <row r="63" spans="1:11" s="14" customFormat="1" ht="58.95" customHeight="1" thickBot="1">
      <c r="A63" s="1567" t="str">
        <f>F!A113</f>
        <v>F22</v>
      </c>
      <c r="B63" s="81" t="str">
        <f>F!B113</f>
        <v>Fringe Wetland</v>
      </c>
      <c r="C63" s="202" t="str">
        <f>F!C113</f>
        <v xml:space="preserve">If both are true, enter "1" and continue. If false, leave the 0 and continue: (a) Open water that adjoins the vegetated AA in a lake, stream, or river during annual low water condition is much wider than the vegetated AA, and (b) the maximum dimension of the lake, stream, or river (measured parallel with flow, if any) is greater than 1 km. </v>
      </c>
      <c r="D63" s="295">
        <f>F!D113</f>
        <v>0</v>
      </c>
      <c r="E63" s="526"/>
      <c r="F63" s="526"/>
      <c r="G63" s="527" t="str">
        <f>IF((D63=1),0,"")</f>
        <v/>
      </c>
      <c r="H63" s="5" t="s">
        <v>0</v>
      </c>
      <c r="I63" s="1647" t="s">
        <v>441</v>
      </c>
      <c r="K63" s="142"/>
    </row>
    <row r="64" spans="1:11" s="14" customFormat="1" ht="30" customHeight="1" thickBot="1">
      <c r="A64" s="2431" t="str">
        <f>F!A200</f>
        <v>F42</v>
      </c>
      <c r="B64" s="2432" t="str">
        <f>F!B200</f>
        <v>Channel Connection &amp; Outflow Duration</v>
      </c>
      <c r="C64" s="493" t="str">
        <f>F!C200</f>
        <v>The most persistent surface water connection (outlet channel or pipe, ditch, or overbank water exchange) between the AA and the closest larger water body located downslope is:</v>
      </c>
      <c r="D64" s="499"/>
      <c r="E64" s="528"/>
      <c r="F64" s="528"/>
      <c r="G64" s="513">
        <f>MAX(F65:F69)/MAX(E65:E69)</f>
        <v>0</v>
      </c>
      <c r="H64" s="2146" t="s">
        <v>619</v>
      </c>
      <c r="I64" s="2411" t="s">
        <v>443</v>
      </c>
      <c r="K64" s="142"/>
    </row>
    <row r="65" spans="1:11" s="14" customFormat="1" ht="16.2" customHeight="1">
      <c r="A65" s="2431"/>
      <c r="B65" s="2432"/>
      <c r="C65" s="494" t="str">
        <f>F!C201</f>
        <v>persistent (&gt;9 months/year, regardless of whether frozen or not).</v>
      </c>
      <c r="D65" s="258">
        <f>F!D201</f>
        <v>0</v>
      </c>
      <c r="E65" s="377">
        <v>5</v>
      </c>
      <c r="F65" s="514">
        <f>D65*E65</f>
        <v>0</v>
      </c>
      <c r="G65" s="529"/>
      <c r="H65" s="2146"/>
      <c r="I65" s="2412"/>
      <c r="K65" s="142"/>
    </row>
    <row r="66" spans="1:11" s="14" customFormat="1" ht="15" customHeight="1">
      <c r="A66" s="2431"/>
      <c r="B66" s="2432"/>
      <c r="C66" s="495" t="str">
        <f>F!C202</f>
        <v>seasonal (14 days to 9 months/year, not necessarily consecutive, including times when frozen).</v>
      </c>
      <c r="D66" s="259">
        <f>F!D202</f>
        <v>0</v>
      </c>
      <c r="E66" s="377">
        <v>2</v>
      </c>
      <c r="F66" s="514">
        <f>D66*E66</f>
        <v>0</v>
      </c>
      <c r="G66" s="510"/>
      <c r="H66" s="2146"/>
      <c r="I66" s="2412"/>
      <c r="K66" s="142"/>
    </row>
    <row r="67" spans="1:11" s="14" customFormat="1" ht="15" customHeight="1">
      <c r="A67" s="2431"/>
      <c r="B67" s="2432"/>
      <c r="C67" s="495" t="str">
        <f>F!C203</f>
        <v>temporary (&lt;14 days, not necessarily consecutive, but must be unfrozen).</v>
      </c>
      <c r="D67" s="259">
        <f>F!D203</f>
        <v>0</v>
      </c>
      <c r="E67" s="377">
        <v>1</v>
      </c>
      <c r="F67" s="514">
        <f>D67*E67</f>
        <v>0</v>
      </c>
      <c r="G67" s="510"/>
      <c r="H67" s="2146"/>
      <c r="I67" s="2412"/>
      <c r="K67" s="142"/>
    </row>
    <row r="68" spans="1:11" s="14" customFormat="1" ht="27" customHeight="1">
      <c r="A68" s="2431"/>
      <c r="B68" s="2432"/>
      <c r="C68" s="495" t="str">
        <f>F!C204</f>
        <v>none -- but maps show a stream or other water body that is downslope from the AA and within a distance that is less than the AA's length. SKIP to F44 (Tributary Channel).</v>
      </c>
      <c r="D68" s="259">
        <f>F!D204</f>
        <v>0</v>
      </c>
      <c r="E68" s="377">
        <v>0</v>
      </c>
      <c r="F68" s="514">
        <f>D68*E68</f>
        <v>0</v>
      </c>
      <c r="G68" s="510"/>
      <c r="H68" s="2146"/>
      <c r="I68" s="2412"/>
      <c r="K68" s="142"/>
    </row>
    <row r="69" spans="1:11" s="14" customFormat="1" ht="42" customHeight="1" thickBot="1">
      <c r="A69" s="2431"/>
      <c r="B69" s="2432"/>
      <c r="C69" s="496" t="str">
        <f>F!C205</f>
        <v>no surface water flows out of the wetland except possibly during extreme events (&lt;once per 10 years). Or, water flows only into a wetland, ditch, or lake that lacks an outlet. SKIP to F47 (pH Measurement).</v>
      </c>
      <c r="D69" s="260">
        <f>F!D205</f>
        <v>0</v>
      </c>
      <c r="E69" s="530">
        <v>0</v>
      </c>
      <c r="F69" s="516">
        <f>D69*E69</f>
        <v>0</v>
      </c>
      <c r="G69" s="510"/>
      <c r="H69" s="2146"/>
      <c r="I69" s="2413"/>
      <c r="K69" s="142"/>
    </row>
    <row r="70" spans="1:11" s="14" customFormat="1" ht="183" customHeight="1" thickBot="1">
      <c r="A70" s="488" t="str">
        <f>F!A211</f>
        <v>F45</v>
      </c>
      <c r="B70" s="81" t="str">
        <f>F!B211</f>
        <v>Input Water Temperature</v>
      </c>
      <c r="C70" s="204" t="str">
        <f>F!C211</f>
        <v>Based on lack of shade, water source characteristics, or actual temperature measurements, the inflow is likely to be warmer than surface water in the AA during part of most years. Enter 1= yes, 0= no.</v>
      </c>
      <c r="D70" s="289">
        <f>F!D211</f>
        <v>0</v>
      </c>
      <c r="E70" s="526"/>
      <c r="F70" s="526"/>
      <c r="G70" s="527" t="str">
        <f>IF((Inflows=0),"",1)</f>
        <v/>
      </c>
      <c r="H70" s="81" t="s">
        <v>2265</v>
      </c>
      <c r="I70" s="1594" t="s">
        <v>442</v>
      </c>
      <c r="K70" s="142"/>
    </row>
    <row r="71" spans="1:11" s="7" customFormat="1" ht="33" customHeight="1" thickBot="1">
      <c r="A71" s="489"/>
      <c r="B71" s="122" t="str">
        <f>FA!C147</f>
        <v>Function Score for Anadromous Fish Habitat</v>
      </c>
      <c r="C71" s="1056"/>
      <c r="D71" s="395"/>
      <c r="E71" s="531"/>
      <c r="F71" s="526"/>
      <c r="G71" s="527">
        <f>FA!G147/10</f>
        <v>0</v>
      </c>
      <c r="H71" s="123" t="s">
        <v>1921</v>
      </c>
      <c r="I71" s="164" t="s">
        <v>440</v>
      </c>
      <c r="K71" s="138"/>
    </row>
    <row r="72" spans="1:11" ht="21" customHeight="1" thickBot="1">
      <c r="A72" s="2429"/>
      <c r="B72" s="2429"/>
      <c r="C72" s="2429"/>
      <c r="D72" s="2429"/>
      <c r="E72" s="2429"/>
      <c r="F72" s="2429"/>
      <c r="G72" s="2429"/>
      <c r="H72" s="2429"/>
    </row>
    <row r="73" spans="1:11" ht="21" customHeight="1" thickBot="1">
      <c r="A73" s="2397"/>
      <c r="B73" s="2430"/>
      <c r="C73" s="2394" t="s">
        <v>616</v>
      </c>
      <c r="D73" s="2395"/>
      <c r="E73" s="2396"/>
      <c r="F73" s="1591" t="s">
        <v>75</v>
      </c>
      <c r="G73" s="1700">
        <f>10*(IF((AllSat1=1),Gwater7, AVERAGE(Gwater7, Shade7,OpenPonded7, Depth7,ISOdry7,SatPct7)))</f>
        <v>0</v>
      </c>
      <c r="H73" s="2363" t="s">
        <v>2701</v>
      </c>
      <c r="I73" s="2364"/>
    </row>
    <row r="74" spans="1:11" ht="21" customHeight="1" thickBot="1">
      <c r="A74" s="2397"/>
      <c r="B74" s="2430"/>
      <c r="C74" s="2394" t="s">
        <v>2405</v>
      </c>
      <c r="D74" s="2395"/>
      <c r="E74" s="2396"/>
      <c r="F74" s="1949" t="s">
        <v>2888</v>
      </c>
      <c r="G74" s="1701">
        <f>10*(IF((Fringe7b=1),0, OutDur7 * ((AVERAGE(ShadeIn7,ShedPos7,Aspect7v,Imperv7, Warmth7)+AnadFish7) /2)))</f>
        <v>0</v>
      </c>
      <c r="H74" s="2363" t="s">
        <v>2702</v>
      </c>
      <c r="I74" s="2364"/>
    </row>
    <row r="75" spans="1:11" ht="21" customHeight="1" thickBot="1">
      <c r="A75" s="4"/>
      <c r="B75" s="4"/>
      <c r="C75" s="4"/>
      <c r="D75" s="4"/>
      <c r="E75" s="4"/>
      <c r="F75" s="4"/>
      <c r="G75" s="4"/>
      <c r="H75" s="4"/>
    </row>
    <row r="76" spans="1:11" ht="21" customHeight="1" thickBot="1">
      <c r="A76" s="4"/>
      <c r="B76" s="4"/>
      <c r="C76" s="4"/>
      <c r="D76" s="4"/>
      <c r="E76" s="4"/>
      <c r="F76" s="4"/>
      <c r="G76" s="4"/>
      <c r="H76" s="2416" t="s">
        <v>806</v>
      </c>
      <c r="I76" s="2417"/>
    </row>
    <row r="77" spans="1:11" ht="21" customHeight="1">
      <c r="A77" s="4"/>
      <c r="B77" s="4"/>
      <c r="C77" s="4"/>
      <c r="D77" s="4"/>
      <c r="E77" s="4"/>
      <c r="F77" s="4"/>
      <c r="G77" s="4"/>
      <c r="H77" s="2409" t="s">
        <v>2618</v>
      </c>
      <c r="I77" s="2410"/>
    </row>
    <row r="78" spans="1:11" s="17" customFormat="1" ht="27" customHeight="1">
      <c r="A78" s="4"/>
      <c r="B78" s="4"/>
      <c r="C78" s="4"/>
      <c r="D78" s="4"/>
      <c r="E78" s="4"/>
      <c r="F78" s="4"/>
      <c r="G78" s="4"/>
      <c r="H78" s="2373" t="s">
        <v>816</v>
      </c>
      <c r="I78" s="2374"/>
      <c r="K78" s="168"/>
    </row>
    <row r="79" spans="1:11" s="17" customFormat="1" ht="27" customHeight="1">
      <c r="A79" s="4"/>
      <c r="B79" s="4"/>
      <c r="C79" s="4"/>
      <c r="D79" s="4"/>
      <c r="E79" s="4"/>
      <c r="F79" s="4"/>
      <c r="G79" s="4"/>
      <c r="H79" s="2373" t="s">
        <v>817</v>
      </c>
      <c r="I79" s="2374"/>
      <c r="K79" s="168"/>
    </row>
    <row r="80" spans="1:11" s="17" customFormat="1" ht="27" customHeight="1">
      <c r="A80" s="4"/>
      <c r="B80" s="4"/>
      <c r="C80" s="4"/>
      <c r="D80" s="4"/>
      <c r="E80" s="4"/>
      <c r="F80" s="4"/>
      <c r="G80" s="4"/>
      <c r="H80" s="2373" t="s">
        <v>818</v>
      </c>
      <c r="I80" s="2374"/>
      <c r="K80" s="168"/>
    </row>
    <row r="81" spans="1:11" s="17" customFormat="1" ht="42" customHeight="1">
      <c r="A81" s="4"/>
      <c r="B81" s="4"/>
      <c r="C81" s="4"/>
      <c r="D81" s="4"/>
      <c r="E81" s="4"/>
      <c r="F81" s="4"/>
      <c r="G81" s="4"/>
      <c r="H81" s="2367" t="s">
        <v>819</v>
      </c>
      <c r="I81" s="2368"/>
      <c r="K81" s="168"/>
    </row>
    <row r="82" spans="1:11" s="17" customFormat="1" ht="27" customHeight="1">
      <c r="A82" s="4"/>
      <c r="B82" s="4"/>
      <c r="C82" s="4"/>
      <c r="D82" s="4"/>
      <c r="E82" s="4"/>
      <c r="F82" s="4"/>
      <c r="G82" s="4"/>
      <c r="H82" s="2371" t="s">
        <v>1646</v>
      </c>
      <c r="I82" s="2372"/>
      <c r="K82" s="168"/>
    </row>
    <row r="83" spans="1:11" s="17" customFormat="1" ht="27" customHeight="1">
      <c r="A83" s="4"/>
      <c r="B83" s="4"/>
      <c r="C83" s="4"/>
      <c r="D83" s="4"/>
      <c r="E83" s="4"/>
      <c r="F83" s="4"/>
      <c r="G83" s="4"/>
      <c r="H83" s="2373" t="s">
        <v>820</v>
      </c>
      <c r="I83" s="2374"/>
      <c r="K83" s="168"/>
    </row>
    <row r="84" spans="1:11" s="17" customFormat="1" ht="27" customHeight="1">
      <c r="A84" s="4"/>
      <c r="B84" s="4"/>
      <c r="C84" s="4"/>
      <c r="D84" s="4"/>
      <c r="E84" s="4"/>
      <c r="F84" s="4"/>
      <c r="G84" s="4"/>
      <c r="H84" s="2373" t="s">
        <v>821</v>
      </c>
      <c r="I84" s="2374"/>
      <c r="K84" s="168"/>
    </row>
    <row r="85" spans="1:11" s="17" customFormat="1" ht="42" customHeight="1">
      <c r="A85" s="4"/>
      <c r="B85" s="4"/>
      <c r="C85" s="4"/>
      <c r="D85" s="4"/>
      <c r="E85" s="4"/>
      <c r="F85" s="4"/>
      <c r="G85" s="4"/>
      <c r="H85" s="2373" t="s">
        <v>1352</v>
      </c>
      <c r="I85" s="2374"/>
      <c r="K85" s="168"/>
    </row>
    <row r="86" spans="1:11" s="17" customFormat="1" ht="27" customHeight="1">
      <c r="A86" s="4"/>
      <c r="B86" s="4"/>
      <c r="C86" s="4"/>
      <c r="D86" s="4"/>
      <c r="E86" s="4"/>
      <c r="F86" s="4"/>
      <c r="G86" s="4"/>
      <c r="H86" s="2373" t="s">
        <v>822</v>
      </c>
      <c r="I86" s="2374"/>
      <c r="K86" s="168"/>
    </row>
    <row r="87" spans="1:11" s="17" customFormat="1" ht="27" customHeight="1" thickBot="1">
      <c r="A87" s="4"/>
      <c r="B87" s="4"/>
      <c r="C87" s="4"/>
      <c r="D87" s="4"/>
      <c r="E87" s="4"/>
      <c r="F87" s="4"/>
      <c r="G87" s="4"/>
      <c r="H87" s="2407" t="s">
        <v>823</v>
      </c>
      <c r="I87" s="2408"/>
      <c r="K87" s="168"/>
    </row>
  </sheetData>
  <sheetProtection password="C74A" sheet="1" objects="1" scenarios="1" formatCells="0" formatColumns="0" formatRows="0" insertColumns="0" insertRows="0" insertHyperlinks="0" deleteColumns="0" deleteRows="0"/>
  <customSheetViews>
    <customSheetView guid="{B8E02330-2419-4DE6-AD01-7ACC7A5D18DD}" scale="75" topLeftCell="A35">
      <selection activeCell="A2" sqref="A2:H47"/>
      <pageMargins left="0.75" right="0.75" top="1" bottom="1" header="0.5" footer="0.5"/>
      <pageSetup orientation="portrait" r:id="rId1"/>
      <headerFooter alignWithMargins="0"/>
    </customSheetView>
  </customSheetViews>
  <mergeCells count="68">
    <mergeCell ref="H20:H25"/>
    <mergeCell ref="B26:B31"/>
    <mergeCell ref="A72:H72"/>
    <mergeCell ref="A73:B74"/>
    <mergeCell ref="A48:A51"/>
    <mergeCell ref="C73:E73"/>
    <mergeCell ref="C74:E74"/>
    <mergeCell ref="H48:H51"/>
    <mergeCell ref="B48:B51"/>
    <mergeCell ref="H52:H55"/>
    <mergeCell ref="H64:H69"/>
    <mergeCell ref="A64:A69"/>
    <mergeCell ref="B64:B69"/>
    <mergeCell ref="A52:A55"/>
    <mergeCell ref="B56:B62"/>
    <mergeCell ref="A56:A62"/>
    <mergeCell ref="A26:A31"/>
    <mergeCell ref="H39:H42"/>
    <mergeCell ref="B39:B42"/>
    <mergeCell ref="B52:B55"/>
    <mergeCell ref="B44:B47"/>
    <mergeCell ref="H44:H47"/>
    <mergeCell ref="A44:A47"/>
    <mergeCell ref="A32:A38"/>
    <mergeCell ref="B32:B38"/>
    <mergeCell ref="A39:A42"/>
    <mergeCell ref="H32:H38"/>
    <mergeCell ref="H26:H31"/>
    <mergeCell ref="I7:I13"/>
    <mergeCell ref="I14:I19"/>
    <mergeCell ref="I20:I25"/>
    <mergeCell ref="I26:I31"/>
    <mergeCell ref="A1:B1"/>
    <mergeCell ref="A3:A6"/>
    <mergeCell ref="B20:B25"/>
    <mergeCell ref="B3:B6"/>
    <mergeCell ref="H3:H6"/>
    <mergeCell ref="H14:H19"/>
    <mergeCell ref="A14:A19"/>
    <mergeCell ref="B7:B13"/>
    <mergeCell ref="A7:A13"/>
    <mergeCell ref="H7:H13"/>
    <mergeCell ref="B14:B19"/>
    <mergeCell ref="A20:A25"/>
    <mergeCell ref="I64:I69"/>
    <mergeCell ref="H73:I73"/>
    <mergeCell ref="H74:I74"/>
    <mergeCell ref="I32:I38"/>
    <mergeCell ref="I39:I42"/>
    <mergeCell ref="I44:I47"/>
    <mergeCell ref="I48:I51"/>
    <mergeCell ref="H56:H62"/>
    <mergeCell ref="H87:I87"/>
    <mergeCell ref="H77:I77"/>
    <mergeCell ref="I3:I6"/>
    <mergeCell ref="E1:I1"/>
    <mergeCell ref="H82:I82"/>
    <mergeCell ref="H83:I83"/>
    <mergeCell ref="H84:I84"/>
    <mergeCell ref="H85:I85"/>
    <mergeCell ref="H86:I86"/>
    <mergeCell ref="H76:I76"/>
    <mergeCell ref="H78:I78"/>
    <mergeCell ref="H79:I79"/>
    <mergeCell ref="H80:I80"/>
    <mergeCell ref="H81:I81"/>
    <mergeCell ref="I52:I55"/>
    <mergeCell ref="I56:I62"/>
  </mergeCells>
  <phoneticPr fontId="2" type="noConversion"/>
  <pageMargins left="0.75" right="0.75" top="1" bottom="1" header="0.5" footer="0.5"/>
  <pageSetup orientation="portrait" r:id="rId2"/>
  <headerFooter alignWithMargins="0"/>
</worksheet>
</file>

<file path=xl/worksheets/sheet9.xml><?xml version="1.0" encoding="utf-8"?>
<worksheet xmlns="http://schemas.openxmlformats.org/spreadsheetml/2006/main" xmlns:r="http://schemas.openxmlformats.org/officeDocument/2006/relationships">
  <sheetPr codeName="Sheet7"/>
  <dimension ref="A1:R584"/>
  <sheetViews>
    <sheetView zoomScaleNormal="100" workbookViewId="0">
      <selection sqref="A1:B1"/>
    </sheetView>
  </sheetViews>
  <sheetFormatPr defaultColWidth="9.33203125" defaultRowHeight="13.8"/>
  <cols>
    <col min="1" max="1" width="5.77734375" style="67" customWidth="1"/>
    <col min="2" max="2" width="18.77734375" style="66" customWidth="1"/>
    <col min="3" max="3" width="69.77734375" style="66" customWidth="1"/>
    <col min="4" max="6" width="6.77734375" style="172" customWidth="1"/>
    <col min="7" max="7" width="9.77734375" style="174" customWidth="1"/>
    <col min="8" max="8" width="69.77734375" style="24" customWidth="1"/>
    <col min="9" max="9" width="11.77734375" style="7" customWidth="1"/>
    <col min="10" max="10" width="9.33203125" style="139"/>
    <col min="11" max="16384" width="9.33203125" style="62"/>
  </cols>
  <sheetData>
    <row r="1" spans="1:18" s="130" customFormat="1" ht="66" customHeight="1" thickBot="1">
      <c r="A1" s="2418" t="s">
        <v>2931</v>
      </c>
      <c r="B1" s="2433"/>
      <c r="C1" s="124" t="s">
        <v>2932</v>
      </c>
      <c r="D1" s="149" t="s">
        <v>1231</v>
      </c>
      <c r="E1" s="2461"/>
      <c r="F1" s="2462"/>
      <c r="G1" s="2462"/>
      <c r="H1" s="2462"/>
      <c r="I1" s="2462"/>
      <c r="J1" s="139"/>
    </row>
    <row r="2" spans="1:18" s="138" customFormat="1" ht="36" customHeight="1" thickBot="1">
      <c r="A2" s="1555" t="s">
        <v>168</v>
      </c>
      <c r="B2" s="1555" t="s">
        <v>1382</v>
      </c>
      <c r="C2" s="1596" t="s">
        <v>1354</v>
      </c>
      <c r="D2" s="1613" t="s">
        <v>64</v>
      </c>
      <c r="E2" s="1576" t="s">
        <v>1383</v>
      </c>
      <c r="F2" s="1577" t="s">
        <v>1384</v>
      </c>
      <c r="G2" s="1578" t="s">
        <v>1293</v>
      </c>
      <c r="H2" s="1579" t="s">
        <v>1294</v>
      </c>
      <c r="I2" s="1625" t="s">
        <v>2622</v>
      </c>
    </row>
    <row r="3" spans="1:18" ht="30" customHeight="1" thickBot="1">
      <c r="A3" s="2313" t="str">
        <f>OF!A105</f>
        <v>OF23</v>
      </c>
      <c r="B3" s="2323" t="str">
        <f>OF!B105</f>
        <v>Contributing Area (CA) Percentage</v>
      </c>
      <c r="C3" s="418" t="str">
        <f>OF!C105</f>
        <v>Determine the approximate bounds of this AA's contributing area (follow the detailed directions in the Manual). Relative to the extent of that contributing area (CA), the AA comprises:</v>
      </c>
      <c r="D3" s="576"/>
      <c r="E3" s="586"/>
      <c r="F3" s="583"/>
      <c r="G3" s="486">
        <f>MAX(F4:F7)/MAX(E4:E7)</f>
        <v>0</v>
      </c>
      <c r="H3" s="2212" t="s">
        <v>1925</v>
      </c>
      <c r="I3" s="2212" t="s">
        <v>1344</v>
      </c>
    </row>
    <row r="4" spans="1:18" ht="27" customHeight="1">
      <c r="A4" s="2314"/>
      <c r="B4" s="2336"/>
      <c r="C4" s="419" t="str">
        <f>OF!C106</f>
        <v>&lt;1% of its CA  (includes most wetlands, especially those located low in watersheds, such as ones on major river floodplains or the marine shoreline).</v>
      </c>
      <c r="D4" s="261">
        <f>OF!D106</f>
        <v>0</v>
      </c>
      <c r="E4" s="80">
        <v>0</v>
      </c>
      <c r="F4" s="370">
        <f>D4*E4</f>
        <v>0</v>
      </c>
      <c r="G4" s="578"/>
      <c r="H4" s="2213"/>
      <c r="I4" s="2213"/>
    </row>
    <row r="5" spans="1:18" ht="15" customHeight="1">
      <c r="A5" s="2314"/>
      <c r="B5" s="2336"/>
      <c r="C5" s="421" t="str">
        <f>OF!C107</f>
        <v>1 to 10% of its CA.</v>
      </c>
      <c r="D5" s="245">
        <f>OF!D107</f>
        <v>0</v>
      </c>
      <c r="E5" s="80">
        <v>1</v>
      </c>
      <c r="F5" s="370">
        <f>D5*E5</f>
        <v>0</v>
      </c>
      <c r="G5" s="579"/>
      <c r="H5" s="2213"/>
      <c r="I5" s="2213"/>
    </row>
    <row r="6" spans="1:18" ht="15" customHeight="1">
      <c r="A6" s="2314"/>
      <c r="B6" s="2336"/>
      <c r="C6" s="421" t="str">
        <f>OF!C108</f>
        <v>10 to 100% of its CA.</v>
      </c>
      <c r="D6" s="245">
        <f>OF!D108</f>
        <v>0</v>
      </c>
      <c r="E6" s="80">
        <v>2</v>
      </c>
      <c r="F6" s="370">
        <f>D6*E6</f>
        <v>0</v>
      </c>
      <c r="G6" s="579"/>
      <c r="H6" s="2213"/>
      <c r="I6" s="2213"/>
    </row>
    <row r="7" spans="1:18" ht="27" customHeight="1" thickBot="1">
      <c r="A7" s="2315"/>
      <c r="B7" s="2337"/>
      <c r="C7" s="422" t="str">
        <f>OF!C109</f>
        <v>Wetland has essentially no CA, e.g., isolated by dikes with no input channels, or is in terrain so flat that a CA can't be delineated. SKIP TO OF27 (Internal Gradient).</v>
      </c>
      <c r="D7" s="246">
        <f>OF!D109</f>
        <v>0</v>
      </c>
      <c r="E7" s="234">
        <v>3</v>
      </c>
      <c r="F7" s="581">
        <f>D7*E7</f>
        <v>0</v>
      </c>
      <c r="G7" s="582"/>
      <c r="H7" s="2377"/>
      <c r="I7" s="2377"/>
    </row>
    <row r="8" spans="1:18" ht="21" customHeight="1" thickBot="1">
      <c r="A8" s="2313" t="str">
        <f>OF!A122</f>
        <v>OF27</v>
      </c>
      <c r="B8" s="2340" t="str">
        <f>OF!B122</f>
        <v>Internal Flow Distance (Path Length)</v>
      </c>
      <c r="C8" s="614" t="str">
        <f>OF!C122</f>
        <v xml:space="preserve">The horizontal flow distance from the wetland's inlet to outlet is: </v>
      </c>
      <c r="D8" s="367"/>
      <c r="E8" s="576"/>
      <c r="F8" s="583"/>
      <c r="G8" s="577">
        <f>MAX(F9:F14)/MAX(E9:E14)</f>
        <v>0</v>
      </c>
      <c r="H8" s="2148" t="s">
        <v>1168</v>
      </c>
      <c r="I8" s="2212" t="s">
        <v>1174</v>
      </c>
    </row>
    <row r="9" spans="1:18" ht="15" customHeight="1">
      <c r="A9" s="2314"/>
      <c r="B9" s="2341"/>
      <c r="C9" s="419" t="str">
        <f>OF!C123</f>
        <v>&lt;10 m</v>
      </c>
      <c r="D9" s="261">
        <f>OF!D123</f>
        <v>0</v>
      </c>
      <c r="E9" s="369">
        <v>0</v>
      </c>
      <c r="F9" s="370">
        <f t="shared" ref="F9:F14" si="0">D9*E9</f>
        <v>0</v>
      </c>
      <c r="G9" s="579"/>
      <c r="H9" s="2146"/>
      <c r="I9" s="2213"/>
    </row>
    <row r="10" spans="1:18" ht="15" customHeight="1">
      <c r="A10" s="2314"/>
      <c r="B10" s="2341"/>
      <c r="C10" s="421" t="str">
        <f>OF!C124</f>
        <v>10 - 50 m</v>
      </c>
      <c r="D10" s="245">
        <f>OF!D124</f>
        <v>0</v>
      </c>
      <c r="E10" s="369">
        <v>1</v>
      </c>
      <c r="F10" s="370">
        <f t="shared" si="0"/>
        <v>0</v>
      </c>
      <c r="G10" s="579"/>
      <c r="H10" s="2146"/>
      <c r="I10" s="2213"/>
    </row>
    <row r="11" spans="1:18" ht="15" customHeight="1">
      <c r="A11" s="2314"/>
      <c r="B11" s="2341"/>
      <c r="C11" s="421" t="str">
        <f>OF!C125</f>
        <v>50 - 100 m</v>
      </c>
      <c r="D11" s="245">
        <f>OF!D125</f>
        <v>0</v>
      </c>
      <c r="E11" s="369">
        <v>2</v>
      </c>
      <c r="F11" s="370">
        <f t="shared" si="0"/>
        <v>0</v>
      </c>
      <c r="G11" s="579"/>
      <c r="H11" s="2146"/>
      <c r="I11" s="2213"/>
    </row>
    <row r="12" spans="1:18" ht="15" customHeight="1">
      <c r="A12" s="2314"/>
      <c r="B12" s="2341"/>
      <c r="C12" s="421" t="str">
        <f>OF!C126</f>
        <v>100 - 1000 m</v>
      </c>
      <c r="D12" s="245">
        <f>OF!D126</f>
        <v>0</v>
      </c>
      <c r="E12" s="369">
        <v>3</v>
      </c>
      <c r="F12" s="370">
        <f t="shared" si="0"/>
        <v>0</v>
      </c>
      <c r="G12" s="579"/>
      <c r="H12" s="2146"/>
      <c r="I12" s="2213"/>
    </row>
    <row r="13" spans="1:18" ht="15" customHeight="1">
      <c r="A13" s="2314"/>
      <c r="B13" s="2341"/>
      <c r="C13" s="421" t="str">
        <f>OF!C127</f>
        <v>1- 2 km</v>
      </c>
      <c r="D13" s="245">
        <f>OF!D127</f>
        <v>0</v>
      </c>
      <c r="E13" s="369">
        <v>4</v>
      </c>
      <c r="F13" s="370">
        <f t="shared" si="0"/>
        <v>0</v>
      </c>
      <c r="G13" s="579"/>
      <c r="H13" s="2146"/>
      <c r="I13" s="2213"/>
    </row>
    <row r="14" spans="1:18" ht="15" customHeight="1" thickBot="1">
      <c r="A14" s="2315"/>
      <c r="B14" s="2342"/>
      <c r="C14" s="422" t="str">
        <f>OF!C128</f>
        <v>&gt;2 km, or wetland lacks an outlet.</v>
      </c>
      <c r="D14" s="246">
        <f>OF!D128</f>
        <v>0</v>
      </c>
      <c r="E14" s="580">
        <v>5</v>
      </c>
      <c r="F14" s="581">
        <f t="shared" si="0"/>
        <v>0</v>
      </c>
      <c r="G14" s="582"/>
      <c r="H14" s="2149"/>
      <c r="I14" s="2377"/>
    </row>
    <row r="15" spans="1:18" s="93" customFormat="1" ht="30" customHeight="1" thickBot="1">
      <c r="A15" s="2343" t="str">
        <f>OF!A129</f>
        <v>OF28</v>
      </c>
      <c r="B15" s="2340" t="str">
        <f>OF!B129</f>
        <v>Growing Degree Days</v>
      </c>
      <c r="C15" s="411" t="str">
        <f>OF!C129</f>
        <v>According to Figure A-1 in Appendix A of the Manual, the mean annual Growing Degree Days (GDD) in the vicinity of the AA is approximately:</v>
      </c>
      <c r="D15" s="576"/>
      <c r="E15" s="576"/>
      <c r="F15" s="583"/>
      <c r="G15" s="577">
        <f>MAX(F16:F21)/MAX(E16:E21)</f>
        <v>0</v>
      </c>
      <c r="H15" s="2148" t="s">
        <v>1227</v>
      </c>
      <c r="I15" s="2212" t="s">
        <v>466</v>
      </c>
      <c r="J15" s="140"/>
      <c r="K15" s="63"/>
      <c r="L15" s="63"/>
      <c r="M15" s="63"/>
      <c r="N15" s="63"/>
      <c r="O15" s="63"/>
      <c r="P15" s="63"/>
      <c r="Q15" s="63"/>
      <c r="R15" s="63"/>
    </row>
    <row r="16" spans="1:18" s="63" customFormat="1" ht="15" customHeight="1">
      <c r="A16" s="2329"/>
      <c r="B16" s="2341"/>
      <c r="C16" s="170" t="str">
        <f>OF!C130</f>
        <v>800-1000 days</v>
      </c>
      <c r="D16" s="261">
        <f>OF!D130</f>
        <v>0</v>
      </c>
      <c r="E16" s="369">
        <v>0</v>
      </c>
      <c r="F16" s="370">
        <f t="shared" ref="F16:F21" si="1">D16*E16</f>
        <v>0</v>
      </c>
      <c r="G16" s="578"/>
      <c r="H16" s="2146"/>
      <c r="I16" s="2213"/>
      <c r="J16" s="140"/>
    </row>
    <row r="17" spans="1:10" s="63" customFormat="1" ht="15" customHeight="1">
      <c r="A17" s="2329"/>
      <c r="B17" s="2341"/>
      <c r="C17" s="82" t="str">
        <f>OF!C131</f>
        <v>1000-1200</v>
      </c>
      <c r="D17" s="245">
        <f>OF!D131</f>
        <v>0</v>
      </c>
      <c r="E17" s="369">
        <v>1</v>
      </c>
      <c r="F17" s="370">
        <f t="shared" si="1"/>
        <v>0</v>
      </c>
      <c r="G17" s="578"/>
      <c r="H17" s="2146"/>
      <c r="I17" s="2213"/>
      <c r="J17" s="140"/>
    </row>
    <row r="18" spans="1:10" s="63" customFormat="1" ht="15" customHeight="1">
      <c r="A18" s="2329"/>
      <c r="B18" s="2341"/>
      <c r="C18" s="82" t="str">
        <f>OF!C132</f>
        <v>1200-1400</v>
      </c>
      <c r="D18" s="245">
        <f>OF!D132</f>
        <v>0</v>
      </c>
      <c r="E18" s="369">
        <v>2</v>
      </c>
      <c r="F18" s="370">
        <f t="shared" si="1"/>
        <v>0</v>
      </c>
      <c r="G18" s="578"/>
      <c r="H18" s="2146"/>
      <c r="I18" s="2213"/>
      <c r="J18" s="140"/>
    </row>
    <row r="19" spans="1:10" s="63" customFormat="1" ht="15" customHeight="1">
      <c r="A19" s="2329"/>
      <c r="B19" s="2341"/>
      <c r="C19" s="82" t="str">
        <f>OF!C133</f>
        <v>1400-1600</v>
      </c>
      <c r="D19" s="245">
        <f>OF!D133</f>
        <v>0</v>
      </c>
      <c r="E19" s="369">
        <v>3</v>
      </c>
      <c r="F19" s="370">
        <f t="shared" si="1"/>
        <v>0</v>
      </c>
      <c r="G19" s="578"/>
      <c r="H19" s="2146"/>
      <c r="I19" s="2213"/>
      <c r="J19" s="140"/>
    </row>
    <row r="20" spans="1:10" s="63" customFormat="1" ht="15" customHeight="1">
      <c r="A20" s="2329"/>
      <c r="B20" s="2341"/>
      <c r="C20" s="82" t="str">
        <f>OF!C134</f>
        <v>1600-1800</v>
      </c>
      <c r="D20" s="245">
        <f>OF!D134</f>
        <v>0</v>
      </c>
      <c r="E20" s="369">
        <v>4</v>
      </c>
      <c r="F20" s="370">
        <f t="shared" si="1"/>
        <v>0</v>
      </c>
      <c r="G20" s="579"/>
      <c r="H20" s="2146"/>
      <c r="I20" s="2213"/>
      <c r="J20" s="140"/>
    </row>
    <row r="21" spans="1:10" s="63" customFormat="1" ht="15.6" customHeight="1" thickBot="1">
      <c r="A21" s="2330"/>
      <c r="B21" s="2342"/>
      <c r="C21" s="438" t="str">
        <f>OF!C135</f>
        <v>&gt;1800 days</v>
      </c>
      <c r="D21" s="246">
        <f>OF!D135</f>
        <v>0</v>
      </c>
      <c r="E21" s="580">
        <v>5</v>
      </c>
      <c r="F21" s="581">
        <f t="shared" si="1"/>
        <v>0</v>
      </c>
      <c r="G21" s="582"/>
      <c r="H21" s="2149"/>
      <c r="I21" s="2377"/>
      <c r="J21" s="140"/>
    </row>
    <row r="22" spans="1:10" ht="30" customHeight="1" thickBot="1">
      <c r="A22" s="2443" t="str">
        <f>F!A57</f>
        <v>F11</v>
      </c>
      <c r="B22" s="2442" t="str">
        <f>F!B57</f>
        <v>% Bare Ground &amp; Thatch</v>
      </c>
      <c r="C22" s="562" t="str">
        <f>F!C57</f>
        <v>Consider the parts of the AA that lack surface water at the driest time of the growing season. Viewed from directly above the ground layer, the predominant condition in those areas at that time is:</v>
      </c>
      <c r="D22" s="367"/>
      <c r="E22" s="588"/>
      <c r="F22" s="368"/>
      <c r="G22" s="584">
        <f>MAX(F23:F26)/MAX(E23:E26)</f>
        <v>0</v>
      </c>
      <c r="H22" s="2146" t="s">
        <v>39</v>
      </c>
      <c r="I22" s="2212" t="s">
        <v>463</v>
      </c>
    </row>
    <row r="23" spans="1:10" ht="42" customHeight="1">
      <c r="A23" s="2443"/>
      <c r="B23" s="2442"/>
      <c r="C23" s="426" t="str">
        <f>F!C58</f>
        <v>Little or no (&lt;5%) bare ground is visible between erect stems or under canopy anywhere in the vegetated AA. Ground is extensively blanketed by dense thatch, moss, lichens, graminoids with great stem densities, or plants with ground-hugging foliage. </v>
      </c>
      <c r="D23" s="263">
        <f>F!D58</f>
        <v>0</v>
      </c>
      <c r="E23" s="361">
        <v>5</v>
      </c>
      <c r="F23" s="370">
        <f>D23*E23</f>
        <v>0</v>
      </c>
      <c r="G23" s="578"/>
      <c r="H23" s="2146"/>
      <c r="I23" s="2213"/>
    </row>
    <row r="24" spans="1:10" ht="27" customHeight="1">
      <c r="A24" s="2443"/>
      <c r="B24" s="2442"/>
      <c r="C24" s="427" t="str">
        <f>F!C59</f>
        <v>Slightly bare ground (5-20% bare between plants) is visible in places, but those areas comprise less than 5% of the unflooded parts of the AA.</v>
      </c>
      <c r="D24" s="264">
        <f>F!D59</f>
        <v>0</v>
      </c>
      <c r="E24" s="361">
        <v>4</v>
      </c>
      <c r="F24" s="370">
        <f>D24*E24</f>
        <v>0</v>
      </c>
      <c r="G24" s="579"/>
      <c r="H24" s="2146"/>
      <c r="I24" s="2213"/>
    </row>
    <row r="25" spans="1:10" ht="27" customHeight="1">
      <c r="A25" s="2443"/>
      <c r="B25" s="2442"/>
      <c r="C25" s="427" t="str">
        <f>F!C60</f>
        <v>Much bare ground (20-50% bare between plants) is visible in places, and those areas comprise more than 5% of the unflooded parts of the AA. </v>
      </c>
      <c r="D25" s="264">
        <f>F!D60</f>
        <v>0</v>
      </c>
      <c r="E25" s="361">
        <v>2</v>
      </c>
      <c r="F25" s="370">
        <f>D25*E25</f>
        <v>0</v>
      </c>
      <c r="G25" s="579"/>
      <c r="H25" s="2146"/>
      <c r="I25" s="2213"/>
    </row>
    <row r="26" spans="1:10" ht="15" customHeight="1" thickBot="1">
      <c r="A26" s="2443"/>
      <c r="B26" s="2442"/>
      <c r="C26" s="424" t="str">
        <f>F!C61</f>
        <v>Other conditions.</v>
      </c>
      <c r="D26" s="265">
        <f>F!D61</f>
        <v>0</v>
      </c>
      <c r="E26" s="364">
        <v>0</v>
      </c>
      <c r="F26" s="372">
        <f>D26*E26</f>
        <v>0</v>
      </c>
      <c r="G26" s="585"/>
      <c r="H26" s="2146"/>
      <c r="I26" s="2377"/>
    </row>
    <row r="27" spans="1:10" ht="60" customHeight="1" thickBot="1">
      <c r="A27" s="2343" t="str">
        <f>F!A63</f>
        <v>F12</v>
      </c>
      <c r="B27" s="2340" t="str">
        <f>F!B63</f>
        <v xml:space="preserve">Ground Irregularity </v>
      </c>
      <c r="C27" s="425"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27" s="576"/>
      <c r="E27" s="587"/>
      <c r="F27" s="583"/>
      <c r="G27" s="577">
        <f>MAX(F28:F30)/MAX(E28:E30)</f>
        <v>0</v>
      </c>
      <c r="H27" s="2218" t="s">
        <v>40</v>
      </c>
      <c r="I27" s="2212" t="s">
        <v>464</v>
      </c>
    </row>
    <row r="28" spans="1:10" ht="15" customHeight="1">
      <c r="A28" s="2329"/>
      <c r="B28" s="2341"/>
      <c r="C28" s="426" t="str">
        <f>F!C64</f>
        <v>Few or none (minimal microtopography; &lt;1% has such features).</v>
      </c>
      <c r="D28" s="263">
        <f>F!D64</f>
        <v>0</v>
      </c>
      <c r="E28" s="370">
        <v>0</v>
      </c>
      <c r="F28" s="370">
        <f>D28*E28</f>
        <v>0</v>
      </c>
      <c r="G28" s="578"/>
      <c r="H28" s="2211"/>
      <c r="I28" s="2213"/>
    </row>
    <row r="29" spans="1:10" ht="15" customHeight="1">
      <c r="A29" s="2329"/>
      <c r="B29" s="2341"/>
      <c r="C29" s="427" t="str">
        <f>F!C65</f>
        <v>Intermediate.</v>
      </c>
      <c r="D29" s="264">
        <f>F!D65</f>
        <v>0</v>
      </c>
      <c r="E29" s="370">
        <v>1</v>
      </c>
      <c r="F29" s="370">
        <f>D29*E29</f>
        <v>0</v>
      </c>
      <c r="G29" s="579"/>
      <c r="H29" s="2211"/>
      <c r="I29" s="2213"/>
    </row>
    <row r="30" spans="1:10" ht="15.6" customHeight="1" thickBot="1">
      <c r="A30" s="2330"/>
      <c r="B30" s="2342"/>
      <c r="C30" s="428" t="str">
        <f>F!C66</f>
        <v>Several (extensive micro-topography).</v>
      </c>
      <c r="D30" s="269">
        <f>F!D66</f>
        <v>0</v>
      </c>
      <c r="E30" s="581">
        <v>2</v>
      </c>
      <c r="F30" s="581">
        <f>D30*E30</f>
        <v>0</v>
      </c>
      <c r="G30" s="582"/>
      <c r="H30" s="2420"/>
      <c r="I30" s="2377"/>
    </row>
    <row r="31" spans="1:10" ht="30" customHeight="1" thickBot="1">
      <c r="A31" s="2437" t="str">
        <f>F!A134</f>
        <v>F27</v>
      </c>
      <c r="B31" s="2341" t="str">
        <f>F!B134</f>
        <v>% of AA that is Flooded Only Seasonally</v>
      </c>
      <c r="C31" s="562" t="str">
        <f>F!C134</f>
        <v>The percentage of the AA that is covered by unfrozen surface water only during the wettest time of the year during most years is:</v>
      </c>
      <c r="D31" s="576"/>
      <c r="E31" s="588"/>
      <c r="F31" s="368"/>
      <c r="G31" s="584">
        <f>IF((AllSat1&gt;0),"",IF((TooSmall=1),"",MAX(F32:F36)/MAX(E32:E36)))</f>
        <v>0</v>
      </c>
      <c r="H31" s="2146" t="s">
        <v>2267</v>
      </c>
      <c r="I31" s="2212" t="s">
        <v>455</v>
      </c>
    </row>
    <row r="32" spans="1:10" ht="15" customHeight="1">
      <c r="A32" s="2437"/>
      <c r="B32" s="2341"/>
      <c r="C32" s="426" t="str">
        <f>F!C135</f>
        <v xml:space="preserve">None, or &lt;0.01 hectare and &lt;1% of the AA. </v>
      </c>
      <c r="D32" s="263">
        <f>F!D135</f>
        <v>0</v>
      </c>
      <c r="E32" s="370">
        <v>0</v>
      </c>
      <c r="F32" s="370">
        <f>D32*E32</f>
        <v>0</v>
      </c>
      <c r="G32" s="578"/>
      <c r="H32" s="2146"/>
      <c r="I32" s="2213"/>
    </row>
    <row r="33" spans="1:10" ht="15" customHeight="1">
      <c r="A33" s="2437"/>
      <c r="B33" s="2341"/>
      <c r="C33" s="427" t="str">
        <f>F!C136</f>
        <v>1-20% of the AA, or &lt;1% but &gt;0.01 ha.</v>
      </c>
      <c r="D33" s="264">
        <f>F!D136</f>
        <v>0</v>
      </c>
      <c r="E33" s="370">
        <v>1</v>
      </c>
      <c r="F33" s="370">
        <f>D33*E33</f>
        <v>0</v>
      </c>
      <c r="G33" s="579"/>
      <c r="H33" s="2146"/>
      <c r="I33" s="2213"/>
    </row>
    <row r="34" spans="1:10" ht="15" customHeight="1">
      <c r="A34" s="2437"/>
      <c r="B34" s="2341"/>
      <c r="C34" s="427" t="str">
        <f>F!C137</f>
        <v>20-50% of the AA.</v>
      </c>
      <c r="D34" s="264">
        <f>F!D137</f>
        <v>0</v>
      </c>
      <c r="E34" s="370">
        <v>2</v>
      </c>
      <c r="F34" s="370">
        <f>D34*E34</f>
        <v>0</v>
      </c>
      <c r="G34" s="579"/>
      <c r="H34" s="2146"/>
      <c r="I34" s="2213"/>
    </row>
    <row r="35" spans="1:10" ht="15" customHeight="1">
      <c r="A35" s="2437"/>
      <c r="B35" s="2341"/>
      <c r="C35" s="427" t="str">
        <f>F!C138</f>
        <v>50-95% of the AA.</v>
      </c>
      <c r="D35" s="264">
        <f>F!D138</f>
        <v>0</v>
      </c>
      <c r="E35" s="370">
        <v>3</v>
      </c>
      <c r="F35" s="370">
        <f>D35*E35</f>
        <v>0</v>
      </c>
      <c r="G35" s="579"/>
      <c r="H35" s="2146"/>
      <c r="I35" s="2213"/>
    </row>
    <row r="36" spans="1:10" ht="15.6" customHeight="1" thickBot="1">
      <c r="A36" s="2437"/>
      <c r="B36" s="2341"/>
      <c r="C36" s="424" t="str">
        <f>F!C139</f>
        <v xml:space="preserve">&gt;95% of the AA. </v>
      </c>
      <c r="D36" s="265">
        <f>F!D139</f>
        <v>0</v>
      </c>
      <c r="E36" s="372">
        <v>4</v>
      </c>
      <c r="F36" s="372">
        <f>D36*E36</f>
        <v>0</v>
      </c>
      <c r="G36" s="585"/>
      <c r="H36" s="2146"/>
      <c r="I36" s="2377"/>
    </row>
    <row r="37" spans="1:10" s="66" customFormat="1" ht="30" customHeight="1" thickBot="1">
      <c r="A37" s="2434" t="str">
        <f>F!A140</f>
        <v>F28</v>
      </c>
      <c r="B37" s="2324" t="str">
        <f>F!B140</f>
        <v>Annual Water Fluctuation Range</v>
      </c>
      <c r="C37" s="563" t="str">
        <f>F!C140</f>
        <v>The annual fluctuation in surface water level within most of the parts of the AA that contain surface water is:</v>
      </c>
      <c r="D37" s="576"/>
      <c r="E37" s="587"/>
      <c r="F37" s="587"/>
      <c r="G37" s="577">
        <f>IF((AllSat1&gt;0),"",IF((TooSmall=1),"",MAX(F38:F41)/MAX(E38:E41)))</f>
        <v>0</v>
      </c>
      <c r="H37" s="2148" t="s">
        <v>1365</v>
      </c>
      <c r="I37" s="2148" t="s">
        <v>454</v>
      </c>
      <c r="J37" s="141"/>
    </row>
    <row r="38" spans="1:10" s="66" customFormat="1" ht="15" customHeight="1">
      <c r="A38" s="2435"/>
      <c r="B38" s="2325"/>
      <c r="C38" s="564" t="str">
        <f>F!C141</f>
        <v>&lt;10 cm change (stable or nearly so).</v>
      </c>
      <c r="D38" s="266">
        <f>F!D141</f>
        <v>0</v>
      </c>
      <c r="E38" s="370">
        <v>1</v>
      </c>
      <c r="F38" s="370">
        <f>D38*E38</f>
        <v>0</v>
      </c>
      <c r="G38" s="579"/>
      <c r="H38" s="2146"/>
      <c r="I38" s="2146"/>
      <c r="J38" s="141"/>
    </row>
    <row r="39" spans="1:10" s="66" customFormat="1" ht="15" customHeight="1">
      <c r="A39" s="2435"/>
      <c r="B39" s="2325"/>
      <c r="C39" s="565" t="str">
        <f>F!C142</f>
        <v>10 cm - 50 cm change.</v>
      </c>
      <c r="D39" s="267">
        <f>F!D142</f>
        <v>0</v>
      </c>
      <c r="E39" s="370">
        <v>2</v>
      </c>
      <c r="F39" s="370">
        <f>D39*E39</f>
        <v>0</v>
      </c>
      <c r="G39" s="579"/>
      <c r="H39" s="2146"/>
      <c r="I39" s="2146"/>
      <c r="J39" s="141"/>
    </row>
    <row r="40" spans="1:10" s="66" customFormat="1" ht="15" customHeight="1">
      <c r="A40" s="2435"/>
      <c r="B40" s="2325"/>
      <c r="C40" s="565" t="str">
        <f>F!C143</f>
        <v>0.5 - 1 m change.</v>
      </c>
      <c r="D40" s="267">
        <f>F!D143</f>
        <v>0</v>
      </c>
      <c r="E40" s="370">
        <v>3</v>
      </c>
      <c r="F40" s="370">
        <f>D40*E40</f>
        <v>0</v>
      </c>
      <c r="G40" s="579"/>
      <c r="H40" s="2146"/>
      <c r="I40" s="2146"/>
      <c r="J40" s="141"/>
    </row>
    <row r="41" spans="1:10" s="66" customFormat="1" ht="15.6" customHeight="1" thickBot="1">
      <c r="A41" s="2436"/>
      <c r="B41" s="2326"/>
      <c r="C41" s="566" t="str">
        <f>F!C144</f>
        <v>1-2 m change.</v>
      </c>
      <c r="D41" s="268">
        <f>F!D144</f>
        <v>0</v>
      </c>
      <c r="E41" s="581">
        <v>4</v>
      </c>
      <c r="F41" s="581">
        <f>D41*E41</f>
        <v>0</v>
      </c>
      <c r="G41" s="582"/>
      <c r="H41" s="2149"/>
      <c r="I41" s="2149"/>
      <c r="J41" s="141"/>
    </row>
    <row r="42" spans="1:10" ht="30" customHeight="1" thickBot="1">
      <c r="A42" s="2437" t="str">
        <f>F!A147</f>
        <v>F29</v>
      </c>
      <c r="B42" s="2442" t="str">
        <f>F!B147</f>
        <v>Predominant Depth Class</v>
      </c>
      <c r="C42" s="562" t="str">
        <f>F!C147</f>
        <v>During most of the time when surface water is present during the growing season, its depth, averaged over the entire inundated part of the AA, is:</v>
      </c>
      <c r="D42" s="576"/>
      <c r="E42" s="588"/>
      <c r="F42" s="368"/>
      <c r="G42" s="589">
        <f>IF((AllSat1&gt;0),"",IF((TooSmall=1),"",MAX(F43:F47)/MAX(E43:E47)))</f>
        <v>0</v>
      </c>
      <c r="H42" s="2146" t="s">
        <v>1366</v>
      </c>
      <c r="I42" s="2212" t="s">
        <v>457</v>
      </c>
    </row>
    <row r="43" spans="1:10" ht="15" customHeight="1">
      <c r="A43" s="2437"/>
      <c r="B43" s="2442"/>
      <c r="C43" s="426" t="str">
        <f>F!C148</f>
        <v>&lt;10 cm deep (but &gt;0).</v>
      </c>
      <c r="D43" s="263">
        <f>F!D148</f>
        <v>0</v>
      </c>
      <c r="E43" s="370">
        <v>1</v>
      </c>
      <c r="F43" s="370">
        <f>D43*E43</f>
        <v>0</v>
      </c>
      <c r="G43" s="578"/>
      <c r="H43" s="2146"/>
      <c r="I43" s="2213"/>
    </row>
    <row r="44" spans="1:10" ht="15" customHeight="1">
      <c r="A44" s="2437"/>
      <c r="B44" s="2442"/>
      <c r="C44" s="427" t="str">
        <f>F!C149</f>
        <v>10 - 50 cm deep.</v>
      </c>
      <c r="D44" s="264">
        <f>F!D149</f>
        <v>0</v>
      </c>
      <c r="E44" s="370">
        <v>2</v>
      </c>
      <c r="F44" s="370">
        <f>D44*E44</f>
        <v>0</v>
      </c>
      <c r="G44" s="579"/>
      <c r="H44" s="2146"/>
      <c r="I44" s="2213"/>
    </row>
    <row r="45" spans="1:10" ht="15" customHeight="1">
      <c r="A45" s="2437"/>
      <c r="B45" s="2442"/>
      <c r="C45" s="427" t="str">
        <f>F!C150</f>
        <v>0.5 - 1 m deep.</v>
      </c>
      <c r="D45" s="264">
        <f>F!D150</f>
        <v>0</v>
      </c>
      <c r="E45" s="370">
        <v>3</v>
      </c>
      <c r="F45" s="370">
        <f>D45*E45</f>
        <v>0</v>
      </c>
      <c r="G45" s="579"/>
      <c r="H45" s="2146"/>
      <c r="I45" s="2213"/>
    </row>
    <row r="46" spans="1:10" ht="15" customHeight="1">
      <c r="A46" s="2437"/>
      <c r="B46" s="2442"/>
      <c r="C46" s="427" t="str">
        <f>F!C151</f>
        <v>1 - 2 m deep.</v>
      </c>
      <c r="D46" s="264">
        <f>F!D151</f>
        <v>0</v>
      </c>
      <c r="E46" s="370">
        <v>4</v>
      </c>
      <c r="F46" s="370">
        <f>D46*E46</f>
        <v>0</v>
      </c>
      <c r="G46" s="579"/>
      <c r="H46" s="2146"/>
      <c r="I46" s="2213"/>
    </row>
    <row r="47" spans="1:10" ht="15.6" customHeight="1" thickBot="1">
      <c r="A47" s="2437"/>
      <c r="B47" s="2442"/>
      <c r="C47" s="424" t="str">
        <f>F!C152</f>
        <v>&gt;2 m deep. True for many fringe wetlands.</v>
      </c>
      <c r="D47" s="265">
        <f>F!D152</f>
        <v>0</v>
      </c>
      <c r="E47" s="372">
        <v>5</v>
      </c>
      <c r="F47" s="372">
        <f>D47*E47</f>
        <v>0</v>
      </c>
      <c r="G47" s="585"/>
      <c r="H47" s="2146"/>
      <c r="I47" s="2377"/>
    </row>
    <row r="48" spans="1:10" s="66" customFormat="1" ht="30" customHeight="1" thickBot="1">
      <c r="A48" s="2328" t="str">
        <f>F!A157</f>
        <v>F31</v>
      </c>
      <c r="B48" s="2438" t="str">
        <f>F!B157</f>
        <v>% of Water That Is Ponded (not Flowing)</v>
      </c>
      <c r="C48" s="425" t="str">
        <f>F!C157</f>
        <v>During most times when surface water is present, the percentage that is ponded (stagnant, or flows so slowly that fine sediment is not held in suspension) is:</v>
      </c>
      <c r="D48" s="576"/>
      <c r="E48" s="587"/>
      <c r="F48" s="583"/>
      <c r="G48" s="577">
        <f>IF((AllSat1&gt;0),"",IF((TooSmall=1),"",MAX(F49:F53)/MAX(E49:E53)))</f>
        <v>0</v>
      </c>
      <c r="H48" s="2218" t="s">
        <v>2266</v>
      </c>
      <c r="I48" s="2148" t="s">
        <v>2074</v>
      </c>
      <c r="J48" s="141"/>
    </row>
    <row r="49" spans="1:10" s="66" customFormat="1" ht="27" customHeight="1">
      <c r="A49" s="2314"/>
      <c r="B49" s="2336"/>
      <c r="C49" s="426" t="str">
        <f>F!C158</f>
        <v>&lt;5% of the water, or it occupies &lt;100 sq.m cumulatively. Nearly all the surface water is flowing. SKIP to F34.</v>
      </c>
      <c r="D49" s="1165">
        <f>F!D158</f>
        <v>0</v>
      </c>
      <c r="E49" s="370">
        <v>0</v>
      </c>
      <c r="F49" s="370">
        <f>D49*E49</f>
        <v>0</v>
      </c>
      <c r="G49" s="579"/>
      <c r="H49" s="2208"/>
      <c r="I49" s="2146"/>
      <c r="J49" s="141"/>
    </row>
    <row r="50" spans="1:10" s="66" customFormat="1" ht="15" customHeight="1">
      <c r="A50" s="2314"/>
      <c r="B50" s="2336"/>
      <c r="C50" s="427" t="str">
        <f>F!C159</f>
        <v>5-30% of the water.</v>
      </c>
      <c r="D50" s="1166">
        <f>F!D159</f>
        <v>0</v>
      </c>
      <c r="E50" s="370">
        <v>1</v>
      </c>
      <c r="F50" s="370">
        <f>D50*E50</f>
        <v>0</v>
      </c>
      <c r="G50" s="579"/>
      <c r="H50" s="2208"/>
      <c r="I50" s="2146"/>
      <c r="J50" s="141"/>
    </row>
    <row r="51" spans="1:10" s="66" customFormat="1" ht="15" customHeight="1">
      <c r="A51" s="2314"/>
      <c r="B51" s="2336"/>
      <c r="C51" s="427" t="str">
        <f>F!C160</f>
        <v>30-70% of the water.</v>
      </c>
      <c r="D51" s="1166">
        <f>F!D160</f>
        <v>0</v>
      </c>
      <c r="E51" s="370">
        <v>2</v>
      </c>
      <c r="F51" s="370">
        <f>D51*E51</f>
        <v>0</v>
      </c>
      <c r="G51" s="585"/>
      <c r="H51" s="2208"/>
      <c r="I51" s="2146"/>
      <c r="J51" s="141"/>
    </row>
    <row r="52" spans="1:10" s="66" customFormat="1" ht="15" customHeight="1">
      <c r="A52" s="2314"/>
      <c r="B52" s="2336"/>
      <c r="C52" s="427" t="str">
        <f>F!C161</f>
        <v>70-95% of the water.</v>
      </c>
      <c r="D52" s="1166">
        <f>F!D161</f>
        <v>0</v>
      </c>
      <c r="E52" s="370">
        <v>3</v>
      </c>
      <c r="F52" s="370">
        <f>D52*E52</f>
        <v>0</v>
      </c>
      <c r="G52" s="585"/>
      <c r="H52" s="2208"/>
      <c r="I52" s="2146"/>
      <c r="J52" s="141"/>
    </row>
    <row r="53" spans="1:10" s="66" customFormat="1" ht="15.6" customHeight="1" thickBot="1">
      <c r="A53" s="2315"/>
      <c r="B53" s="2337"/>
      <c r="C53" s="428" t="str">
        <f>F!C162</f>
        <v>&gt;95% of the water.</v>
      </c>
      <c r="D53" s="1192">
        <f>F!D162</f>
        <v>0</v>
      </c>
      <c r="E53" s="581">
        <v>4</v>
      </c>
      <c r="F53" s="581">
        <f>D53*E53</f>
        <v>0</v>
      </c>
      <c r="G53" s="582"/>
      <c r="H53" s="2210"/>
      <c r="I53" s="2149"/>
      <c r="J53" s="141"/>
    </row>
    <row r="54" spans="1:10" s="1221" customFormat="1" ht="30" customHeight="1" thickBot="1">
      <c r="A54" s="2340" t="str">
        <f>F!A164</f>
        <v>F33</v>
      </c>
      <c r="B54" s="2340" t="str">
        <f>F!B164</f>
        <v xml:space="preserve">% of Ponded Water that is Open </v>
      </c>
      <c r="C54" s="145" t="str">
        <f>F!C164</f>
        <v>In ducks-eye aerial view, the percentage of the ponded water that is open (lacking emergent vegetation during most of the growing season, and unhidden by a forest or shrub canopy) is:</v>
      </c>
      <c r="D54" s="1626"/>
      <c r="E54" s="587"/>
      <c r="F54" s="583"/>
      <c r="G54" s="577">
        <f>IF((AllSat1&gt;0),"",IF((TooSmall=1),"",IF((NoPonded=1),"",MAX(F55:F60)/MAX(E55:E60))))</f>
        <v>0</v>
      </c>
      <c r="H54" s="2148" t="s">
        <v>2268</v>
      </c>
      <c r="I54" s="2212" t="s">
        <v>456</v>
      </c>
      <c r="J54" s="1220"/>
    </row>
    <row r="55" spans="1:10" s="63" customFormat="1" ht="27" customHeight="1">
      <c r="A55" s="2341"/>
      <c r="B55" s="2341"/>
      <c r="C55" s="426" t="str">
        <f>F!C165</f>
        <v>None, or &lt;1% of the AA and largest pool occupies &lt;0.01 hectares. Enter "1" and SKIP to F41 (Floating Algae &amp; Duckweed).</v>
      </c>
      <c r="D55" s="264">
        <f>F!D165</f>
        <v>0</v>
      </c>
      <c r="E55" s="370">
        <v>5</v>
      </c>
      <c r="F55" s="370">
        <f t="shared" ref="F55:F60" si="2">D55*E55</f>
        <v>0</v>
      </c>
      <c r="G55" s="578"/>
      <c r="H55" s="2146"/>
      <c r="I55" s="2213"/>
      <c r="J55" s="140"/>
    </row>
    <row r="56" spans="1:10" s="63" customFormat="1" ht="15" customHeight="1">
      <c r="A56" s="2341"/>
      <c r="B56" s="2341"/>
      <c r="C56" s="427" t="str">
        <f>F!C166</f>
        <v>1-4% of the ponded water. Enter "1" and SKIP to F40 (Floating Algae &amp; Duckweed).</v>
      </c>
      <c r="D56" s="264">
        <f>F!D166</f>
        <v>0</v>
      </c>
      <c r="E56" s="370">
        <v>4</v>
      </c>
      <c r="F56" s="370">
        <f t="shared" si="2"/>
        <v>0</v>
      </c>
      <c r="G56" s="579"/>
      <c r="H56" s="2146"/>
      <c r="I56" s="2213"/>
      <c r="J56" s="140"/>
    </row>
    <row r="57" spans="1:10" s="63" customFormat="1" ht="15" customHeight="1">
      <c r="A57" s="2341"/>
      <c r="B57" s="2341"/>
      <c r="C57" s="427" t="str">
        <f>F!C167</f>
        <v>5-30% of the ponded water.</v>
      </c>
      <c r="D57" s="264">
        <f>F!D167</f>
        <v>0</v>
      </c>
      <c r="E57" s="370">
        <v>3</v>
      </c>
      <c r="F57" s="370">
        <f t="shared" si="2"/>
        <v>0</v>
      </c>
      <c r="G57" s="579"/>
      <c r="H57" s="2146"/>
      <c r="I57" s="2213"/>
      <c r="J57" s="140"/>
    </row>
    <row r="58" spans="1:10" s="63" customFormat="1" ht="15" customHeight="1">
      <c r="A58" s="2341"/>
      <c r="B58" s="2341"/>
      <c r="C58" s="427" t="str">
        <f>F!C168</f>
        <v>30-70% of the ponded water.</v>
      </c>
      <c r="D58" s="264">
        <f>F!D168</f>
        <v>0</v>
      </c>
      <c r="E58" s="370">
        <v>2</v>
      </c>
      <c r="F58" s="370">
        <f t="shared" si="2"/>
        <v>0</v>
      </c>
      <c r="G58" s="579"/>
      <c r="H58" s="2146"/>
      <c r="I58" s="2213"/>
      <c r="J58" s="140"/>
    </row>
    <row r="59" spans="1:10" s="63" customFormat="1" ht="15" customHeight="1">
      <c r="A59" s="2341"/>
      <c r="B59" s="2341"/>
      <c r="C59" s="427" t="str">
        <f>F!C169</f>
        <v>70-99% of the ponded water.</v>
      </c>
      <c r="D59" s="264">
        <f>F!D169</f>
        <v>0</v>
      </c>
      <c r="E59" s="370">
        <v>1</v>
      </c>
      <c r="F59" s="370">
        <f t="shared" si="2"/>
        <v>0</v>
      </c>
      <c r="G59" s="579"/>
      <c r="H59" s="2146"/>
      <c r="I59" s="2213"/>
      <c r="J59" s="140"/>
    </row>
    <row r="60" spans="1:10" s="1217" customFormat="1" ht="15.6" customHeight="1" thickBot="1">
      <c r="A60" s="2342"/>
      <c r="B60" s="2342"/>
      <c r="C60" s="428" t="str">
        <f>F!C170</f>
        <v xml:space="preserve">100% of the ponded water. </v>
      </c>
      <c r="D60" s="269">
        <f>F!D170</f>
        <v>0</v>
      </c>
      <c r="E60" s="581">
        <v>0</v>
      </c>
      <c r="F60" s="581">
        <f t="shared" si="2"/>
        <v>0</v>
      </c>
      <c r="G60" s="582"/>
      <c r="H60" s="2149"/>
      <c r="I60" s="2377"/>
      <c r="J60" s="1223"/>
    </row>
    <row r="61" spans="1:10" ht="33" customHeight="1" thickBot="1">
      <c r="A61" s="2444" t="str">
        <f>F!A171</f>
        <v>F34</v>
      </c>
      <c r="B61" s="2439" t="str">
        <f>F!B171</f>
        <v>Width of Vegetated Zone within Wetland</v>
      </c>
      <c r="C61" s="562" t="str">
        <f>F!C171</f>
        <v>At the time during the growing season when the AA's water level is lowest, the average width of vegetated area in the AA that separates adjoining uplands from open water within the AA is:</v>
      </c>
      <c r="D61" s="367"/>
      <c r="E61" s="588"/>
      <c r="F61" s="368"/>
      <c r="G61" s="584">
        <f>IF((AllSat1&gt;0),"",IF((TooSmall=1),"",IF((NoOpenPonded=1),"", (MAX(F62:F67)/MAX(E62:E67)))))</f>
        <v>0</v>
      </c>
      <c r="H61" s="2146" t="s">
        <v>2269</v>
      </c>
      <c r="I61" s="2212" t="s">
        <v>459</v>
      </c>
    </row>
    <row r="62" spans="1:10" ht="18" customHeight="1">
      <c r="A62" s="2440"/>
      <c r="B62" s="2440"/>
      <c r="C62" s="426" t="str">
        <f>F!C172</f>
        <v>&lt;1 m</v>
      </c>
      <c r="D62" s="263">
        <f>F!D172</f>
        <v>0</v>
      </c>
      <c r="E62" s="370">
        <v>0</v>
      </c>
      <c r="F62" s="370">
        <f t="shared" ref="F62:F67" si="3">D62*E62</f>
        <v>0</v>
      </c>
      <c r="G62" s="578"/>
      <c r="H62" s="2146"/>
      <c r="I62" s="2213"/>
    </row>
    <row r="63" spans="1:10" ht="18" customHeight="1">
      <c r="A63" s="2440"/>
      <c r="B63" s="2440"/>
      <c r="C63" s="426" t="str">
        <f>F!C173</f>
        <v>1 - 9 m</v>
      </c>
      <c r="D63" s="263">
        <f>F!D173</f>
        <v>0</v>
      </c>
      <c r="E63" s="370">
        <v>2</v>
      </c>
      <c r="F63" s="370">
        <f t="shared" si="3"/>
        <v>0</v>
      </c>
      <c r="G63" s="579"/>
      <c r="H63" s="2146"/>
      <c r="I63" s="2213"/>
    </row>
    <row r="64" spans="1:10" ht="18" customHeight="1">
      <c r="A64" s="2440"/>
      <c r="B64" s="2440"/>
      <c r="C64" s="426" t="str">
        <f>F!C174</f>
        <v>10 - 29 m</v>
      </c>
      <c r="D64" s="263">
        <f>F!D174</f>
        <v>0</v>
      </c>
      <c r="E64" s="370">
        <v>3</v>
      </c>
      <c r="F64" s="370">
        <f t="shared" si="3"/>
        <v>0</v>
      </c>
      <c r="G64" s="579"/>
      <c r="H64" s="2146"/>
      <c r="I64" s="2213"/>
    </row>
    <row r="65" spans="1:9" ht="18" customHeight="1">
      <c r="A65" s="2440"/>
      <c r="B65" s="2440"/>
      <c r="C65" s="426" t="str">
        <f>F!C175</f>
        <v>30 - 49 m</v>
      </c>
      <c r="D65" s="263">
        <f>F!D175</f>
        <v>0</v>
      </c>
      <c r="E65" s="370">
        <v>4</v>
      </c>
      <c r="F65" s="370">
        <f t="shared" si="3"/>
        <v>0</v>
      </c>
      <c r="G65" s="579"/>
      <c r="H65" s="2146"/>
      <c r="I65" s="2213"/>
    </row>
    <row r="66" spans="1:9" ht="18" customHeight="1">
      <c r="A66" s="2440"/>
      <c r="B66" s="2440"/>
      <c r="C66" s="426" t="str">
        <f>F!C176</f>
        <v>50 - 100 m</v>
      </c>
      <c r="D66" s="263">
        <f>F!D176</f>
        <v>0</v>
      </c>
      <c r="E66" s="370">
        <v>5</v>
      </c>
      <c r="F66" s="370">
        <f t="shared" si="3"/>
        <v>0</v>
      </c>
      <c r="G66" s="579"/>
      <c r="H66" s="2146"/>
      <c r="I66" s="2213"/>
    </row>
    <row r="67" spans="1:9" ht="18" customHeight="1" thickBot="1">
      <c r="A67" s="2445"/>
      <c r="B67" s="2441"/>
      <c r="C67" s="426" t="str">
        <f>F!C177</f>
        <v>&gt; 100 m</v>
      </c>
      <c r="D67" s="263">
        <f>F!D177</f>
        <v>0</v>
      </c>
      <c r="E67" s="372">
        <v>6</v>
      </c>
      <c r="F67" s="372">
        <f t="shared" si="3"/>
        <v>0</v>
      </c>
      <c r="G67" s="585"/>
      <c r="H67" s="2146"/>
      <c r="I67" s="2377"/>
    </row>
    <row r="68" spans="1:9" ht="30" customHeight="1" thickBot="1">
      <c r="A68" s="2343" t="str">
        <f>F!A178</f>
        <v>F35</v>
      </c>
      <c r="B68" s="2340" t="str">
        <f>F!B178</f>
        <v>Flat Shoreline Extent</v>
      </c>
      <c r="C68" s="425" t="str">
        <f>F!C178</f>
        <v>During most of the part of the growing season when water is present, the percentage of the AA's water edge length that is  nearly flat (a slope less than about 5%) is:</v>
      </c>
      <c r="D68" s="576"/>
      <c r="E68" s="587"/>
      <c r="F68" s="587"/>
      <c r="G68" s="574">
        <f>IF((AllSat1&gt;0),"",IF((TooSmall=1),"",IF((NoOpenPonded=1),"",MAX(F69:F73)/MAX(E69:E73))))</f>
        <v>0</v>
      </c>
      <c r="H68" s="2148" t="s">
        <v>1814</v>
      </c>
      <c r="I68" s="2212" t="s">
        <v>458</v>
      </c>
    </row>
    <row r="69" spans="1:9" ht="15" customHeight="1">
      <c r="A69" s="2329"/>
      <c r="B69" s="2341"/>
      <c r="C69" s="426" t="str">
        <f>F!C179</f>
        <v>&lt;1% of the water edge.</v>
      </c>
      <c r="D69" s="263">
        <f>F!D179</f>
        <v>0</v>
      </c>
      <c r="E69" s="370">
        <v>0</v>
      </c>
      <c r="F69" s="372">
        <f>D69*E69</f>
        <v>0</v>
      </c>
      <c r="G69" s="579"/>
      <c r="H69" s="2146"/>
      <c r="I69" s="2213"/>
    </row>
    <row r="70" spans="1:9" ht="15" customHeight="1">
      <c r="A70" s="2329"/>
      <c r="B70" s="2341"/>
      <c r="C70" s="427" t="str">
        <f>F!C180</f>
        <v>1-25% of the water edge.</v>
      </c>
      <c r="D70" s="264">
        <f>F!D180</f>
        <v>0</v>
      </c>
      <c r="E70" s="370">
        <v>1</v>
      </c>
      <c r="F70" s="372">
        <f>D70*E70</f>
        <v>0</v>
      </c>
      <c r="G70" s="579"/>
      <c r="H70" s="2146"/>
      <c r="I70" s="2213"/>
    </row>
    <row r="71" spans="1:9" ht="15" customHeight="1">
      <c r="A71" s="2329"/>
      <c r="B71" s="2341"/>
      <c r="C71" s="427" t="str">
        <f>F!C181</f>
        <v>25-50% of the water edge.</v>
      </c>
      <c r="D71" s="264">
        <f>F!D181</f>
        <v>0</v>
      </c>
      <c r="E71" s="370">
        <v>2</v>
      </c>
      <c r="F71" s="372">
        <f>D71*E71</f>
        <v>0</v>
      </c>
      <c r="G71" s="579"/>
      <c r="H71" s="2146"/>
      <c r="I71" s="2213"/>
    </row>
    <row r="72" spans="1:9" ht="15" customHeight="1">
      <c r="A72" s="2329"/>
      <c r="B72" s="2341"/>
      <c r="C72" s="427" t="str">
        <f>F!C182</f>
        <v>50-75% of the water edge.</v>
      </c>
      <c r="D72" s="264">
        <f>F!D182</f>
        <v>0</v>
      </c>
      <c r="E72" s="370">
        <v>3</v>
      </c>
      <c r="F72" s="372">
        <f>D72*E72</f>
        <v>0</v>
      </c>
      <c r="G72" s="579"/>
      <c r="H72" s="2146"/>
      <c r="I72" s="2213"/>
    </row>
    <row r="73" spans="1:9" ht="15.6" customHeight="1" thickBot="1">
      <c r="A73" s="2330"/>
      <c r="B73" s="2342"/>
      <c r="C73" s="428" t="str">
        <f>F!C183</f>
        <v>&gt;75% of the water edge.</v>
      </c>
      <c r="D73" s="269">
        <f>F!D183</f>
        <v>0</v>
      </c>
      <c r="E73" s="581">
        <v>4</v>
      </c>
      <c r="F73" s="581">
        <f>D73*E73</f>
        <v>0</v>
      </c>
      <c r="G73" s="582"/>
      <c r="H73" s="2149"/>
      <c r="I73" s="2377"/>
    </row>
    <row r="74" spans="1:9" ht="30" customHeight="1" thickBot="1">
      <c r="A74" s="2328" t="str">
        <f>F!A189</f>
        <v>F37</v>
      </c>
      <c r="B74" s="2438" t="str">
        <f>F!B189</f>
        <v>Interspersion of Robust Emergents &amp; Open Water</v>
      </c>
      <c r="C74" s="567" t="str">
        <f>F!C189</f>
        <v>During most of the part of the growing season when water is present, the spatial pattern of robust herbaceous vegetation (e.g., cattail, tall bulrush, buckbean) is mostly:</v>
      </c>
      <c r="D74" s="576"/>
      <c r="E74" s="587"/>
      <c r="F74" s="583"/>
      <c r="G74" s="574">
        <f>IF((AllSat1&gt;0),"",IF((TooSmall=1),"",IF((NoOpenPonded=1),"",IF((NoOpenPonded+NoOpenPonded1&gt;0),"",IF((AllOpenPond=1),"",MAX(F75:F77)/MAX(E75:E77))))))</f>
        <v>0</v>
      </c>
      <c r="H74" s="2148" t="s">
        <v>1367</v>
      </c>
      <c r="I74" s="2212" t="s">
        <v>1162</v>
      </c>
    </row>
    <row r="75" spans="1:9" ht="15" customHeight="1">
      <c r="A75" s="2449"/>
      <c r="B75" s="2454"/>
      <c r="C75" s="568" t="str">
        <f>F!C190</f>
        <v>Scattered. More than 30% of such vegetation forms small islands or corridors surrounded by water.</v>
      </c>
      <c r="D75" s="270">
        <f>F!D190</f>
        <v>0</v>
      </c>
      <c r="E75" s="370">
        <v>2</v>
      </c>
      <c r="F75" s="370">
        <f>D75*E75</f>
        <v>0</v>
      </c>
      <c r="G75" s="579"/>
      <c r="H75" s="2146"/>
      <c r="I75" s="2213"/>
    </row>
    <row r="76" spans="1:9" ht="15" customHeight="1">
      <c r="A76" s="2449"/>
      <c r="B76" s="2454"/>
      <c r="C76" s="569" t="str">
        <f>F!C191</f>
        <v>Intermediate.</v>
      </c>
      <c r="D76" s="271">
        <f>F!D191</f>
        <v>0</v>
      </c>
      <c r="E76" s="370">
        <v>1</v>
      </c>
      <c r="F76" s="370">
        <f>D76*E76</f>
        <v>0</v>
      </c>
      <c r="G76" s="579"/>
      <c r="H76" s="2146"/>
      <c r="I76" s="2213"/>
    </row>
    <row r="77" spans="1:9" ht="27" customHeight="1" thickBot="1">
      <c r="A77" s="2450"/>
      <c r="B77" s="2455"/>
      <c r="C77" s="570" t="str">
        <f>F!C192</f>
        <v>Clumped. More than 70% of such vegetation is in bands along the wetland perimeter or is clumped at one or a few sides of the surface water area.</v>
      </c>
      <c r="D77" s="272">
        <f>F!D192</f>
        <v>0</v>
      </c>
      <c r="E77" s="581">
        <v>0</v>
      </c>
      <c r="F77" s="581">
        <f>D77*E77</f>
        <v>0</v>
      </c>
      <c r="G77" s="582"/>
      <c r="H77" s="2149"/>
      <c r="I77" s="2377"/>
    </row>
    <row r="78" spans="1:9" ht="30" customHeight="1" thickBot="1">
      <c r="A78" s="2343" t="str">
        <f>F!A200</f>
        <v>F42</v>
      </c>
      <c r="B78" s="2451" t="str">
        <f>F!B200</f>
        <v>Channel Connection &amp; Outflow Duration</v>
      </c>
      <c r="C78" s="425" t="str">
        <f>F!C200</f>
        <v>The most persistent surface water connection (outlet channel or pipe, ditch, or overbank water exchange) between the AA and the closest larger water body located downslope is:</v>
      </c>
      <c r="D78" s="576"/>
      <c r="E78" s="587"/>
      <c r="F78" s="583"/>
      <c r="G78" s="577">
        <f>MAX(F79:F83)/MAX(E79:E83)</f>
        <v>0</v>
      </c>
      <c r="H78" s="2148" t="s">
        <v>2270</v>
      </c>
      <c r="I78" s="2212" t="s">
        <v>460</v>
      </c>
    </row>
    <row r="79" spans="1:9" ht="17.399999999999999" customHeight="1">
      <c r="A79" s="2329"/>
      <c r="B79" s="2442"/>
      <c r="C79" s="426" t="str">
        <f>F!C201</f>
        <v>persistent (&gt;9 months/year, regardless of whether frozen or not).</v>
      </c>
      <c r="D79" s="263">
        <f>F!D201</f>
        <v>0</v>
      </c>
      <c r="E79" s="370">
        <v>1</v>
      </c>
      <c r="F79" s="370">
        <f>D79*E79</f>
        <v>0</v>
      </c>
      <c r="G79" s="578"/>
      <c r="H79" s="2146"/>
      <c r="I79" s="2213"/>
    </row>
    <row r="80" spans="1:9" ht="15" customHeight="1">
      <c r="A80" s="2329"/>
      <c r="B80" s="2442"/>
      <c r="C80" s="427" t="str">
        <f>F!C202</f>
        <v>seasonal (14 days to 9 months/year, not necessarily consecutive, including times when frozen).</v>
      </c>
      <c r="D80" s="264">
        <f>F!D202</f>
        <v>0</v>
      </c>
      <c r="E80" s="370">
        <v>2</v>
      </c>
      <c r="F80" s="370">
        <f>D80*E80</f>
        <v>0</v>
      </c>
      <c r="G80" s="579"/>
      <c r="H80" s="2146"/>
      <c r="I80" s="2213"/>
    </row>
    <row r="81" spans="1:10" ht="15" customHeight="1">
      <c r="A81" s="2329"/>
      <c r="B81" s="2442"/>
      <c r="C81" s="427" t="str">
        <f>F!C203</f>
        <v>temporary (&lt;14 days, not necessarily consecutive, but must be unfrozen).</v>
      </c>
      <c r="D81" s="264">
        <f>F!D203</f>
        <v>0</v>
      </c>
      <c r="E81" s="370">
        <v>4</v>
      </c>
      <c r="F81" s="370">
        <f>D81*E81</f>
        <v>0</v>
      </c>
      <c r="G81" s="579"/>
      <c r="H81" s="2146"/>
      <c r="I81" s="2213"/>
    </row>
    <row r="82" spans="1:10" ht="27" customHeight="1">
      <c r="A82" s="2329"/>
      <c r="B82" s="2442"/>
      <c r="C82" s="427" t="str">
        <f>F!C204</f>
        <v>none -- but maps show a stream or other water body that is downslope from the AA and within a distance that is less than the AA's length. SKIP to F44 (Tributary Channel).</v>
      </c>
      <c r="D82" s="264">
        <f>F!D204</f>
        <v>0</v>
      </c>
      <c r="E82" s="591">
        <v>8</v>
      </c>
      <c r="F82" s="370">
        <f>D82*E82</f>
        <v>0</v>
      </c>
      <c r="G82" s="585"/>
      <c r="H82" s="2146"/>
      <c r="I82" s="2213"/>
    </row>
    <row r="83" spans="1:10" ht="42" customHeight="1" thickBot="1">
      <c r="A83" s="2330"/>
      <c r="B83" s="2460"/>
      <c r="C83" s="571" t="str">
        <f>F!C205</f>
        <v>no surface water flows out of the wetland except possibly during extreme events (&lt;once per 10 years). Or, water flows only into a wetland, ditch, or lake that lacks an outlet. SKIP to F47 (pH Measurement).</v>
      </c>
      <c r="D83" s="274">
        <f>F!D205</f>
        <v>0</v>
      </c>
      <c r="E83" s="581">
        <v>8</v>
      </c>
      <c r="F83" s="581">
        <f>D83*E83</f>
        <v>0</v>
      </c>
      <c r="G83" s="582"/>
      <c r="H83" s="2149"/>
      <c r="I83" s="2377"/>
    </row>
    <row r="84" spans="1:10" ht="30" customHeight="1" thickBot="1">
      <c r="A84" s="2343" t="str">
        <f>F!A206</f>
        <v>F43</v>
      </c>
      <c r="B84" s="2340" t="str">
        <f>F!B206</f>
        <v xml:space="preserve">Outflow Confinement </v>
      </c>
      <c r="C84" s="425" t="str">
        <f>F!C206</f>
        <v>During major runoff events, in the places where surface water exits the AA or connected waters nearby, the water:</v>
      </c>
      <c r="D84" s="576"/>
      <c r="E84" s="587"/>
      <c r="F84" s="583"/>
      <c r="G84" s="577">
        <f>IF((OutNone+OutNone1&gt;0),"",MAX(F85:F87)/MAX(E85:E87))</f>
        <v>0</v>
      </c>
      <c r="H84" s="2218" t="s">
        <v>2271</v>
      </c>
      <c r="I84" s="2212" t="s">
        <v>461</v>
      </c>
    </row>
    <row r="85" spans="1:10" ht="42" customHeight="1">
      <c r="A85" s="2329"/>
      <c r="B85" s="2341"/>
      <c r="C85" s="426" t="str">
        <f>F!C207</f>
        <v>mostly passes through a pipe, culvert, narrowly breached dike, berm, beaver dam, or other partial obstruction (other than natural topography) that does not appear to drain the wetland artificially during most of the growing season.</v>
      </c>
      <c r="D85" s="263">
        <f>F!D207</f>
        <v>0</v>
      </c>
      <c r="E85" s="370">
        <v>2</v>
      </c>
      <c r="F85" s="370">
        <f>D85*E85</f>
        <v>0</v>
      </c>
      <c r="G85" s="578"/>
      <c r="H85" s="2211"/>
      <c r="I85" s="2213"/>
    </row>
    <row r="86" spans="1:10" ht="27" customHeight="1">
      <c r="A86" s="2329"/>
      <c r="B86" s="2341"/>
      <c r="C86" s="427" t="str">
        <f>F!C208</f>
        <v>leaves through natural exits (channels or diffuse outflow), not mainly through artificial or temporary features.</v>
      </c>
      <c r="D86" s="264">
        <f>F!D208</f>
        <v>0</v>
      </c>
      <c r="E86" s="370">
        <v>1</v>
      </c>
      <c r="F86" s="370">
        <f>D86*E86</f>
        <v>0</v>
      </c>
      <c r="G86" s="593"/>
      <c r="H86" s="2211"/>
      <c r="I86" s="2213"/>
    </row>
    <row r="87" spans="1:10" ht="27" customHeight="1" thickBot="1">
      <c r="A87" s="2330"/>
      <c r="B87" s="2342"/>
      <c r="C87" s="428" t="str">
        <f>F!C209</f>
        <v>exported more quickly than usual due to ditches or pipes within the AA (or connected to its outlet or within 10 m of the AA's edge) which drain the wetland artificially, or water is pumped out of the AA.</v>
      </c>
      <c r="D87" s="269">
        <f>F!D209</f>
        <v>0</v>
      </c>
      <c r="E87" s="581">
        <v>0</v>
      </c>
      <c r="F87" s="581">
        <f>D87*E87</f>
        <v>0</v>
      </c>
      <c r="G87" s="582"/>
      <c r="H87" s="2420"/>
      <c r="I87" s="2377"/>
    </row>
    <row r="88" spans="1:10" ht="33" customHeight="1" thickBot="1">
      <c r="A88" s="2446" t="str">
        <f>F!A212</f>
        <v>F46</v>
      </c>
      <c r="B88" s="2340" t="str">
        <f>F!B212</f>
        <v>Throughflow Resistance</v>
      </c>
      <c r="C88" s="562" t="str">
        <f>F!C212</f>
        <v>During its travel through the AA at the time of peak annual flow, water arriving in channels: [select only the ONE encountered by most of the incoming water].</v>
      </c>
      <c r="D88" s="576"/>
      <c r="E88" s="588"/>
      <c r="F88" s="368"/>
      <c r="G88" s="584">
        <f>IF(AND(Inflows=0,OutNone=1,OutNone1=1),"",(MAX(F89:F93)/MAX(E89:E93)))</f>
        <v>0</v>
      </c>
      <c r="H88" s="2148" t="s">
        <v>2918</v>
      </c>
      <c r="I88" s="2212" t="s">
        <v>462</v>
      </c>
    </row>
    <row r="89" spans="1:10" ht="42" customHeight="1">
      <c r="A89" s="2447"/>
      <c r="B89" s="2341"/>
      <c r="C89" s="426"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89" s="263">
        <f>F!D213</f>
        <v>0</v>
      </c>
      <c r="E89" s="370">
        <v>0</v>
      </c>
      <c r="F89" s="370">
        <f>D89*E89</f>
        <v>0</v>
      </c>
      <c r="G89" s="578"/>
      <c r="H89" s="2146"/>
      <c r="I89" s="2213"/>
    </row>
    <row r="90" spans="1:10" ht="18" customHeight="1">
      <c r="A90" s="2447"/>
      <c r="B90" s="2341"/>
      <c r="C90" s="427" t="str">
        <f>F!C214</f>
        <v>bumps into herbaceous vegetation but mostly remains in fairly straight channels.</v>
      </c>
      <c r="D90" s="264">
        <f>F!D214</f>
        <v>0</v>
      </c>
      <c r="E90" s="370">
        <v>3</v>
      </c>
      <c r="F90" s="370">
        <f>D90*E90</f>
        <v>0</v>
      </c>
      <c r="G90" s="579"/>
      <c r="H90" s="2146"/>
      <c r="I90" s="2213"/>
    </row>
    <row r="91" spans="1:10" ht="27" customHeight="1">
      <c r="A91" s="2447"/>
      <c r="B91" s="2341"/>
      <c r="C91" s="427" t="str">
        <f>F!C215</f>
        <v>bumps into herbaceous vegetation and mostly spreads throughout, or is in widely meandering, multi-branched, or braided channels.</v>
      </c>
      <c r="D91" s="264">
        <f>F!D215</f>
        <v>0</v>
      </c>
      <c r="E91" s="370">
        <v>6</v>
      </c>
      <c r="F91" s="370">
        <f>D91*E91</f>
        <v>0</v>
      </c>
      <c r="G91" s="579"/>
      <c r="H91" s="2146"/>
      <c r="I91" s="2213"/>
    </row>
    <row r="92" spans="1:10" ht="18" customHeight="1">
      <c r="A92" s="2447"/>
      <c r="B92" s="2341"/>
      <c r="C92" s="427" t="str">
        <f>F!C216</f>
        <v>bumps into tree trunks and/or shrub stems but mostly remains in fairly straight channels.</v>
      </c>
      <c r="D92" s="264">
        <f>F!D216</f>
        <v>0</v>
      </c>
      <c r="E92" s="370">
        <v>4</v>
      </c>
      <c r="F92" s="370">
        <f>D92*E92</f>
        <v>0</v>
      </c>
      <c r="G92" s="579"/>
      <c r="H92" s="2146"/>
      <c r="I92" s="2213"/>
    </row>
    <row r="93" spans="1:10" ht="30" customHeight="1" thickBot="1">
      <c r="A93" s="2448"/>
      <c r="B93" s="2342"/>
      <c r="C93" s="424" t="str">
        <f>F!C217</f>
        <v>bumps into tree trunks and/or shrub stems and follows a fairly indirect path from entrance to exit (meandering, multi-branched, or braided).</v>
      </c>
      <c r="D93" s="265">
        <f>F!D217</f>
        <v>0</v>
      </c>
      <c r="E93" s="372">
        <v>8</v>
      </c>
      <c r="F93" s="372">
        <f>D93*E93</f>
        <v>0</v>
      </c>
      <c r="G93" s="585"/>
      <c r="H93" s="2149"/>
      <c r="I93" s="2377"/>
    </row>
    <row r="94" spans="1:10" s="7" customFormat="1" ht="21" customHeight="1" thickBot="1">
      <c r="A94" s="2150" t="str">
        <f>F!A235</f>
        <v>F51</v>
      </c>
      <c r="B94" s="2148" t="str">
        <f>F!B235</f>
        <v>Internal Gradient</v>
      </c>
      <c r="C94" s="1573" t="str">
        <f>F!C235</f>
        <v>The gradient along most of the flow path within the AA is:</v>
      </c>
      <c r="D94" s="946"/>
      <c r="E94" s="365"/>
      <c r="F94" s="366"/>
      <c r="G94" s="537">
        <f>MAX(F95:F98)/MAX(E95:E98)</f>
        <v>0</v>
      </c>
      <c r="H94" s="2218"/>
      <c r="I94" s="2212" t="s">
        <v>465</v>
      </c>
      <c r="J94" s="139"/>
    </row>
    <row r="95" spans="1:10" s="7" customFormat="1" ht="15" customHeight="1">
      <c r="A95" s="2151"/>
      <c r="B95" s="2151"/>
      <c r="C95" s="1494" t="str">
        <f>F!C236</f>
        <v>&lt;2% or the AA has no surface water outlet (not even seasonally)</v>
      </c>
      <c r="D95" s="247">
        <f>F!D236</f>
        <v>0</v>
      </c>
      <c r="E95" s="377">
        <v>4</v>
      </c>
      <c r="F95" s="361">
        <f>D95*E95</f>
        <v>0</v>
      </c>
      <c r="G95" s="629"/>
      <c r="H95" s="2211"/>
      <c r="I95" s="2213"/>
      <c r="J95" s="139"/>
    </row>
    <row r="96" spans="1:10" s="7" customFormat="1" ht="15" customHeight="1">
      <c r="A96" s="2151"/>
      <c r="B96" s="2151"/>
      <c r="C96" s="1073" t="str">
        <f>F!C237</f>
        <v>2-5%</v>
      </c>
      <c r="D96" s="247">
        <f>F!D237</f>
        <v>0</v>
      </c>
      <c r="E96" s="377">
        <v>2</v>
      </c>
      <c r="F96" s="361">
        <f>D96*E96</f>
        <v>0</v>
      </c>
      <c r="G96" s="630"/>
      <c r="H96" s="2211"/>
      <c r="I96" s="2213"/>
      <c r="J96" s="139"/>
    </row>
    <row r="97" spans="1:10" s="7" customFormat="1" ht="15" customHeight="1">
      <c r="A97" s="2151"/>
      <c r="B97" s="2151"/>
      <c r="C97" s="1073" t="str">
        <f>F!C238</f>
        <v>6-10%</v>
      </c>
      <c r="D97" s="247">
        <f>F!D238</f>
        <v>0</v>
      </c>
      <c r="E97" s="377">
        <v>1</v>
      </c>
      <c r="F97" s="361">
        <f>D97*E97</f>
        <v>0</v>
      </c>
      <c r="G97" s="630"/>
      <c r="H97" s="2211"/>
      <c r="I97" s="2213"/>
      <c r="J97" s="139"/>
    </row>
    <row r="98" spans="1:10" s="7" customFormat="1" ht="15" customHeight="1" thickBot="1">
      <c r="A98" s="2152"/>
      <c r="B98" s="2152"/>
      <c r="C98" s="1169" t="str">
        <f>F!C239</f>
        <v>&gt;10%</v>
      </c>
      <c r="D98" s="248">
        <f>F!D239</f>
        <v>0</v>
      </c>
      <c r="E98" s="378">
        <v>0</v>
      </c>
      <c r="F98" s="362">
        <f>D98*E98</f>
        <v>0</v>
      </c>
      <c r="G98" s="631"/>
      <c r="H98" s="2210"/>
      <c r="I98" s="2377"/>
      <c r="J98" s="139"/>
    </row>
    <row r="99" spans="1:10" ht="45" customHeight="1" thickBot="1">
      <c r="A99" s="1451" t="str">
        <f>S!A125</f>
        <v>S9</v>
      </c>
      <c r="B99" s="1451" t="str">
        <f>S!B125</f>
        <v>Soil or Sediment Alteration Within the Assessment Area</v>
      </c>
      <c r="C99" s="1452" t="str">
        <f>S!E142</f>
        <v>Final Score=</v>
      </c>
      <c r="D99" s="598">
        <f>S!F142</f>
        <v>0</v>
      </c>
      <c r="E99" s="590"/>
      <c r="F99" s="590"/>
      <c r="G99" s="486" t="str">
        <f>IF((D99=0),"",1-D99)</f>
        <v/>
      </c>
      <c r="H99" s="436" t="s">
        <v>2360</v>
      </c>
      <c r="I99" s="1569"/>
    </row>
    <row r="100" spans="1:10" s="138" customFormat="1" ht="36" customHeight="1" thickBot="1">
      <c r="A100" s="1614" t="s">
        <v>168</v>
      </c>
      <c r="B100" s="1615" t="s">
        <v>2401</v>
      </c>
      <c r="C100" s="1616" t="s">
        <v>1354</v>
      </c>
      <c r="D100" s="1617" t="s">
        <v>64</v>
      </c>
      <c r="E100" s="1618" t="s">
        <v>1383</v>
      </c>
      <c r="F100" s="1619" t="s">
        <v>1384</v>
      </c>
      <c r="G100" s="1620" t="s">
        <v>1293</v>
      </c>
      <c r="H100" s="1615" t="s">
        <v>1294</v>
      </c>
      <c r="I100" s="1615" t="s">
        <v>2622</v>
      </c>
    </row>
    <row r="101" spans="1:10" ht="60" customHeight="1" thickBot="1">
      <c r="A101" s="1107" t="str">
        <f>OF!A94</f>
        <v>OF20</v>
      </c>
      <c r="B101" s="1108" t="str">
        <f>OF!B94</f>
        <v>Erosion Potential Upslope</v>
      </c>
      <c r="C101" s="1627" t="str">
        <f>OF!C94</f>
        <v xml:space="preserve">Within 100 m upstream or upslope from the AA, a stream channel, riverbank, or upland area is likely to have high potential for mass movement (slides or slumping) due to soil composition, slope, and exposure. Enter 1= yes, 0= no. </v>
      </c>
      <c r="D101" s="1628">
        <f>OF!D94</f>
        <v>0</v>
      </c>
      <c r="E101" s="590"/>
      <c r="F101" s="583"/>
      <c r="G101" s="575">
        <f>IF((NoCA=1),"", D101)</f>
        <v>0</v>
      </c>
      <c r="H101" s="1200" t="s">
        <v>1564</v>
      </c>
      <c r="I101" s="7" t="s">
        <v>470</v>
      </c>
    </row>
    <row r="102" spans="1:10" ht="45" customHeight="1" thickBot="1">
      <c r="A102" s="2343" t="str">
        <f>OF!A95</f>
        <v>OF21</v>
      </c>
      <c r="B102" s="2340" t="str">
        <f>OF!B95</f>
        <v xml:space="preserve">Degraded Water Upstream </v>
      </c>
      <c r="C102" s="418" t="str">
        <f>OF!C95</f>
        <v xml:space="preserve">Sampling indicates a problem with concentrations of metals, hydrocarbons, nutrients, or other substances (excluding bacteria, high temperatures) being present at levels harmful to aquatic life or humans, and:  </v>
      </c>
      <c r="D102" s="576"/>
      <c r="E102" s="587"/>
      <c r="F102" s="583"/>
      <c r="G102" s="575">
        <f>IF((D106=1),"", IF((D105=1),0, IF((D104=1),0.5, 1)))</f>
        <v>1</v>
      </c>
      <c r="H102" s="2148" t="s">
        <v>1928</v>
      </c>
      <c r="I102" s="2212" t="s">
        <v>1286</v>
      </c>
    </row>
    <row r="103" spans="1:10" ht="15" customHeight="1">
      <c r="A103" s="2329"/>
      <c r="B103" s="2341"/>
      <c r="C103" s="419" t="str">
        <f>OF!C96</f>
        <v>The condition is present within the AA.</v>
      </c>
      <c r="D103" s="261">
        <f>OF!D96</f>
        <v>0</v>
      </c>
      <c r="E103" s="370"/>
      <c r="F103" s="595"/>
      <c r="G103" s="579"/>
      <c r="H103" s="2146"/>
      <c r="I103" s="2213"/>
    </row>
    <row r="104" spans="1:10" ht="27" customHeight="1">
      <c r="A104" s="2329"/>
      <c r="B104" s="2341"/>
      <c r="C104" s="421" t="str">
        <f>OF!C97</f>
        <v>The condition is present in waters within 1 km that flow into the AA, but has not been documented in the AA itself.</v>
      </c>
      <c r="D104" s="245">
        <f>OF!D97</f>
        <v>0</v>
      </c>
      <c r="E104" s="370"/>
      <c r="F104" s="595"/>
      <c r="G104" s="579"/>
      <c r="H104" s="2146"/>
      <c r="I104" s="2213"/>
    </row>
    <row r="105" spans="1:10" ht="27" customHeight="1">
      <c r="A105" s="2329"/>
      <c r="B105" s="2341"/>
      <c r="C105" s="421" t="str">
        <f>OF!C98</f>
        <v>Sampling during both low water periods and times with high runoff (storms, snowmelt) indicates no problems in either the AA or inflowing waters.</v>
      </c>
      <c r="D105" s="245">
        <f>OF!D98</f>
        <v>0</v>
      </c>
      <c r="E105" s="370"/>
      <c r="F105" s="595"/>
      <c r="G105" s="579"/>
      <c r="H105" s="2146"/>
      <c r="I105" s="2213"/>
    </row>
    <row r="106" spans="1:10" ht="27" customHeight="1" thickBot="1">
      <c r="A106" s="2330"/>
      <c r="B106" s="2342"/>
      <c r="C106" s="422" t="str">
        <f>OF!C99</f>
        <v>Data are insufficient (no or inadequate sampling within 1 km, or condition exists only at &gt;1 km upstream). This is the situation for nearly all NB wetlands.</v>
      </c>
      <c r="D106" s="246">
        <f>OF!D99</f>
        <v>0</v>
      </c>
      <c r="E106" s="581"/>
      <c r="F106" s="596"/>
      <c r="G106" s="582"/>
      <c r="H106" s="2149"/>
      <c r="I106" s="2377"/>
    </row>
    <row r="107" spans="1:10" ht="21" customHeight="1" thickBot="1">
      <c r="A107" s="2327" t="str">
        <f>OF!A100</f>
        <v>OF22</v>
      </c>
      <c r="B107" s="2336" t="str">
        <f>OF!B100</f>
        <v xml:space="preserve">Degraded Water Downstream </v>
      </c>
      <c r="C107" s="561" t="str">
        <f>OF!C100</f>
        <v>The problem described above is downslope from the AA, and:</v>
      </c>
      <c r="D107" s="576"/>
      <c r="E107" s="588"/>
      <c r="F107" s="368"/>
      <c r="G107" s="594">
        <f>IF((D111=1),"", IF((D110=1),0, IF((D109=1),0.5, 1)))</f>
        <v>1</v>
      </c>
      <c r="H107" s="2146" t="s">
        <v>166</v>
      </c>
      <c r="I107" s="2212" t="s">
        <v>528</v>
      </c>
    </row>
    <row r="108" spans="1:10" ht="15" customHeight="1">
      <c r="A108" s="2327"/>
      <c r="B108" s="2336"/>
      <c r="C108" s="170" t="str">
        <f>OF!C101</f>
        <v>The condition is present within 1 km downslope and connected to the AA by a channel.</v>
      </c>
      <c r="D108" s="261">
        <f>OF!D101</f>
        <v>0</v>
      </c>
      <c r="E108" s="370"/>
      <c r="F108" s="370"/>
      <c r="G108" s="578"/>
      <c r="H108" s="2146"/>
      <c r="I108" s="2213"/>
    </row>
    <row r="109" spans="1:10" ht="27" customHeight="1">
      <c r="A109" s="2327"/>
      <c r="B109" s="2336"/>
      <c r="C109" s="170" t="str">
        <f>OF!C102</f>
        <v>The condition is present within 5 km downslope and connected to the AA by a channel, or within 1 km but not connected to the AA by a channel.</v>
      </c>
      <c r="D109" s="261">
        <f>OF!D102</f>
        <v>0</v>
      </c>
      <c r="E109" s="370"/>
      <c r="F109" s="370"/>
      <c r="G109" s="579"/>
      <c r="H109" s="2146"/>
      <c r="I109" s="2213"/>
    </row>
    <row r="110" spans="1:10" ht="27" customHeight="1">
      <c r="A110" s="2327"/>
      <c r="B110" s="2336"/>
      <c r="C110" s="170" t="str">
        <f>OF!C103</f>
        <v>Sampling during both low water periods and times with high runoff (storms, snowmelt) indicates no problems in either the AA or inflowing waters.</v>
      </c>
      <c r="D110" s="261">
        <f>OF!D103</f>
        <v>0</v>
      </c>
      <c r="E110" s="370"/>
      <c r="F110" s="370"/>
      <c r="G110" s="579"/>
      <c r="H110" s="2146"/>
      <c r="I110" s="2213"/>
    </row>
    <row r="111" spans="1:10" ht="27" customHeight="1" thickBot="1">
      <c r="A111" s="2327"/>
      <c r="B111" s="2336"/>
      <c r="C111" s="417" t="str">
        <f>OF!C104</f>
        <v>Data are insufficient (no or inadequate sampling within 1 km, or condition exists only at &gt;1 km upstream). This is the situation for nearly all NB wetlands.</v>
      </c>
      <c r="D111" s="262">
        <f>OF!D104</f>
        <v>0</v>
      </c>
      <c r="E111" s="372"/>
      <c r="F111" s="372"/>
      <c r="G111" s="585"/>
      <c r="H111" s="2146"/>
      <c r="I111" s="2377"/>
    </row>
    <row r="112" spans="1:10" ht="30" customHeight="1" thickBot="1">
      <c r="A112" s="2343" t="str">
        <f>OF!A105</f>
        <v>OF23</v>
      </c>
      <c r="B112" s="2451" t="str">
        <f>OF!B105</f>
        <v>Contributing Area (CA) Percentage</v>
      </c>
      <c r="C112" s="425" t="str">
        <f>OF!C105</f>
        <v>Determine the approximate bounds of this AA's contributing area (follow the detailed directions in the Manual). Relative to the extent of that contributing area (CA), the AA comprises:</v>
      </c>
      <c r="D112" s="576"/>
      <c r="E112" s="587"/>
      <c r="F112" s="583"/>
      <c r="G112" s="575">
        <f>MAX(F113:F116)/MAX(E113:E116)</f>
        <v>0</v>
      </c>
      <c r="H112" s="2218" t="s">
        <v>1924</v>
      </c>
      <c r="I112" s="2212" t="s">
        <v>471</v>
      </c>
    </row>
    <row r="113" spans="1:9" ht="27" customHeight="1">
      <c r="A113" s="2314"/>
      <c r="B113" s="2452"/>
      <c r="C113" s="426" t="str">
        <f>OF!C106</f>
        <v>&lt;1% of its CA  (includes most wetlands, especially those located low in watersheds, such as ones on major river floodplains or the marine shoreline).</v>
      </c>
      <c r="D113" s="263">
        <f>OF!D106</f>
        <v>0</v>
      </c>
      <c r="E113" s="370">
        <v>3</v>
      </c>
      <c r="F113" s="370">
        <f>D113*E113</f>
        <v>0</v>
      </c>
      <c r="G113" s="578"/>
      <c r="H113" s="2211"/>
      <c r="I113" s="2213"/>
    </row>
    <row r="114" spans="1:9" ht="15" customHeight="1">
      <c r="A114" s="2314"/>
      <c r="B114" s="2452"/>
      <c r="C114" s="427" t="str">
        <f>OF!C107</f>
        <v>1 to 10% of its CA.</v>
      </c>
      <c r="D114" s="264">
        <f>OF!D107</f>
        <v>0</v>
      </c>
      <c r="E114" s="370">
        <v>2</v>
      </c>
      <c r="F114" s="370">
        <f>D114*E114</f>
        <v>0</v>
      </c>
      <c r="G114" s="579"/>
      <c r="H114" s="2211"/>
      <c r="I114" s="2213"/>
    </row>
    <row r="115" spans="1:9" ht="15" customHeight="1">
      <c r="A115" s="2314"/>
      <c r="B115" s="2452"/>
      <c r="C115" s="427" t="str">
        <f>OF!C108</f>
        <v>10 to 100% of its CA.</v>
      </c>
      <c r="D115" s="264">
        <f>OF!D108</f>
        <v>0</v>
      </c>
      <c r="E115" s="370">
        <v>1</v>
      </c>
      <c r="F115" s="370">
        <f>D115*E115</f>
        <v>0</v>
      </c>
      <c r="G115" s="579"/>
      <c r="H115" s="2211"/>
      <c r="I115" s="2213"/>
    </row>
    <row r="116" spans="1:9" ht="27" customHeight="1" thickBot="1">
      <c r="A116" s="2315"/>
      <c r="B116" s="2453"/>
      <c r="C116" s="428" t="str">
        <f>OF!C109</f>
        <v>Wetland has essentially no CA, e.g., isolated by dikes with no input channels, or is in terrain so flat that a CA can't be delineated. SKIP TO OF27 (Internal Gradient).</v>
      </c>
      <c r="D116" s="269">
        <f>OF!D109</f>
        <v>0</v>
      </c>
      <c r="E116" s="581">
        <v>0</v>
      </c>
      <c r="F116" s="581">
        <f>D116*E116</f>
        <v>0</v>
      </c>
      <c r="G116" s="582"/>
      <c r="H116" s="2420"/>
      <c r="I116" s="2377"/>
    </row>
    <row r="117" spans="1:9" ht="45" customHeight="1" thickBot="1">
      <c r="A117" s="2343" t="str">
        <f>OF!A110</f>
        <v>OF24</v>
      </c>
      <c r="B117" s="2451" t="str">
        <f>OF!B110</f>
        <v>Unvegetated Surface in the Contributing Area</v>
      </c>
      <c r="C117" s="425" t="str">
        <f>OF!C110</f>
        <v>The proportion of the AA's contributing area (measured to no more than 1000 m upslope) that is comprised of buildings, roads, parking lots, other pavement, exposed bedrock, landslides, and other mostly-bare surface is about :</v>
      </c>
      <c r="D117" s="576"/>
      <c r="E117" s="587"/>
      <c r="F117" s="583"/>
      <c r="G117" s="575">
        <f>IF((NoCA=1),"", MAX(F118:F120)/MAX(E118:E120))</f>
        <v>0</v>
      </c>
      <c r="H117" s="2218" t="s">
        <v>2370</v>
      </c>
      <c r="I117" s="2212" t="s">
        <v>472</v>
      </c>
    </row>
    <row r="118" spans="1:9" ht="15" customHeight="1">
      <c r="A118" s="2314"/>
      <c r="B118" s="2452"/>
      <c r="C118" s="426" t="str">
        <f>OF!C111</f>
        <v>&lt;10%</v>
      </c>
      <c r="D118" s="263">
        <f>OF!D111</f>
        <v>0</v>
      </c>
      <c r="E118" s="370">
        <v>0</v>
      </c>
      <c r="F118" s="370">
        <f>D118*E118</f>
        <v>0</v>
      </c>
      <c r="G118" s="578"/>
      <c r="H118" s="2211"/>
      <c r="I118" s="2213"/>
    </row>
    <row r="119" spans="1:9" ht="15" customHeight="1">
      <c r="A119" s="2314"/>
      <c r="B119" s="2452"/>
      <c r="C119" s="427" t="str">
        <f>OF!C112</f>
        <v>10 to 25%</v>
      </c>
      <c r="D119" s="264">
        <f>OF!D112</f>
        <v>0</v>
      </c>
      <c r="E119" s="370">
        <v>1</v>
      </c>
      <c r="F119" s="370">
        <f>D119*E119</f>
        <v>0</v>
      </c>
      <c r="G119" s="579"/>
      <c r="H119" s="2211"/>
      <c r="I119" s="2213"/>
    </row>
    <row r="120" spans="1:9" ht="15" customHeight="1" thickBot="1">
      <c r="A120" s="2315"/>
      <c r="B120" s="2453"/>
      <c r="C120" s="428" t="str">
        <f>OF!C113</f>
        <v>&gt;25%</v>
      </c>
      <c r="D120" s="269">
        <f>OF!D113</f>
        <v>0</v>
      </c>
      <c r="E120" s="581">
        <v>2</v>
      </c>
      <c r="F120" s="581">
        <f>D120*E120</f>
        <v>0</v>
      </c>
      <c r="G120" s="582"/>
      <c r="H120" s="2420"/>
      <c r="I120" s="2377"/>
    </row>
    <row r="121" spans="1:9" ht="126" customHeight="1" thickBot="1">
      <c r="A121" s="2437" t="str">
        <f>OF!A114</f>
        <v>OF25</v>
      </c>
      <c r="B121" s="2442" t="str">
        <f>OF!B114</f>
        <v>Transport From Upslope</v>
      </c>
      <c r="C121" s="562" t="str">
        <f>OF!C114</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1" s="576"/>
      <c r="E121" s="588"/>
      <c r="F121" s="368"/>
      <c r="G121" s="594">
        <f>IF((NoCA=1),"", MAX(F122:F124)/MAX(E122:E124))</f>
        <v>0</v>
      </c>
      <c r="H121" s="2211" t="s">
        <v>2272</v>
      </c>
      <c r="I121" s="2212" t="s">
        <v>473</v>
      </c>
    </row>
    <row r="122" spans="1:9" ht="15" customHeight="1">
      <c r="A122" s="2327"/>
      <c r="B122" s="2452"/>
      <c r="C122" s="426" t="str">
        <f>OF!C115</f>
        <v>Mostly true</v>
      </c>
      <c r="D122" s="263">
        <f>OF!D115</f>
        <v>0</v>
      </c>
      <c r="E122" s="370">
        <v>2</v>
      </c>
      <c r="F122" s="370">
        <f>D122*E122</f>
        <v>0</v>
      </c>
      <c r="G122" s="578"/>
      <c r="H122" s="2211"/>
      <c r="I122" s="2213"/>
    </row>
    <row r="123" spans="1:9" ht="15" customHeight="1">
      <c r="A123" s="2327"/>
      <c r="B123" s="2452"/>
      <c r="C123" s="427" t="str">
        <f>OF!C116</f>
        <v>Somewhat true</v>
      </c>
      <c r="D123" s="264">
        <f>OF!D116</f>
        <v>0</v>
      </c>
      <c r="E123" s="370">
        <v>1</v>
      </c>
      <c r="F123" s="370">
        <f>D123*E123</f>
        <v>0</v>
      </c>
      <c r="G123" s="579"/>
      <c r="H123" s="2211"/>
      <c r="I123" s="2213"/>
    </row>
    <row r="124" spans="1:9" ht="15" customHeight="1" thickBot="1">
      <c r="A124" s="2327"/>
      <c r="B124" s="2452"/>
      <c r="C124" s="424" t="str">
        <f>OF!C117</f>
        <v>Mostly untrue</v>
      </c>
      <c r="D124" s="265">
        <f>OF!D117</f>
        <v>0</v>
      </c>
      <c r="E124" s="372">
        <v>0</v>
      </c>
      <c r="F124" s="372">
        <f>D124*E124</f>
        <v>0</v>
      </c>
      <c r="G124" s="585"/>
      <c r="H124" s="2211"/>
      <c r="I124" s="2377"/>
    </row>
    <row r="125" spans="1:9" ht="30" customHeight="1" thickBot="1">
      <c r="A125" s="2313" t="str">
        <f>F!A115</f>
        <v>F24</v>
      </c>
      <c r="B125" s="2323" t="str">
        <f>F!B115</f>
        <v>% of AA Without Surface Water</v>
      </c>
      <c r="C125" s="418" t="str">
        <f>F!C115</f>
        <v>The percentage of the AA that never contains surface water during an average year (that is, except perhaps for a few hours after snowmelt or rainstorms), but which is still a wetland, is:</v>
      </c>
      <c r="D125" s="576"/>
      <c r="E125" s="587"/>
      <c r="F125" s="587"/>
      <c r="G125" s="575">
        <f>MAX(F126:F131)/MAX(E126:E131)</f>
        <v>0</v>
      </c>
      <c r="H125" s="2148" t="s">
        <v>1137</v>
      </c>
      <c r="I125" s="2212" t="s">
        <v>1138</v>
      </c>
    </row>
    <row r="126" spans="1:9" ht="27" customHeight="1">
      <c r="A126" s="2314"/>
      <c r="B126" s="2336"/>
      <c r="C126" s="419" t="str">
        <f>F!C116</f>
        <v xml:space="preserve">&lt;1% AND &lt;0.01 hectare (about 10 m on a side) never has surface water. In other words, all or nearly all of the AA is covered by water permanently or at least seasonally.  </v>
      </c>
      <c r="D126" s="261">
        <f>F!D116</f>
        <v>0</v>
      </c>
      <c r="E126" s="370">
        <v>6</v>
      </c>
      <c r="F126" s="370">
        <v>0</v>
      </c>
      <c r="G126" s="579"/>
      <c r="H126" s="2146"/>
      <c r="I126" s="2213"/>
    </row>
    <row r="127" spans="1:9" ht="15" customHeight="1">
      <c r="A127" s="2314"/>
      <c r="B127" s="2336"/>
      <c r="C127" s="419" t="str">
        <f>F!C117</f>
        <v>1-25% of the AA,  or &lt;1% but &gt;0.01 ha, never contains surface water.</v>
      </c>
      <c r="D127" s="261">
        <f>F!D117</f>
        <v>0</v>
      </c>
      <c r="E127" s="370">
        <v>5</v>
      </c>
      <c r="F127" s="370">
        <v>0</v>
      </c>
      <c r="G127" s="579"/>
      <c r="H127" s="2146"/>
      <c r="I127" s="2213"/>
    </row>
    <row r="128" spans="1:9" ht="15" customHeight="1">
      <c r="A128" s="2314"/>
      <c r="B128" s="2336"/>
      <c r="C128" s="419" t="str">
        <f>F!C118</f>
        <v>25-50% of the AA never contains surface water.</v>
      </c>
      <c r="D128" s="261">
        <f>F!D118</f>
        <v>0</v>
      </c>
      <c r="E128" s="370">
        <v>4</v>
      </c>
      <c r="F128" s="370">
        <v>0</v>
      </c>
      <c r="G128" s="579"/>
      <c r="H128" s="2146"/>
      <c r="I128" s="2213"/>
    </row>
    <row r="129" spans="1:9" ht="15" customHeight="1">
      <c r="A129" s="2314"/>
      <c r="B129" s="2336"/>
      <c r="C129" s="419" t="str">
        <f>F!C119</f>
        <v>50-75% of the AA never contains surface water.</v>
      </c>
      <c r="D129" s="261">
        <f>F!D119</f>
        <v>0</v>
      </c>
      <c r="E129" s="370">
        <v>3</v>
      </c>
      <c r="F129" s="370">
        <v>0</v>
      </c>
      <c r="G129" s="579"/>
      <c r="H129" s="2146"/>
      <c r="I129" s="2213"/>
    </row>
    <row r="130" spans="1:9" ht="15" customHeight="1">
      <c r="A130" s="2314"/>
      <c r="B130" s="2336"/>
      <c r="C130" s="419" t="str">
        <f>F!C120</f>
        <v>75-99% of the AA never contains surface water.</v>
      </c>
      <c r="D130" s="261">
        <f>F!D120</f>
        <v>0</v>
      </c>
      <c r="E130" s="372">
        <v>2</v>
      </c>
      <c r="F130" s="372"/>
      <c r="G130" s="585"/>
      <c r="H130" s="2146"/>
      <c r="I130" s="2213"/>
    </row>
    <row r="131" spans="1:9" ht="27" customHeight="1" thickBot="1">
      <c r="A131" s="2315"/>
      <c r="B131" s="2337"/>
      <c r="C131" s="420" t="str">
        <f>F!C121</f>
        <v>100%. True for many bogs, meadow marshes, swamps that lack vernal pools.  Enter "1" and SKIP to F42 (Channel Connection).</v>
      </c>
      <c r="D131" s="336">
        <f>F!D121</f>
        <v>0</v>
      </c>
      <c r="E131" s="581">
        <v>1</v>
      </c>
      <c r="F131" s="581">
        <v>0</v>
      </c>
      <c r="G131" s="582"/>
      <c r="H131" s="2149"/>
      <c r="I131" s="2377"/>
    </row>
    <row r="132" spans="1:9" ht="30" customHeight="1" thickBot="1">
      <c r="A132" s="2437" t="str">
        <f>F!A140</f>
        <v>F28</v>
      </c>
      <c r="B132" s="2442" t="str">
        <f>F!B140</f>
        <v>Annual Water Fluctuation Range</v>
      </c>
      <c r="C132" s="562" t="str">
        <f>F!C140</f>
        <v>The annual fluctuation in surface water level within most of the parts of the AA that contain surface water is:</v>
      </c>
      <c r="D132" s="367"/>
      <c r="E132" s="588"/>
      <c r="F132" s="368"/>
      <c r="G132" s="594">
        <f>IF((AllSat1&gt;0),"",IF((NoSeasonal=1),"",MAX(F133:F136)/MAX(E133:E136)))</f>
        <v>0</v>
      </c>
      <c r="H132" s="2146" t="s">
        <v>377</v>
      </c>
      <c r="I132" s="2212" t="s">
        <v>467</v>
      </c>
    </row>
    <row r="133" spans="1:9" ht="15" customHeight="1">
      <c r="A133" s="2437"/>
      <c r="B133" s="2442"/>
      <c r="C133" s="426" t="str">
        <f>F!C141</f>
        <v>&lt;10 cm change (stable or nearly so).</v>
      </c>
      <c r="D133" s="263">
        <f>F!D141</f>
        <v>0</v>
      </c>
      <c r="E133" s="370">
        <v>0</v>
      </c>
      <c r="F133" s="370">
        <f>D133*E133</f>
        <v>0</v>
      </c>
      <c r="G133" s="578"/>
      <c r="H133" s="2146"/>
      <c r="I133" s="2213"/>
    </row>
    <row r="134" spans="1:9" ht="15" customHeight="1">
      <c r="A134" s="2437"/>
      <c r="B134" s="2442"/>
      <c r="C134" s="427" t="str">
        <f>F!C142</f>
        <v>10 cm - 50 cm change.</v>
      </c>
      <c r="D134" s="264">
        <f>F!D142</f>
        <v>0</v>
      </c>
      <c r="E134" s="370">
        <v>2</v>
      </c>
      <c r="F134" s="370">
        <f>D134*E134</f>
        <v>0</v>
      </c>
      <c r="G134" s="579"/>
      <c r="H134" s="2146"/>
      <c r="I134" s="2213"/>
    </row>
    <row r="135" spans="1:9" ht="15" customHeight="1">
      <c r="A135" s="2437"/>
      <c r="B135" s="2442"/>
      <c r="C135" s="427" t="str">
        <f>F!C143</f>
        <v>0.5 - 1 m change.</v>
      </c>
      <c r="D135" s="264">
        <f>F!D143</f>
        <v>0</v>
      </c>
      <c r="E135" s="370">
        <v>3</v>
      </c>
      <c r="F135" s="370">
        <f>D135*E135</f>
        <v>0</v>
      </c>
      <c r="G135" s="579"/>
      <c r="H135" s="2146"/>
      <c r="I135" s="2213"/>
    </row>
    <row r="136" spans="1:9" ht="15" customHeight="1" thickBot="1">
      <c r="A136" s="2437"/>
      <c r="B136" s="2442"/>
      <c r="C136" s="424" t="str">
        <f>F!C144</f>
        <v>1-2 m change.</v>
      </c>
      <c r="D136" s="265">
        <f>F!D144</f>
        <v>0</v>
      </c>
      <c r="E136" s="372">
        <v>4</v>
      </c>
      <c r="F136" s="372">
        <f>D136*E136</f>
        <v>0</v>
      </c>
      <c r="G136" s="585"/>
      <c r="H136" s="2146"/>
      <c r="I136" s="2377"/>
    </row>
    <row r="137" spans="1:9" ht="33" customHeight="1" thickBot="1">
      <c r="A137" s="559" t="str">
        <f>F!A210</f>
        <v>F44</v>
      </c>
      <c r="B137" s="573" t="str">
        <f>F!B210</f>
        <v>Tributary Channel</v>
      </c>
      <c r="C137" s="572" t="str">
        <f>F!C210</f>
        <v>At least once annually, the AA receives surface water from a tributary channel &gt;100 m long.  If no, SKIP to F47 ( pH Measurement).</v>
      </c>
      <c r="D137" s="276">
        <f>F!D210</f>
        <v>0</v>
      </c>
      <c r="E137" s="590"/>
      <c r="F137" s="597"/>
      <c r="G137" s="575">
        <f>D137</f>
        <v>0</v>
      </c>
      <c r="H137" s="5" t="s">
        <v>117</v>
      </c>
      <c r="I137" s="123" t="s">
        <v>468</v>
      </c>
    </row>
    <row r="138" spans="1:9" ht="30" customHeight="1" thickBot="1">
      <c r="A138" s="2451" t="str">
        <f>F!A240</f>
        <v>F52</v>
      </c>
      <c r="B138" s="2451" t="str">
        <f>F!B240</f>
        <v>Vegetated Buffer as % of Perimeter</v>
      </c>
      <c r="C138" s="425" t="str">
        <f>F!C240</f>
        <v>Along the wetland-upland edge and extending 30 m laterally upslope, the percentage of the upland that contains vegetation cover (except lawns, row crops, heavily grazed land, conifer plantations) is:</v>
      </c>
      <c r="D138" s="622"/>
      <c r="E138" s="587"/>
      <c r="F138" s="583"/>
      <c r="G138" s="575">
        <f>IF((NoCA=1),"", MAX(F139:F143)/MAX(E139:E143))</f>
        <v>0</v>
      </c>
      <c r="H138" s="2148" t="s">
        <v>1566</v>
      </c>
      <c r="I138" s="2212" t="s">
        <v>469</v>
      </c>
    </row>
    <row r="139" spans="1:9" ht="15" customHeight="1">
      <c r="A139" s="2442"/>
      <c r="B139" s="2442"/>
      <c r="C139" s="1461" t="str">
        <f>F!C241</f>
        <v xml:space="preserve">&lt;5% </v>
      </c>
      <c r="D139" s="264">
        <f>F!D241</f>
        <v>0</v>
      </c>
      <c r="E139" s="591">
        <v>4</v>
      </c>
      <c r="F139" s="370">
        <f>D139*E139</f>
        <v>0</v>
      </c>
      <c r="G139" s="578"/>
      <c r="H139" s="2146"/>
      <c r="I139" s="2213"/>
    </row>
    <row r="140" spans="1:9" ht="15" customHeight="1">
      <c r="A140" s="2442"/>
      <c r="B140" s="2442"/>
      <c r="C140" s="1629" t="str">
        <f>F!C242</f>
        <v>5 to 30%</v>
      </c>
      <c r="D140" s="264">
        <f>F!D242</f>
        <v>0</v>
      </c>
      <c r="E140" s="591">
        <v>3</v>
      </c>
      <c r="F140" s="370">
        <f>D140*E140</f>
        <v>0</v>
      </c>
      <c r="G140" s="579"/>
      <c r="H140" s="2146"/>
      <c r="I140" s="2213"/>
    </row>
    <row r="141" spans="1:9" ht="15" customHeight="1">
      <c r="A141" s="2442"/>
      <c r="B141" s="2442"/>
      <c r="C141" s="1630" t="str">
        <f>F!C243</f>
        <v>30 to 60%</v>
      </c>
      <c r="D141" s="264">
        <f>F!D243</f>
        <v>0</v>
      </c>
      <c r="E141" s="591">
        <v>2</v>
      </c>
      <c r="F141" s="370">
        <f>D141*E141</f>
        <v>0</v>
      </c>
      <c r="G141" s="579"/>
      <c r="H141" s="2146"/>
      <c r="I141" s="2213"/>
    </row>
    <row r="142" spans="1:9" ht="15" customHeight="1">
      <c r="A142" s="2442"/>
      <c r="B142" s="2442"/>
      <c r="C142" s="1630" t="str">
        <f>F!C244</f>
        <v>60 to 90%</v>
      </c>
      <c r="D142" s="355">
        <f>F!D244</f>
        <v>0</v>
      </c>
      <c r="E142" s="591">
        <v>1</v>
      </c>
      <c r="F142" s="370">
        <f>D142*E142</f>
        <v>0</v>
      </c>
      <c r="G142" s="579"/>
      <c r="H142" s="2146"/>
      <c r="I142" s="2213"/>
    </row>
    <row r="143" spans="1:9" ht="15" customHeight="1" thickBot="1">
      <c r="A143" s="2460"/>
      <c r="B143" s="2460"/>
      <c r="C143" s="1462" t="str">
        <f>F!C245</f>
        <v>&gt;90%, or all the area within 30 m of the AA edge is other wetlands. SKIP to F55.</v>
      </c>
      <c r="D143" s="274">
        <f>F!D245</f>
        <v>0</v>
      </c>
      <c r="E143" s="581">
        <v>0</v>
      </c>
      <c r="F143" s="581">
        <f>D143*E143</f>
        <v>0</v>
      </c>
      <c r="G143" s="582"/>
      <c r="H143" s="2149"/>
      <c r="I143" s="2377"/>
    </row>
    <row r="144" spans="1:9" ht="30" customHeight="1" thickBot="1">
      <c r="A144" s="2341" t="str">
        <f>F!A249</f>
        <v>F54</v>
      </c>
      <c r="B144" s="2341" t="str">
        <f>F!B249</f>
        <v xml:space="preserve">Buffer Slope </v>
      </c>
      <c r="C144" s="425" t="str">
        <f>F!C249</f>
        <v>The steepest and/or most disturbed part of the upland area that is within 30 m of the wetland and occupies &gt;10% of that upland area has a percent slope of:</v>
      </c>
      <c r="D144" s="1633"/>
      <c r="E144" s="588"/>
      <c r="F144" s="368"/>
      <c r="G144" s="594">
        <f>IF((NoCA=1),"", IF((BuffAllNat=1),"",MAX(F145:F148)/MAX(E145:E148)))</f>
        <v>0</v>
      </c>
      <c r="H144" s="2146" t="s">
        <v>2379</v>
      </c>
      <c r="I144" s="2212" t="s">
        <v>245</v>
      </c>
    </row>
    <row r="145" spans="1:12" ht="21" customHeight="1">
      <c r="A145" s="2341"/>
      <c r="B145" s="2341"/>
      <c r="C145" s="1461" t="str">
        <f>F!C250</f>
        <v>&lt;1% (flat -- almost no noticeable slope) or all the area within 30 m of the AA edge is other wetlands.</v>
      </c>
      <c r="D145" s="1636">
        <f>F!D250</f>
        <v>0</v>
      </c>
      <c r="E145" s="370">
        <v>0</v>
      </c>
      <c r="F145" s="370">
        <f>D145*E145</f>
        <v>0</v>
      </c>
      <c r="G145" s="578"/>
      <c r="H145" s="2146"/>
      <c r="I145" s="2213"/>
      <c r="L145" s="66"/>
    </row>
    <row r="146" spans="1:12" ht="21" customHeight="1">
      <c r="A146" s="2341"/>
      <c r="B146" s="2341"/>
      <c r="C146" s="64" t="str">
        <f>F!C251</f>
        <v>2-5%</v>
      </c>
      <c r="D146" s="1635">
        <f>F!D251</f>
        <v>0</v>
      </c>
      <c r="E146" s="370">
        <v>1</v>
      </c>
      <c r="F146" s="370">
        <f>D146*E146</f>
        <v>0</v>
      </c>
      <c r="G146" s="579"/>
      <c r="H146" s="2146"/>
      <c r="I146" s="2213"/>
    </row>
    <row r="147" spans="1:12" ht="21" customHeight="1">
      <c r="A147" s="2341"/>
      <c r="B147" s="2341"/>
      <c r="C147" s="1632" t="str">
        <f>F!C252</f>
        <v>5-30%</v>
      </c>
      <c r="D147" s="1634">
        <f>F!D252</f>
        <v>0</v>
      </c>
      <c r="E147" s="370">
        <v>4</v>
      </c>
      <c r="F147" s="370">
        <f>D147*E147</f>
        <v>0</v>
      </c>
      <c r="G147" s="579"/>
      <c r="H147" s="2146"/>
      <c r="I147" s="2213"/>
    </row>
    <row r="148" spans="1:12" ht="21" customHeight="1" thickBot="1">
      <c r="A148" s="2341"/>
      <c r="B148" s="2341"/>
      <c r="C148" s="1631" t="str">
        <f>F!C253</f>
        <v>&gt;30%</v>
      </c>
      <c r="D148" s="274">
        <f>F!D253</f>
        <v>0</v>
      </c>
      <c r="E148" s="581">
        <v>6</v>
      </c>
      <c r="F148" s="372">
        <f>D148*E148</f>
        <v>0</v>
      </c>
      <c r="G148" s="585"/>
      <c r="H148" s="2146"/>
      <c r="I148" s="2377"/>
    </row>
    <row r="149" spans="1:12" ht="45" customHeight="1" thickBot="1">
      <c r="A149" s="560" t="str">
        <f>S!A107</f>
        <v>S8</v>
      </c>
      <c r="B149" s="145" t="str">
        <f>S!B107</f>
        <v>Excessive Sediment Loading from Contributing Area</v>
      </c>
      <c r="C149" s="429" t="str">
        <f>S!E124</f>
        <v>Final Score=</v>
      </c>
      <c r="D149" s="598">
        <f>S!F124</f>
        <v>0</v>
      </c>
      <c r="E149" s="590"/>
      <c r="F149" s="597"/>
      <c r="G149" s="575">
        <f>IF((NoCA=1),"", D149)</f>
        <v>0</v>
      </c>
      <c r="H149" s="81" t="s">
        <v>1674</v>
      </c>
      <c r="I149" s="123" t="s">
        <v>474</v>
      </c>
    </row>
    <row r="150" spans="1:12" s="66" customFormat="1" ht="21" customHeight="1" thickBot="1">
      <c r="A150" s="2467"/>
      <c r="B150" s="2467"/>
      <c r="C150" s="2467"/>
      <c r="D150" s="2467"/>
      <c r="E150" s="2467"/>
      <c r="F150" s="2467"/>
      <c r="G150" s="2467"/>
      <c r="H150" s="2467"/>
      <c r="I150" s="1243"/>
      <c r="J150" s="141"/>
    </row>
    <row r="151" spans="1:12" s="66" customFormat="1" ht="21" customHeight="1">
      <c r="A151" s="2463"/>
      <c r="B151" s="2463"/>
      <c r="C151" s="2463"/>
      <c r="D151" s="2456" t="s">
        <v>1296</v>
      </c>
      <c r="E151" s="2457"/>
      <c r="F151" s="2457"/>
      <c r="G151" s="1905">
        <f>IF((AllSat1 + AllSat1&gt;0),"", AVERAGE(Fluc2,SeasPct2))</f>
        <v>0</v>
      </c>
      <c r="H151" s="1897" t="s">
        <v>2694</v>
      </c>
      <c r="I151" s="1898" t="s">
        <v>2717</v>
      </c>
      <c r="J151" s="141"/>
    </row>
    <row r="152" spans="1:12" s="66" customFormat="1" ht="21" customHeight="1">
      <c r="A152" s="2463"/>
      <c r="B152" s="2463"/>
      <c r="C152" s="2463"/>
      <c r="D152" s="2458" t="s">
        <v>433</v>
      </c>
      <c r="E152" s="2459"/>
      <c r="F152" s="2459"/>
      <c r="G152" s="1904">
        <f>IF((AllSat1=1),"",AVERAGE(OutDur2,FlowDist2,DepthC2,Ponding2,Constric2,WatEdgeSlope2))</f>
        <v>0</v>
      </c>
      <c r="H152" s="1858" t="s">
        <v>2695</v>
      </c>
      <c r="I152" s="1899" t="s">
        <v>433</v>
      </c>
      <c r="J152" s="141"/>
    </row>
    <row r="153" spans="1:12" s="66" customFormat="1" ht="21" customHeight="1">
      <c r="A153" s="2463"/>
      <c r="B153" s="2463"/>
      <c r="C153" s="2463"/>
      <c r="D153" s="2458" t="s">
        <v>1305</v>
      </c>
      <c r="E153" s="2459"/>
      <c r="F153" s="2459"/>
      <c r="G153" s="1904">
        <f>AVERAGE(Gradient2,WetPctCA2,AVERAGE(Girreg2, Gcover2,SoilDisturb3))</f>
        <v>0</v>
      </c>
      <c r="H153" s="1858" t="s">
        <v>2696</v>
      </c>
      <c r="I153" s="1899" t="s">
        <v>2718</v>
      </c>
      <c r="J153" s="141"/>
    </row>
    <row r="154" spans="1:12" s="66" customFormat="1" ht="30" customHeight="1">
      <c r="A154" s="2463"/>
      <c r="B154" s="2463"/>
      <c r="C154" s="2463"/>
      <c r="D154" s="2458" t="s">
        <v>1306</v>
      </c>
      <c r="E154" s="2459"/>
      <c r="F154" s="2459"/>
      <c r="G154" s="1904">
        <f>IF((AllSat1=1),"", IF((NoPonded=1),"", AVERAGE(WidthAbs2,AVERAGE(ThruFlo2,Interspers2,AqPlantCov2))))</f>
        <v>0</v>
      </c>
      <c r="H154" s="1858" t="s">
        <v>2697</v>
      </c>
      <c r="I154" s="1899" t="s">
        <v>2719</v>
      </c>
      <c r="J154" s="141"/>
    </row>
    <row r="155" spans="1:12" s="66" customFormat="1" ht="21" customHeight="1" thickBot="1">
      <c r="A155" s="2463"/>
      <c r="B155" s="2463"/>
      <c r="C155" s="2463"/>
      <c r="D155" s="2465" t="s">
        <v>434</v>
      </c>
      <c r="E155" s="2466"/>
      <c r="F155" s="2466"/>
      <c r="G155" s="1697">
        <f>_GDD2</f>
        <v>0</v>
      </c>
      <c r="H155" s="1900" t="s">
        <v>2818</v>
      </c>
      <c r="I155" s="1901" t="s">
        <v>2720</v>
      </c>
      <c r="J155" s="141"/>
    </row>
    <row r="156" spans="1:12" s="66" customFormat="1" ht="21" customHeight="1" thickBot="1">
      <c r="A156" s="2463"/>
      <c r="B156" s="2463"/>
      <c r="C156" s="2463"/>
      <c r="D156" s="2463"/>
      <c r="E156" s="2463"/>
      <c r="F156" s="2463"/>
      <c r="G156" s="2463"/>
      <c r="H156" s="2463"/>
      <c r="I156" s="553"/>
      <c r="J156" s="141"/>
    </row>
    <row r="157" spans="1:12" ht="30" customHeight="1" thickBot="1">
      <c r="A157" s="2463"/>
      <c r="B157" s="2464"/>
      <c r="C157" s="2331" t="s">
        <v>149</v>
      </c>
      <c r="D157" s="2332"/>
      <c r="E157" s="2333"/>
      <c r="F157" s="1591" t="s">
        <v>75</v>
      </c>
      <c r="G157" s="1698">
        <f>10*(IF((AllSat1=1), DryIntercept, IF((NoOutlet2=1),1, (2*AVERAGE(Entrain, LiveStore2) + AVERAGE(DryIntercept, WetIntercept))/3)))</f>
        <v>0</v>
      </c>
      <c r="H157" s="2363" t="s">
        <v>2698</v>
      </c>
      <c r="I157" s="2364"/>
    </row>
    <row r="158" spans="1:12" s="63" customFormat="1" ht="30" customHeight="1" thickBot="1">
      <c r="A158" s="2463"/>
      <c r="B158" s="2464"/>
      <c r="C158" s="2331" t="s">
        <v>2406</v>
      </c>
      <c r="D158" s="2332"/>
      <c r="E158" s="2333"/>
      <c r="F158" s="1949" t="s">
        <v>2888</v>
      </c>
      <c r="G158" s="1699">
        <f>10*(MAX(ToxData2, ToxUp2, AVERAGE(Inflo2,SatPct2v,AVERAGE(ImpervPctSS,ErodibleSS,SedIn2,CAnatPct2, BuffSlope2,CApct2,TransportSS,MaxFluc2,ToxData2))))</f>
        <v>10</v>
      </c>
      <c r="H158" s="2363" t="s">
        <v>2699</v>
      </c>
      <c r="I158" s="2364"/>
      <c r="J158" s="140"/>
    </row>
    <row r="159" spans="1:12" ht="21" customHeight="1" thickBot="1">
      <c r="A159" s="64"/>
      <c r="B159" s="64"/>
      <c r="C159" s="64"/>
      <c r="D159" s="64"/>
      <c r="E159" s="64"/>
      <c r="F159" s="64"/>
      <c r="G159" s="64"/>
      <c r="H159" s="64"/>
    </row>
    <row r="160" spans="1:12" s="63" customFormat="1" ht="21" customHeight="1" thickBot="1">
      <c r="A160" s="64"/>
      <c r="B160" s="64"/>
      <c r="C160" s="64"/>
      <c r="D160" s="64"/>
      <c r="E160" s="64"/>
      <c r="F160" s="64"/>
      <c r="G160" s="64"/>
      <c r="H160" s="2468" t="s">
        <v>806</v>
      </c>
      <c r="I160" s="2469"/>
      <c r="J160" s="140"/>
    </row>
    <row r="161" spans="1:10" s="63" customFormat="1" ht="42" customHeight="1">
      <c r="A161" s="64"/>
      <c r="B161" s="64"/>
      <c r="C161" s="64"/>
      <c r="D161" s="64"/>
      <c r="E161" s="64"/>
      <c r="F161" s="64"/>
      <c r="G161" s="64"/>
      <c r="H161" s="2181" t="s">
        <v>824</v>
      </c>
      <c r="I161" s="2383"/>
      <c r="J161" s="140"/>
    </row>
    <row r="162" spans="1:10" s="63" customFormat="1" ht="27" customHeight="1">
      <c r="A162" s="64"/>
      <c r="B162" s="64"/>
      <c r="C162" s="64"/>
      <c r="D162" s="64"/>
      <c r="E162" s="64"/>
      <c r="F162" s="64"/>
      <c r="G162" s="64"/>
      <c r="H162" s="2367" t="s">
        <v>825</v>
      </c>
      <c r="I162" s="2368"/>
      <c r="J162" s="140"/>
    </row>
    <row r="163" spans="1:10" s="63" customFormat="1" ht="27" customHeight="1">
      <c r="A163" s="64"/>
      <c r="B163" s="64"/>
      <c r="C163" s="64"/>
      <c r="D163" s="64"/>
      <c r="E163" s="64"/>
      <c r="F163" s="64"/>
      <c r="G163" s="64"/>
      <c r="H163" s="2367" t="s">
        <v>826</v>
      </c>
      <c r="I163" s="2368"/>
      <c r="J163" s="140"/>
    </row>
    <row r="164" spans="1:10" s="63" customFormat="1" ht="27" customHeight="1">
      <c r="A164" s="64"/>
      <c r="B164" s="64"/>
      <c r="C164" s="64"/>
      <c r="D164" s="64"/>
      <c r="E164" s="64"/>
      <c r="F164" s="64"/>
      <c r="G164" s="64"/>
      <c r="H164" s="2367" t="s">
        <v>827</v>
      </c>
      <c r="I164" s="2368"/>
      <c r="J164" s="140"/>
    </row>
    <row r="165" spans="1:10" s="63" customFormat="1" ht="27" customHeight="1">
      <c r="A165" s="64"/>
      <c r="B165" s="64"/>
      <c r="C165" s="64"/>
      <c r="D165" s="64"/>
      <c r="E165" s="64"/>
      <c r="F165" s="64"/>
      <c r="G165" s="64"/>
      <c r="H165" s="2367" t="s">
        <v>828</v>
      </c>
      <c r="I165" s="2368"/>
      <c r="J165" s="140"/>
    </row>
    <row r="166" spans="1:10" s="63" customFormat="1" ht="27" customHeight="1">
      <c r="A166" s="64"/>
      <c r="B166" s="64"/>
      <c r="C166" s="64"/>
      <c r="D166" s="64"/>
      <c r="E166" s="64"/>
      <c r="F166" s="64"/>
      <c r="G166" s="64"/>
      <c r="H166" s="2367" t="s">
        <v>829</v>
      </c>
      <c r="I166" s="2368"/>
      <c r="J166" s="140"/>
    </row>
    <row r="167" spans="1:10" s="63" customFormat="1" ht="27" customHeight="1">
      <c r="A167" s="64"/>
      <c r="B167" s="64"/>
      <c r="C167" s="64"/>
      <c r="D167" s="64"/>
      <c r="E167" s="64"/>
      <c r="F167" s="64"/>
      <c r="G167" s="64"/>
      <c r="H167" s="2367" t="s">
        <v>830</v>
      </c>
      <c r="I167" s="2368"/>
      <c r="J167" s="140"/>
    </row>
    <row r="168" spans="1:10" s="63" customFormat="1" ht="27" customHeight="1">
      <c r="A168" s="64"/>
      <c r="B168" s="64"/>
      <c r="C168" s="64"/>
      <c r="D168" s="64"/>
      <c r="E168" s="64"/>
      <c r="F168" s="64"/>
      <c r="G168" s="64"/>
      <c r="H168" s="2367" t="s">
        <v>831</v>
      </c>
      <c r="I168" s="2368"/>
      <c r="J168" s="140"/>
    </row>
    <row r="169" spans="1:10" s="63" customFormat="1" ht="27" customHeight="1">
      <c r="A169" s="64"/>
      <c r="B169" s="64"/>
      <c r="C169" s="64"/>
      <c r="D169" s="64"/>
      <c r="E169" s="64"/>
      <c r="F169" s="64"/>
      <c r="G169" s="64"/>
      <c r="H169" s="2367" t="s">
        <v>832</v>
      </c>
      <c r="I169" s="2368"/>
      <c r="J169" s="140"/>
    </row>
    <row r="170" spans="1:10" s="63" customFormat="1" ht="27" customHeight="1">
      <c r="A170" s="64"/>
      <c r="B170" s="64"/>
      <c r="C170" s="64"/>
      <c r="D170" s="64"/>
      <c r="E170" s="64"/>
      <c r="F170" s="64"/>
      <c r="G170" s="64"/>
      <c r="H170" s="2367" t="s">
        <v>833</v>
      </c>
      <c r="I170" s="2368"/>
      <c r="J170" s="140"/>
    </row>
    <row r="171" spans="1:10" s="63" customFormat="1" ht="27" customHeight="1">
      <c r="A171" s="64"/>
      <c r="B171" s="64"/>
      <c r="C171" s="64"/>
      <c r="D171" s="64"/>
      <c r="E171" s="64"/>
      <c r="F171" s="64"/>
      <c r="G171" s="64"/>
      <c r="H171" s="2367" t="s">
        <v>834</v>
      </c>
      <c r="I171" s="2368"/>
      <c r="J171" s="140"/>
    </row>
    <row r="172" spans="1:10" s="63" customFormat="1" ht="27" customHeight="1">
      <c r="A172" s="64"/>
      <c r="B172" s="64"/>
      <c r="C172" s="64"/>
      <c r="D172" s="64"/>
      <c r="E172" s="64"/>
      <c r="F172" s="64"/>
      <c r="G172" s="64"/>
      <c r="H172" s="2367" t="s">
        <v>835</v>
      </c>
      <c r="I172" s="2368"/>
      <c r="J172" s="140"/>
    </row>
    <row r="173" spans="1:10" s="63" customFormat="1" ht="27" customHeight="1">
      <c r="A173" s="64"/>
      <c r="B173" s="64"/>
      <c r="C173" s="64"/>
      <c r="D173" s="64"/>
      <c r="E173" s="64"/>
      <c r="F173" s="64"/>
      <c r="G173" s="64"/>
      <c r="H173" s="2367" t="s">
        <v>836</v>
      </c>
      <c r="I173" s="2368"/>
      <c r="J173" s="140"/>
    </row>
    <row r="174" spans="1:10" s="63" customFormat="1" ht="27" customHeight="1">
      <c r="A174" s="64"/>
      <c r="B174" s="64"/>
      <c r="C174" s="64"/>
      <c r="D174" s="64"/>
      <c r="E174" s="64"/>
      <c r="F174" s="64"/>
      <c r="G174" s="64"/>
      <c r="H174" s="2371" t="s">
        <v>1675</v>
      </c>
      <c r="I174" s="2372"/>
      <c r="J174" s="140"/>
    </row>
    <row r="175" spans="1:10" s="63" customFormat="1" ht="27" customHeight="1">
      <c r="A175" s="64"/>
      <c r="B175" s="64"/>
      <c r="C175" s="64"/>
      <c r="D175" s="64"/>
      <c r="E175" s="64"/>
      <c r="F175" s="64"/>
      <c r="G175" s="64"/>
      <c r="H175" s="2367" t="s">
        <v>837</v>
      </c>
      <c r="I175" s="2368"/>
      <c r="J175" s="140"/>
    </row>
    <row r="176" spans="1:10" s="63" customFormat="1" ht="27" customHeight="1">
      <c r="A176" s="64"/>
      <c r="B176" s="64"/>
      <c r="C176" s="64"/>
      <c r="D176" s="64"/>
      <c r="E176" s="64"/>
      <c r="F176" s="64"/>
      <c r="G176" s="64"/>
      <c r="H176" s="2367" t="s">
        <v>838</v>
      </c>
      <c r="I176" s="2368"/>
      <c r="J176" s="140"/>
    </row>
    <row r="177" spans="1:10" s="63" customFormat="1" ht="27" customHeight="1">
      <c r="A177" s="64"/>
      <c r="B177" s="64"/>
      <c r="C177" s="64"/>
      <c r="D177" s="64"/>
      <c r="E177" s="64"/>
      <c r="F177" s="64"/>
      <c r="G177" s="64"/>
      <c r="H177" s="2367" t="s">
        <v>839</v>
      </c>
      <c r="I177" s="2368"/>
      <c r="J177" s="140"/>
    </row>
    <row r="178" spans="1:10" s="63" customFormat="1" ht="27" customHeight="1">
      <c r="A178" s="64"/>
      <c r="B178" s="64"/>
      <c r="C178" s="64"/>
      <c r="D178" s="64"/>
      <c r="E178" s="64"/>
      <c r="F178" s="64"/>
      <c r="G178" s="64"/>
      <c r="H178" s="2367" t="s">
        <v>925</v>
      </c>
      <c r="I178" s="2368"/>
      <c r="J178" s="140"/>
    </row>
    <row r="179" spans="1:10" s="63" customFormat="1" ht="27" customHeight="1">
      <c r="A179" s="64"/>
      <c r="B179" s="64"/>
      <c r="C179" s="64"/>
      <c r="D179" s="64"/>
      <c r="E179" s="64"/>
      <c r="F179" s="64"/>
      <c r="G179" s="64"/>
      <c r="H179" s="2367" t="s">
        <v>840</v>
      </c>
      <c r="I179" s="2368"/>
      <c r="J179" s="140"/>
    </row>
    <row r="180" spans="1:10" s="63" customFormat="1" ht="27" customHeight="1">
      <c r="A180" s="64"/>
      <c r="B180" s="64"/>
      <c r="C180" s="64"/>
      <c r="D180" s="64"/>
      <c r="E180" s="64"/>
      <c r="F180" s="64"/>
      <c r="G180" s="64"/>
      <c r="H180" s="2367" t="s">
        <v>841</v>
      </c>
      <c r="I180" s="2368"/>
      <c r="J180" s="140"/>
    </row>
    <row r="181" spans="1:10" s="63" customFormat="1" ht="27" customHeight="1" thickBot="1">
      <c r="A181" s="64"/>
      <c r="B181" s="64"/>
      <c r="C181" s="64"/>
      <c r="D181" s="64"/>
      <c r="E181" s="64"/>
      <c r="F181" s="64"/>
      <c r="G181" s="64"/>
      <c r="H181" s="2369" t="s">
        <v>842</v>
      </c>
      <c r="I181" s="2370"/>
      <c r="J181" s="140"/>
    </row>
    <row r="182" spans="1:10" s="63" customFormat="1" ht="27" customHeight="1">
      <c r="A182" s="64"/>
      <c r="B182" s="64"/>
      <c r="C182" s="64"/>
      <c r="D182" s="64"/>
      <c r="E182" s="64"/>
      <c r="F182" s="64"/>
      <c r="G182" s="64"/>
      <c r="H182" s="24"/>
      <c r="I182" s="4"/>
      <c r="J182" s="140"/>
    </row>
    <row r="183" spans="1:10" s="63" customFormat="1" ht="42" customHeight="1">
      <c r="A183" s="64"/>
      <c r="B183" s="64"/>
      <c r="C183" s="64"/>
      <c r="D183" s="64"/>
      <c r="E183" s="64"/>
      <c r="F183" s="64"/>
      <c r="G183" s="64"/>
      <c r="H183" s="1421"/>
      <c r="I183" s="4"/>
      <c r="J183" s="140"/>
    </row>
    <row r="184" spans="1:10" s="63" customFormat="1" ht="27" customHeight="1">
      <c r="A184" s="64"/>
      <c r="B184" s="64"/>
      <c r="C184" s="64"/>
      <c r="D184" s="64"/>
      <c r="E184" s="64"/>
      <c r="F184" s="64"/>
      <c r="G184" s="64"/>
      <c r="H184" s="1421"/>
      <c r="I184" s="4"/>
      <c r="J184" s="140"/>
    </row>
    <row r="185" spans="1:10" s="63" customFormat="1">
      <c r="A185" s="64"/>
      <c r="B185" s="64"/>
      <c r="C185" s="64"/>
      <c r="D185" s="64"/>
      <c r="E185" s="64"/>
      <c r="F185" s="64"/>
      <c r="G185" s="64"/>
      <c r="H185" s="1421"/>
      <c r="I185" s="4"/>
      <c r="J185" s="140"/>
    </row>
    <row r="186" spans="1:10">
      <c r="H186" s="1421"/>
    </row>
    <row r="187" spans="1:10" s="63" customFormat="1">
      <c r="A187" s="65"/>
      <c r="B187" s="64"/>
      <c r="C187" s="64"/>
      <c r="D187" s="173"/>
      <c r="E187" s="173"/>
      <c r="F187" s="173"/>
      <c r="G187" s="175"/>
      <c r="H187" s="1421"/>
      <c r="I187" s="4"/>
      <c r="J187" s="140"/>
    </row>
    <row r="188" spans="1:10" s="63" customFormat="1">
      <c r="A188" s="65"/>
      <c r="B188" s="64"/>
      <c r="C188" s="64"/>
      <c r="D188" s="173"/>
      <c r="E188" s="173"/>
      <c r="F188" s="173"/>
      <c r="G188" s="175"/>
      <c r="H188" s="1421"/>
      <c r="I188" s="4"/>
      <c r="J188" s="140"/>
    </row>
    <row r="189" spans="1:10" s="63" customFormat="1">
      <c r="A189" s="65"/>
      <c r="B189" s="64"/>
      <c r="C189" s="64"/>
      <c r="D189" s="173"/>
      <c r="E189" s="173"/>
      <c r="F189" s="173"/>
      <c r="G189" s="175"/>
      <c r="H189" s="1421"/>
      <c r="I189" s="4"/>
      <c r="J189" s="140"/>
    </row>
    <row r="190" spans="1:10" s="63" customFormat="1">
      <c r="A190" s="65"/>
      <c r="B190" s="64"/>
      <c r="C190" s="64"/>
      <c r="D190" s="173"/>
      <c r="E190" s="173"/>
      <c r="F190" s="173"/>
      <c r="G190" s="175"/>
      <c r="H190" s="1421"/>
      <c r="I190" s="4"/>
      <c r="J190" s="140"/>
    </row>
    <row r="191" spans="1:10" s="63" customFormat="1">
      <c r="A191" s="65"/>
      <c r="B191" s="64"/>
      <c r="C191" s="64"/>
      <c r="D191" s="173"/>
      <c r="E191" s="173"/>
      <c r="F191" s="173"/>
      <c r="G191" s="175"/>
      <c r="H191" s="1421"/>
      <c r="I191" s="4"/>
      <c r="J191" s="140"/>
    </row>
    <row r="192" spans="1:10" s="63" customFormat="1">
      <c r="A192" s="65"/>
      <c r="B192" s="64"/>
      <c r="C192" s="64"/>
      <c r="D192" s="173"/>
      <c r="E192" s="173"/>
      <c r="F192" s="173"/>
      <c r="G192" s="175"/>
      <c r="H192" s="1421"/>
      <c r="I192" s="4"/>
      <c r="J192" s="140"/>
    </row>
    <row r="193" spans="1:10" s="63" customFormat="1">
      <c r="A193" s="65"/>
      <c r="B193" s="64"/>
      <c r="C193" s="64"/>
      <c r="D193" s="173"/>
      <c r="E193" s="173"/>
      <c r="F193" s="173"/>
      <c r="G193" s="175"/>
      <c r="H193" s="1421"/>
      <c r="I193" s="4"/>
      <c r="J193" s="140"/>
    </row>
    <row r="194" spans="1:10" s="63" customFormat="1">
      <c r="A194" s="65"/>
      <c r="B194" s="64"/>
      <c r="C194" s="64"/>
      <c r="D194" s="173"/>
      <c r="E194" s="173"/>
      <c r="F194" s="173"/>
      <c r="G194" s="175"/>
      <c r="H194" s="1421"/>
      <c r="I194" s="4"/>
      <c r="J194" s="140"/>
    </row>
    <row r="195" spans="1:10" s="63" customFormat="1">
      <c r="A195" s="65"/>
      <c r="B195" s="64"/>
      <c r="C195" s="64"/>
      <c r="D195" s="173"/>
      <c r="E195" s="173"/>
      <c r="F195" s="173"/>
      <c r="G195" s="175"/>
      <c r="H195" s="1421"/>
      <c r="I195" s="4"/>
      <c r="J195" s="140"/>
    </row>
    <row r="196" spans="1:10" s="63" customFormat="1">
      <c r="A196" s="65"/>
      <c r="B196" s="64"/>
      <c r="C196" s="64"/>
      <c r="D196" s="173"/>
      <c r="E196" s="173"/>
      <c r="F196" s="173"/>
      <c r="G196" s="175"/>
      <c r="H196" s="1421"/>
      <c r="I196" s="4"/>
      <c r="J196" s="140"/>
    </row>
    <row r="197" spans="1:10" s="63" customFormat="1">
      <c r="A197" s="65"/>
      <c r="B197" s="64"/>
      <c r="C197" s="64"/>
      <c r="D197" s="173"/>
      <c r="E197" s="173"/>
      <c r="F197" s="173"/>
      <c r="G197" s="175"/>
      <c r="H197" s="1421"/>
      <c r="I197" s="4"/>
      <c r="J197" s="140"/>
    </row>
    <row r="198" spans="1:10" s="63" customFormat="1">
      <c r="A198" s="65"/>
      <c r="B198" s="64"/>
      <c r="C198" s="64"/>
      <c r="D198" s="173"/>
      <c r="E198" s="173"/>
      <c r="F198" s="173"/>
      <c r="G198" s="175"/>
      <c r="H198" s="1421"/>
      <c r="I198" s="4"/>
      <c r="J198" s="140"/>
    </row>
    <row r="199" spans="1:10" s="63" customFormat="1">
      <c r="A199" s="65"/>
      <c r="B199" s="64"/>
      <c r="C199" s="64"/>
      <c r="D199" s="173"/>
      <c r="E199" s="173"/>
      <c r="F199" s="173"/>
      <c r="G199" s="175"/>
      <c r="H199" s="1421"/>
      <c r="I199" s="4"/>
      <c r="J199" s="140"/>
    </row>
    <row r="200" spans="1:10" s="63" customFormat="1">
      <c r="A200" s="65"/>
      <c r="B200" s="64"/>
      <c r="C200" s="64"/>
      <c r="D200" s="173"/>
      <c r="E200" s="173"/>
      <c r="F200" s="173"/>
      <c r="G200" s="175"/>
      <c r="H200" s="1421"/>
      <c r="I200" s="4"/>
      <c r="J200" s="140"/>
    </row>
    <row r="201" spans="1:10" s="63" customFormat="1">
      <c r="A201" s="65"/>
      <c r="B201" s="64"/>
      <c r="C201" s="64"/>
      <c r="D201" s="173"/>
      <c r="E201" s="173"/>
      <c r="F201" s="173"/>
      <c r="G201" s="175"/>
      <c r="H201" s="1421"/>
      <c r="I201" s="4"/>
      <c r="J201" s="140"/>
    </row>
    <row r="202" spans="1:10" s="63" customFormat="1">
      <c r="A202" s="65"/>
      <c r="B202" s="64"/>
      <c r="C202" s="64"/>
      <c r="D202" s="173"/>
      <c r="E202" s="173"/>
      <c r="F202" s="173"/>
      <c r="G202" s="175"/>
      <c r="H202" s="1421"/>
      <c r="I202" s="4"/>
      <c r="J202" s="140"/>
    </row>
    <row r="203" spans="1:10" s="63" customFormat="1">
      <c r="A203" s="65"/>
      <c r="B203" s="64"/>
      <c r="C203" s="64"/>
      <c r="D203" s="173"/>
      <c r="E203" s="173"/>
      <c r="F203" s="173"/>
      <c r="G203" s="175"/>
      <c r="H203" s="1421"/>
      <c r="I203" s="4"/>
      <c r="J203" s="140"/>
    </row>
    <row r="204" spans="1:10" s="63" customFormat="1">
      <c r="A204" s="65"/>
      <c r="B204" s="64"/>
      <c r="C204" s="64"/>
      <c r="D204" s="173"/>
      <c r="E204" s="173"/>
      <c r="F204" s="173"/>
      <c r="G204" s="175"/>
      <c r="H204" s="1421"/>
      <c r="I204" s="4"/>
      <c r="J204" s="140"/>
    </row>
    <row r="205" spans="1:10" s="63" customFormat="1">
      <c r="A205" s="65"/>
      <c r="B205" s="64"/>
      <c r="C205" s="64"/>
      <c r="D205" s="173"/>
      <c r="E205" s="173"/>
      <c r="F205" s="173"/>
      <c r="G205" s="175"/>
      <c r="H205" s="1421"/>
      <c r="I205" s="4"/>
      <c r="J205" s="140"/>
    </row>
    <row r="206" spans="1:10" s="63" customFormat="1">
      <c r="A206" s="65"/>
      <c r="B206" s="64"/>
      <c r="C206" s="64"/>
      <c r="D206" s="173"/>
      <c r="E206" s="173"/>
      <c r="F206" s="173"/>
      <c r="G206" s="175"/>
      <c r="H206" s="1421"/>
      <c r="I206" s="4"/>
      <c r="J206" s="140"/>
    </row>
    <row r="207" spans="1:10" s="63" customFormat="1">
      <c r="A207" s="65"/>
      <c r="B207" s="64"/>
      <c r="C207" s="64"/>
      <c r="D207" s="173"/>
      <c r="E207" s="173"/>
      <c r="F207" s="173"/>
      <c r="G207" s="175"/>
      <c r="H207" s="1421"/>
      <c r="I207" s="4"/>
      <c r="J207" s="140"/>
    </row>
    <row r="208" spans="1:10" s="63" customFormat="1">
      <c r="A208" s="65"/>
      <c r="B208" s="64"/>
      <c r="C208" s="64"/>
      <c r="D208" s="173"/>
      <c r="E208" s="173"/>
      <c r="F208" s="173"/>
      <c r="G208" s="175"/>
      <c r="H208" s="1421"/>
      <c r="I208" s="4"/>
      <c r="J208" s="140"/>
    </row>
    <row r="209" spans="1:10" s="63" customFormat="1">
      <c r="A209" s="65"/>
      <c r="B209" s="64"/>
      <c r="C209" s="64"/>
      <c r="D209" s="173"/>
      <c r="E209" s="173"/>
      <c r="F209" s="173"/>
      <c r="G209" s="175"/>
      <c r="H209" s="1421"/>
      <c r="I209" s="4"/>
      <c r="J209" s="140"/>
    </row>
    <row r="210" spans="1:10" s="63" customFormat="1">
      <c r="A210" s="65"/>
      <c r="B210" s="64"/>
      <c r="C210" s="64"/>
      <c r="D210" s="173"/>
      <c r="E210" s="173"/>
      <c r="F210" s="173"/>
      <c r="G210" s="175"/>
      <c r="H210" s="1421"/>
      <c r="I210" s="4"/>
      <c r="J210" s="140"/>
    </row>
    <row r="211" spans="1:10" s="63" customFormat="1">
      <c r="A211" s="65"/>
      <c r="B211" s="64"/>
      <c r="C211" s="64"/>
      <c r="D211" s="173"/>
      <c r="E211" s="173"/>
      <c r="F211" s="173"/>
      <c r="G211" s="175"/>
      <c r="H211" s="1421"/>
      <c r="I211" s="4"/>
      <c r="J211" s="140"/>
    </row>
    <row r="212" spans="1:10" s="63" customFormat="1">
      <c r="A212" s="65"/>
      <c r="B212" s="64"/>
      <c r="C212" s="64"/>
      <c r="D212" s="173"/>
      <c r="E212" s="173"/>
      <c r="F212" s="173"/>
      <c r="G212" s="175"/>
      <c r="H212" s="1421"/>
      <c r="I212" s="4"/>
      <c r="J212" s="140"/>
    </row>
    <row r="213" spans="1:10" s="63" customFormat="1">
      <c r="A213" s="65"/>
      <c r="B213" s="64"/>
      <c r="C213" s="64"/>
      <c r="D213" s="173"/>
      <c r="E213" s="173"/>
      <c r="F213" s="173"/>
      <c r="G213" s="175"/>
      <c r="H213" s="1421"/>
      <c r="I213" s="4"/>
      <c r="J213" s="140"/>
    </row>
    <row r="214" spans="1:10" s="63" customFormat="1">
      <c r="A214" s="65"/>
      <c r="B214" s="64"/>
      <c r="C214" s="64"/>
      <c r="D214" s="173"/>
      <c r="E214" s="173"/>
      <c r="F214" s="173"/>
      <c r="G214" s="175"/>
      <c r="H214" s="1421"/>
      <c r="I214" s="4"/>
      <c r="J214" s="140"/>
    </row>
    <row r="215" spans="1:10" s="63" customFormat="1">
      <c r="A215" s="65"/>
      <c r="B215" s="64"/>
      <c r="C215" s="64"/>
      <c r="D215" s="173"/>
      <c r="E215" s="173"/>
      <c r="F215" s="173"/>
      <c r="G215" s="175"/>
      <c r="H215" s="1421"/>
      <c r="I215" s="4"/>
      <c r="J215" s="140"/>
    </row>
    <row r="216" spans="1:10" s="63" customFormat="1">
      <c r="A216" s="65"/>
      <c r="B216" s="64"/>
      <c r="C216" s="64"/>
      <c r="D216" s="173"/>
      <c r="E216" s="173"/>
      <c r="F216" s="173"/>
      <c r="G216" s="175"/>
      <c r="H216" s="1421"/>
      <c r="I216" s="4"/>
      <c r="J216" s="140"/>
    </row>
    <row r="217" spans="1:10" s="63" customFormat="1">
      <c r="A217" s="65"/>
      <c r="B217" s="64"/>
      <c r="C217" s="64"/>
      <c r="D217" s="173"/>
      <c r="E217" s="173"/>
      <c r="F217" s="173"/>
      <c r="G217" s="175"/>
      <c r="H217" s="1421"/>
      <c r="I217" s="4"/>
      <c r="J217" s="140"/>
    </row>
    <row r="218" spans="1:10" s="63" customFormat="1">
      <c r="A218" s="65"/>
      <c r="B218" s="64"/>
      <c r="C218" s="64"/>
      <c r="D218" s="173"/>
      <c r="E218" s="173"/>
      <c r="F218" s="173"/>
      <c r="G218" s="175"/>
      <c r="H218" s="1421"/>
      <c r="I218" s="4"/>
      <c r="J218" s="140"/>
    </row>
    <row r="219" spans="1:10" s="63" customFormat="1">
      <c r="A219" s="65"/>
      <c r="B219" s="64"/>
      <c r="C219" s="64"/>
      <c r="D219" s="173"/>
      <c r="E219" s="173"/>
      <c r="F219" s="173"/>
      <c r="G219" s="175"/>
      <c r="H219" s="1421"/>
      <c r="I219" s="4"/>
      <c r="J219" s="140"/>
    </row>
    <row r="220" spans="1:10" s="63" customFormat="1">
      <c r="A220" s="65"/>
      <c r="B220" s="64"/>
      <c r="C220" s="64"/>
      <c r="D220" s="173"/>
      <c r="E220" s="173"/>
      <c r="F220" s="173"/>
      <c r="G220" s="175"/>
      <c r="H220" s="1421"/>
      <c r="I220" s="4"/>
      <c r="J220" s="140"/>
    </row>
    <row r="221" spans="1:10" s="63" customFormat="1">
      <c r="A221" s="65"/>
      <c r="B221" s="64"/>
      <c r="C221" s="64"/>
      <c r="D221" s="173"/>
      <c r="E221" s="173"/>
      <c r="F221" s="173"/>
      <c r="G221" s="175"/>
      <c r="H221" s="1421"/>
      <c r="I221" s="4"/>
      <c r="J221" s="140"/>
    </row>
    <row r="222" spans="1:10" s="63" customFormat="1">
      <c r="A222" s="65"/>
      <c r="B222" s="64"/>
      <c r="C222" s="64"/>
      <c r="D222" s="173"/>
      <c r="E222" s="173"/>
      <c r="F222" s="173"/>
      <c r="G222" s="175"/>
      <c r="H222" s="1421"/>
      <c r="I222" s="4"/>
      <c r="J222" s="140"/>
    </row>
    <row r="223" spans="1:10" s="63" customFormat="1">
      <c r="A223" s="65"/>
      <c r="B223" s="64"/>
      <c r="C223" s="64"/>
      <c r="D223" s="173"/>
      <c r="E223" s="173"/>
      <c r="F223" s="173"/>
      <c r="G223" s="175"/>
      <c r="H223" s="1421"/>
      <c r="I223" s="4"/>
      <c r="J223" s="140"/>
    </row>
    <row r="224" spans="1:10" s="63" customFormat="1">
      <c r="A224" s="65"/>
      <c r="B224" s="64"/>
      <c r="C224" s="64"/>
      <c r="D224" s="173"/>
      <c r="E224" s="173"/>
      <c r="F224" s="173"/>
      <c r="G224" s="175"/>
      <c r="H224" s="1421"/>
      <c r="I224" s="4"/>
      <c r="J224" s="140"/>
    </row>
    <row r="225" spans="1:10" s="63" customFormat="1">
      <c r="A225" s="65"/>
      <c r="B225" s="64"/>
      <c r="C225" s="64"/>
      <c r="D225" s="173"/>
      <c r="E225" s="173"/>
      <c r="F225" s="173"/>
      <c r="G225" s="175"/>
      <c r="H225" s="1421"/>
      <c r="I225" s="4"/>
      <c r="J225" s="140"/>
    </row>
    <row r="226" spans="1:10" s="63" customFormat="1">
      <c r="A226" s="65"/>
      <c r="B226" s="64"/>
      <c r="C226" s="64"/>
      <c r="D226" s="173"/>
      <c r="E226" s="173"/>
      <c r="F226" s="173"/>
      <c r="G226" s="175"/>
      <c r="H226" s="1421"/>
      <c r="I226" s="4"/>
      <c r="J226" s="140"/>
    </row>
    <row r="227" spans="1:10" s="63" customFormat="1">
      <c r="A227" s="65"/>
      <c r="B227" s="64"/>
      <c r="C227" s="64"/>
      <c r="D227" s="173"/>
      <c r="E227" s="173"/>
      <c r="F227" s="173"/>
      <c r="G227" s="175"/>
      <c r="H227" s="1421"/>
      <c r="I227" s="4"/>
      <c r="J227" s="140"/>
    </row>
    <row r="228" spans="1:10" s="63" customFormat="1">
      <c r="A228" s="65"/>
      <c r="B228" s="64"/>
      <c r="C228" s="64"/>
      <c r="D228" s="173"/>
      <c r="E228" s="173"/>
      <c r="F228" s="173"/>
      <c r="G228" s="175"/>
      <c r="H228" s="1421"/>
      <c r="I228" s="4"/>
      <c r="J228" s="140"/>
    </row>
    <row r="229" spans="1:10" s="63" customFormat="1">
      <c r="A229" s="65"/>
      <c r="B229" s="64"/>
      <c r="C229" s="64"/>
      <c r="D229" s="173"/>
      <c r="E229" s="173"/>
      <c r="F229" s="173"/>
      <c r="G229" s="175"/>
      <c r="H229" s="1421"/>
      <c r="I229" s="4"/>
      <c r="J229" s="140"/>
    </row>
    <row r="230" spans="1:10" s="63" customFormat="1">
      <c r="A230" s="65"/>
      <c r="B230" s="64"/>
      <c r="C230" s="64"/>
      <c r="D230" s="173"/>
      <c r="E230" s="173"/>
      <c r="F230" s="173"/>
      <c r="G230" s="175"/>
      <c r="H230" s="1421"/>
      <c r="I230" s="4"/>
      <c r="J230" s="140"/>
    </row>
    <row r="231" spans="1:10" s="63" customFormat="1">
      <c r="A231" s="65"/>
      <c r="B231" s="64"/>
      <c r="C231" s="64"/>
      <c r="D231" s="173"/>
      <c r="E231" s="173"/>
      <c r="F231" s="173"/>
      <c r="G231" s="175"/>
      <c r="H231" s="1421"/>
      <c r="I231" s="4"/>
      <c r="J231" s="140"/>
    </row>
    <row r="232" spans="1:10" s="63" customFormat="1">
      <c r="A232" s="65"/>
      <c r="B232" s="64"/>
      <c r="C232" s="64"/>
      <c r="D232" s="173"/>
      <c r="E232" s="173"/>
      <c r="F232" s="173"/>
      <c r="G232" s="175"/>
      <c r="H232" s="1421"/>
      <c r="I232" s="4"/>
      <c r="J232" s="140"/>
    </row>
    <row r="233" spans="1:10" s="63" customFormat="1">
      <c r="A233" s="65"/>
      <c r="B233" s="64"/>
      <c r="C233" s="64"/>
      <c r="D233" s="173"/>
      <c r="E233" s="173"/>
      <c r="F233" s="173"/>
      <c r="G233" s="175"/>
      <c r="H233" s="1421"/>
      <c r="I233" s="4"/>
      <c r="J233" s="140"/>
    </row>
    <row r="234" spans="1:10" s="63" customFormat="1">
      <c r="A234" s="65"/>
      <c r="B234" s="64"/>
      <c r="C234" s="64"/>
      <c r="D234" s="173"/>
      <c r="E234" s="173"/>
      <c r="F234" s="173"/>
      <c r="G234" s="175"/>
      <c r="H234" s="1421"/>
      <c r="I234" s="4"/>
      <c r="J234" s="140"/>
    </row>
    <row r="235" spans="1:10" s="63" customFormat="1">
      <c r="A235" s="65"/>
      <c r="B235" s="64"/>
      <c r="C235" s="64"/>
      <c r="D235" s="173"/>
      <c r="E235" s="173"/>
      <c r="F235" s="173"/>
      <c r="G235" s="175"/>
      <c r="H235" s="1421"/>
      <c r="I235" s="4"/>
      <c r="J235" s="140"/>
    </row>
    <row r="236" spans="1:10" s="63" customFormat="1">
      <c r="A236" s="65"/>
      <c r="B236" s="64"/>
      <c r="C236" s="64"/>
      <c r="D236" s="173"/>
      <c r="E236" s="173"/>
      <c r="F236" s="173"/>
      <c r="G236" s="175"/>
      <c r="H236" s="1421"/>
      <c r="I236" s="4"/>
      <c r="J236" s="140"/>
    </row>
    <row r="237" spans="1:10" s="63" customFormat="1">
      <c r="A237" s="65"/>
      <c r="B237" s="64"/>
      <c r="C237" s="64"/>
      <c r="D237" s="173"/>
      <c r="E237" s="173"/>
      <c r="F237" s="173"/>
      <c r="G237" s="175"/>
      <c r="H237" s="1421"/>
      <c r="I237" s="4"/>
      <c r="J237" s="140"/>
    </row>
    <row r="238" spans="1:10" s="63" customFormat="1">
      <c r="A238" s="65"/>
      <c r="B238" s="64"/>
      <c r="C238" s="64"/>
      <c r="D238" s="173"/>
      <c r="E238" s="173"/>
      <c r="F238" s="173"/>
      <c r="G238" s="175"/>
      <c r="H238" s="1421"/>
      <c r="I238" s="4"/>
      <c r="J238" s="140"/>
    </row>
    <row r="239" spans="1:10" s="63" customFormat="1">
      <c r="A239" s="65"/>
      <c r="B239" s="64"/>
      <c r="C239" s="64"/>
      <c r="D239" s="173"/>
      <c r="E239" s="173"/>
      <c r="F239" s="173"/>
      <c r="G239" s="175"/>
      <c r="H239" s="1421"/>
      <c r="I239" s="4"/>
      <c r="J239" s="140"/>
    </row>
    <row r="240" spans="1:10" s="63" customFormat="1">
      <c r="A240" s="65"/>
      <c r="B240" s="64"/>
      <c r="C240" s="64"/>
      <c r="D240" s="173"/>
      <c r="E240" s="173"/>
      <c r="F240" s="173"/>
      <c r="G240" s="175"/>
      <c r="H240" s="1421"/>
      <c r="I240" s="4"/>
      <c r="J240" s="140"/>
    </row>
    <row r="241" spans="1:10" s="63" customFormat="1">
      <c r="A241" s="65"/>
      <c r="B241" s="64"/>
      <c r="C241" s="64"/>
      <c r="D241" s="173"/>
      <c r="E241" s="173"/>
      <c r="F241" s="173"/>
      <c r="G241" s="175"/>
      <c r="H241" s="1421"/>
      <c r="I241" s="4"/>
      <c r="J241" s="140"/>
    </row>
    <row r="242" spans="1:10" s="63" customFormat="1">
      <c r="A242" s="65"/>
      <c r="B242" s="64"/>
      <c r="C242" s="64"/>
      <c r="D242" s="173"/>
      <c r="E242" s="173"/>
      <c r="F242" s="173"/>
      <c r="G242" s="175"/>
      <c r="H242" s="1421"/>
      <c r="I242" s="4"/>
      <c r="J242" s="140"/>
    </row>
    <row r="243" spans="1:10" s="63" customFormat="1">
      <c r="A243" s="65"/>
      <c r="B243" s="64"/>
      <c r="C243" s="64"/>
      <c r="D243" s="173"/>
      <c r="E243" s="173"/>
      <c r="F243" s="173"/>
      <c r="G243" s="175"/>
      <c r="H243" s="1421"/>
      <c r="I243" s="4"/>
      <c r="J243" s="140"/>
    </row>
    <row r="244" spans="1:10" s="63" customFormat="1">
      <c r="A244" s="65"/>
      <c r="B244" s="64"/>
      <c r="C244" s="64"/>
      <c r="D244" s="173"/>
      <c r="E244" s="173"/>
      <c r="F244" s="173"/>
      <c r="G244" s="175"/>
      <c r="H244" s="1421"/>
      <c r="I244" s="4"/>
      <c r="J244" s="140"/>
    </row>
    <row r="245" spans="1:10" s="63" customFormat="1">
      <c r="A245" s="65"/>
      <c r="B245" s="64"/>
      <c r="C245" s="64"/>
      <c r="D245" s="173"/>
      <c r="E245" s="173"/>
      <c r="F245" s="173"/>
      <c r="G245" s="175"/>
      <c r="H245" s="1421"/>
      <c r="I245" s="4"/>
      <c r="J245" s="140"/>
    </row>
    <row r="246" spans="1:10" s="63" customFormat="1">
      <c r="A246" s="65"/>
      <c r="B246" s="64"/>
      <c r="C246" s="64"/>
      <c r="D246" s="173"/>
      <c r="E246" s="173"/>
      <c r="F246" s="173"/>
      <c r="G246" s="175"/>
      <c r="H246" s="1421"/>
      <c r="I246" s="4"/>
      <c r="J246" s="140"/>
    </row>
    <row r="247" spans="1:10" s="63" customFormat="1">
      <c r="A247" s="65"/>
      <c r="B247" s="64"/>
      <c r="C247" s="64"/>
      <c r="D247" s="173"/>
      <c r="E247" s="173"/>
      <c r="F247" s="173"/>
      <c r="G247" s="175"/>
      <c r="H247" s="1421"/>
      <c r="I247" s="4"/>
      <c r="J247" s="140"/>
    </row>
    <row r="248" spans="1:10" s="63" customFormat="1">
      <c r="A248" s="65"/>
      <c r="B248" s="64"/>
      <c r="C248" s="64"/>
      <c r="D248" s="173"/>
      <c r="E248" s="173"/>
      <c r="F248" s="173"/>
      <c r="G248" s="175"/>
      <c r="H248" s="1421"/>
      <c r="I248" s="4"/>
      <c r="J248" s="140"/>
    </row>
    <row r="249" spans="1:10" s="63" customFormat="1">
      <c r="A249" s="65"/>
      <c r="B249" s="64"/>
      <c r="C249" s="64"/>
      <c r="D249" s="173"/>
      <c r="E249" s="173"/>
      <c r="F249" s="173"/>
      <c r="G249" s="175"/>
      <c r="H249" s="1421"/>
      <c r="I249" s="4"/>
      <c r="J249" s="140"/>
    </row>
    <row r="250" spans="1:10" s="63" customFormat="1">
      <c r="A250" s="65"/>
      <c r="B250" s="64"/>
      <c r="C250" s="64"/>
      <c r="D250" s="173"/>
      <c r="E250" s="173"/>
      <c r="F250" s="173"/>
      <c r="G250" s="175"/>
      <c r="H250" s="1421"/>
      <c r="I250" s="4"/>
      <c r="J250" s="140"/>
    </row>
    <row r="251" spans="1:10" s="63" customFormat="1">
      <c r="A251" s="65"/>
      <c r="B251" s="64"/>
      <c r="C251" s="64"/>
      <c r="D251" s="173"/>
      <c r="E251" s="173"/>
      <c r="F251" s="173"/>
      <c r="G251" s="175"/>
      <c r="H251" s="1421"/>
      <c r="I251" s="4"/>
      <c r="J251" s="140"/>
    </row>
    <row r="252" spans="1:10" s="63" customFormat="1">
      <c r="A252" s="65"/>
      <c r="B252" s="64"/>
      <c r="C252" s="64"/>
      <c r="D252" s="173"/>
      <c r="E252" s="173"/>
      <c r="F252" s="173"/>
      <c r="G252" s="175"/>
      <c r="H252" s="1421"/>
      <c r="I252" s="4"/>
      <c r="J252" s="140"/>
    </row>
    <row r="253" spans="1:10" s="63" customFormat="1">
      <c r="A253" s="65"/>
      <c r="B253" s="64"/>
      <c r="C253" s="64"/>
      <c r="D253" s="173"/>
      <c r="E253" s="173"/>
      <c r="F253" s="173"/>
      <c r="G253" s="175"/>
      <c r="H253" s="1421"/>
      <c r="I253" s="4"/>
      <c r="J253" s="140"/>
    </row>
    <row r="254" spans="1:10" s="63" customFormat="1">
      <c r="A254" s="65"/>
      <c r="B254" s="64"/>
      <c r="C254" s="64"/>
      <c r="D254" s="173"/>
      <c r="E254" s="173"/>
      <c r="F254" s="173"/>
      <c r="G254" s="175"/>
      <c r="H254" s="1421"/>
      <c r="I254" s="4"/>
      <c r="J254" s="140"/>
    </row>
    <row r="255" spans="1:10" s="63" customFormat="1">
      <c r="A255" s="65"/>
      <c r="B255" s="64"/>
      <c r="C255" s="64"/>
      <c r="D255" s="173"/>
      <c r="E255" s="173"/>
      <c r="F255" s="173"/>
      <c r="G255" s="175"/>
      <c r="H255" s="1421"/>
      <c r="I255" s="4"/>
      <c r="J255" s="140"/>
    </row>
    <row r="256" spans="1:10" s="63" customFormat="1">
      <c r="A256" s="65"/>
      <c r="B256" s="64"/>
      <c r="C256" s="64"/>
      <c r="D256" s="173"/>
      <c r="E256" s="173"/>
      <c r="F256" s="173"/>
      <c r="G256" s="175"/>
      <c r="H256" s="1421"/>
      <c r="I256" s="4"/>
      <c r="J256" s="140"/>
    </row>
    <row r="257" spans="1:10" s="63" customFormat="1">
      <c r="A257" s="65"/>
      <c r="B257" s="64"/>
      <c r="C257" s="64"/>
      <c r="D257" s="173"/>
      <c r="E257" s="173"/>
      <c r="F257" s="173"/>
      <c r="G257" s="175"/>
      <c r="H257" s="1421"/>
      <c r="I257" s="4"/>
      <c r="J257" s="140"/>
    </row>
    <row r="258" spans="1:10" s="63" customFormat="1">
      <c r="A258" s="65"/>
      <c r="B258" s="64"/>
      <c r="C258" s="64"/>
      <c r="D258" s="173"/>
      <c r="E258" s="173"/>
      <c r="F258" s="173"/>
      <c r="G258" s="175"/>
      <c r="H258" s="1421"/>
      <c r="I258" s="4"/>
      <c r="J258" s="140"/>
    </row>
    <row r="259" spans="1:10" s="63" customFormat="1">
      <c r="A259" s="65"/>
      <c r="B259" s="64"/>
      <c r="C259" s="64"/>
      <c r="D259" s="173"/>
      <c r="E259" s="173"/>
      <c r="F259" s="173"/>
      <c r="G259" s="175"/>
      <c r="H259" s="1421"/>
      <c r="I259" s="4"/>
      <c r="J259" s="140"/>
    </row>
    <row r="260" spans="1:10" s="63" customFormat="1">
      <c r="A260" s="65"/>
      <c r="B260" s="64"/>
      <c r="C260" s="64"/>
      <c r="D260" s="173"/>
      <c r="E260" s="173"/>
      <c r="F260" s="173"/>
      <c r="G260" s="175"/>
      <c r="H260" s="1421"/>
      <c r="I260" s="4"/>
      <c r="J260" s="140"/>
    </row>
    <row r="261" spans="1:10" s="63" customFormat="1">
      <c r="A261" s="65"/>
      <c r="B261" s="64"/>
      <c r="C261" s="64"/>
      <c r="D261" s="173"/>
      <c r="E261" s="173"/>
      <c r="F261" s="173"/>
      <c r="G261" s="175"/>
      <c r="H261" s="1421"/>
      <c r="I261" s="4"/>
      <c r="J261" s="140"/>
    </row>
    <row r="262" spans="1:10" s="63" customFormat="1">
      <c r="A262" s="65"/>
      <c r="B262" s="64"/>
      <c r="C262" s="64"/>
      <c r="D262" s="173"/>
      <c r="E262" s="173"/>
      <c r="F262" s="173"/>
      <c r="G262" s="175"/>
      <c r="H262" s="1421"/>
      <c r="I262" s="4"/>
      <c r="J262" s="140"/>
    </row>
    <row r="263" spans="1:10" s="63" customFormat="1">
      <c r="A263" s="65"/>
      <c r="B263" s="64"/>
      <c r="C263" s="64"/>
      <c r="D263" s="173"/>
      <c r="E263" s="173"/>
      <c r="F263" s="173"/>
      <c r="G263" s="175"/>
      <c r="H263" s="1421"/>
      <c r="I263" s="4"/>
      <c r="J263" s="140"/>
    </row>
    <row r="264" spans="1:10" s="63" customFormat="1">
      <c r="A264" s="65"/>
      <c r="B264" s="64"/>
      <c r="C264" s="64"/>
      <c r="D264" s="173"/>
      <c r="E264" s="173"/>
      <c r="F264" s="173"/>
      <c r="G264" s="175"/>
      <c r="H264" s="1421"/>
      <c r="I264" s="4"/>
      <c r="J264" s="140"/>
    </row>
    <row r="265" spans="1:10" s="63" customFormat="1">
      <c r="A265" s="65"/>
      <c r="B265" s="64"/>
      <c r="C265" s="64"/>
      <c r="D265" s="173"/>
      <c r="E265" s="173"/>
      <c r="F265" s="173"/>
      <c r="G265" s="175"/>
      <c r="H265" s="1421"/>
      <c r="I265" s="4"/>
      <c r="J265" s="140"/>
    </row>
    <row r="266" spans="1:10" s="63" customFormat="1">
      <c r="A266" s="65"/>
      <c r="B266" s="64"/>
      <c r="C266" s="64"/>
      <c r="D266" s="173"/>
      <c r="E266" s="173"/>
      <c r="F266" s="173"/>
      <c r="G266" s="175"/>
      <c r="H266" s="1421"/>
      <c r="I266" s="4"/>
      <c r="J266" s="140"/>
    </row>
    <row r="267" spans="1:10" s="63" customFormat="1">
      <c r="A267" s="65"/>
      <c r="B267" s="64"/>
      <c r="C267" s="64"/>
      <c r="D267" s="173"/>
      <c r="E267" s="173"/>
      <c r="F267" s="173"/>
      <c r="G267" s="175"/>
      <c r="H267" s="1421"/>
      <c r="I267" s="4"/>
      <c r="J267" s="140"/>
    </row>
    <row r="268" spans="1:10" s="63" customFormat="1">
      <c r="A268" s="65"/>
      <c r="B268" s="64"/>
      <c r="C268" s="64"/>
      <c r="D268" s="173"/>
      <c r="E268" s="173"/>
      <c r="F268" s="173"/>
      <c r="G268" s="175"/>
      <c r="H268" s="1421"/>
      <c r="I268" s="4"/>
      <c r="J268" s="140"/>
    </row>
    <row r="269" spans="1:10" s="63" customFormat="1">
      <c r="A269" s="65"/>
      <c r="B269" s="64"/>
      <c r="C269" s="64"/>
      <c r="D269" s="173"/>
      <c r="E269" s="173"/>
      <c r="F269" s="173"/>
      <c r="G269" s="175"/>
      <c r="H269" s="1421"/>
      <c r="I269" s="4"/>
      <c r="J269" s="140"/>
    </row>
    <row r="270" spans="1:10" s="63" customFormat="1">
      <c r="A270" s="65"/>
      <c r="B270" s="64"/>
      <c r="C270" s="64"/>
      <c r="D270" s="173"/>
      <c r="E270" s="173"/>
      <c r="F270" s="173"/>
      <c r="G270" s="175"/>
      <c r="H270" s="1421"/>
      <c r="I270" s="4"/>
      <c r="J270" s="140"/>
    </row>
    <row r="271" spans="1:10" s="63" customFormat="1">
      <c r="A271" s="65"/>
      <c r="B271" s="64"/>
      <c r="C271" s="64"/>
      <c r="D271" s="173"/>
      <c r="E271" s="173"/>
      <c r="F271" s="173"/>
      <c r="G271" s="175"/>
      <c r="H271" s="1421"/>
      <c r="I271" s="4"/>
      <c r="J271" s="140"/>
    </row>
    <row r="272" spans="1:10" s="63" customFormat="1">
      <c r="A272" s="65"/>
      <c r="B272" s="64"/>
      <c r="C272" s="64"/>
      <c r="D272" s="173"/>
      <c r="E272" s="173"/>
      <c r="F272" s="173"/>
      <c r="G272" s="175"/>
      <c r="H272" s="1421"/>
      <c r="I272" s="4"/>
      <c r="J272" s="140"/>
    </row>
    <row r="273" spans="1:10" s="63" customFormat="1">
      <c r="A273" s="65"/>
      <c r="B273" s="64"/>
      <c r="C273" s="64"/>
      <c r="D273" s="173"/>
      <c r="E273" s="173"/>
      <c r="F273" s="173"/>
      <c r="G273" s="175"/>
      <c r="H273" s="1421"/>
      <c r="I273" s="4"/>
      <c r="J273" s="140"/>
    </row>
    <row r="274" spans="1:10" s="63" customFormat="1">
      <c r="A274" s="65"/>
      <c r="B274" s="64"/>
      <c r="C274" s="64"/>
      <c r="D274" s="173"/>
      <c r="E274" s="173"/>
      <c r="F274" s="173"/>
      <c r="G274" s="175"/>
      <c r="H274" s="1421"/>
      <c r="I274" s="4"/>
      <c r="J274" s="140"/>
    </row>
    <row r="275" spans="1:10" s="63" customFormat="1">
      <c r="A275" s="65"/>
      <c r="B275" s="64"/>
      <c r="C275" s="64"/>
      <c r="D275" s="173"/>
      <c r="E275" s="173"/>
      <c r="F275" s="173"/>
      <c r="G275" s="175"/>
      <c r="H275" s="1421"/>
      <c r="I275" s="4"/>
      <c r="J275" s="140"/>
    </row>
    <row r="276" spans="1:10" s="63" customFormat="1">
      <c r="A276" s="65"/>
      <c r="B276" s="64"/>
      <c r="C276" s="64"/>
      <c r="D276" s="173"/>
      <c r="E276" s="173"/>
      <c r="F276" s="173"/>
      <c r="G276" s="175"/>
      <c r="H276" s="1421"/>
      <c r="I276" s="4"/>
      <c r="J276" s="140"/>
    </row>
    <row r="277" spans="1:10" s="63" customFormat="1">
      <c r="A277" s="65"/>
      <c r="B277" s="64"/>
      <c r="C277" s="64"/>
      <c r="D277" s="173"/>
      <c r="E277" s="173"/>
      <c r="F277" s="173"/>
      <c r="G277" s="175"/>
      <c r="H277" s="1421"/>
      <c r="I277" s="4"/>
      <c r="J277" s="140"/>
    </row>
    <row r="278" spans="1:10" s="63" customFormat="1">
      <c r="A278" s="65"/>
      <c r="B278" s="64"/>
      <c r="C278" s="64"/>
      <c r="D278" s="173"/>
      <c r="E278" s="173"/>
      <c r="F278" s="173"/>
      <c r="G278" s="175"/>
      <c r="H278" s="1421"/>
      <c r="I278" s="4"/>
      <c r="J278" s="140"/>
    </row>
    <row r="279" spans="1:10" s="63" customFormat="1">
      <c r="A279" s="65"/>
      <c r="B279" s="64"/>
      <c r="C279" s="64"/>
      <c r="D279" s="173"/>
      <c r="E279" s="173"/>
      <c r="F279" s="173"/>
      <c r="G279" s="175"/>
      <c r="H279" s="1421"/>
      <c r="I279" s="4"/>
      <c r="J279" s="140"/>
    </row>
    <row r="280" spans="1:10" s="63" customFormat="1">
      <c r="A280" s="65"/>
      <c r="B280" s="64"/>
      <c r="C280" s="64"/>
      <c r="D280" s="173"/>
      <c r="E280" s="173"/>
      <c r="F280" s="173"/>
      <c r="G280" s="175"/>
      <c r="H280" s="1421"/>
      <c r="I280" s="4"/>
      <c r="J280" s="140"/>
    </row>
    <row r="281" spans="1:10" s="63" customFormat="1">
      <c r="A281" s="65"/>
      <c r="B281" s="64"/>
      <c r="C281" s="64"/>
      <c r="D281" s="173"/>
      <c r="E281" s="173"/>
      <c r="F281" s="173"/>
      <c r="G281" s="175"/>
      <c r="H281" s="1421"/>
      <c r="I281" s="4"/>
      <c r="J281" s="140"/>
    </row>
    <row r="282" spans="1:10" s="63" customFormat="1">
      <c r="A282" s="65"/>
      <c r="B282" s="64"/>
      <c r="C282" s="64"/>
      <c r="D282" s="173"/>
      <c r="E282" s="173"/>
      <c r="F282" s="173"/>
      <c r="G282" s="175"/>
      <c r="H282" s="23"/>
      <c r="I282" s="4"/>
      <c r="J282" s="140"/>
    </row>
    <row r="283" spans="1:10" s="63" customFormat="1">
      <c r="A283" s="65"/>
      <c r="B283" s="64"/>
      <c r="C283" s="64"/>
      <c r="D283" s="173"/>
      <c r="E283" s="173"/>
      <c r="F283" s="173"/>
      <c r="G283" s="175"/>
      <c r="H283" s="23"/>
      <c r="I283" s="4"/>
      <c r="J283" s="140"/>
    </row>
    <row r="284" spans="1:10" s="63" customFormat="1">
      <c r="A284" s="65"/>
      <c r="B284" s="64"/>
      <c r="C284" s="64"/>
      <c r="D284" s="173"/>
      <c r="E284" s="173"/>
      <c r="F284" s="173"/>
      <c r="G284" s="175"/>
      <c r="H284" s="23"/>
      <c r="I284" s="4"/>
      <c r="J284" s="140"/>
    </row>
    <row r="285" spans="1:10" s="63" customFormat="1">
      <c r="A285" s="65"/>
      <c r="B285" s="64"/>
      <c r="C285" s="64"/>
      <c r="D285" s="173"/>
      <c r="E285" s="173"/>
      <c r="F285" s="173"/>
      <c r="G285" s="175"/>
      <c r="H285" s="23"/>
      <c r="I285" s="4"/>
      <c r="J285" s="140"/>
    </row>
    <row r="286" spans="1:10" s="63" customFormat="1">
      <c r="A286" s="65"/>
      <c r="B286" s="64"/>
      <c r="C286" s="64"/>
      <c r="D286" s="173"/>
      <c r="E286" s="173"/>
      <c r="F286" s="173"/>
      <c r="G286" s="175"/>
      <c r="H286" s="23"/>
      <c r="I286" s="4"/>
      <c r="J286" s="140"/>
    </row>
    <row r="287" spans="1:10" s="63" customFormat="1">
      <c r="A287" s="65"/>
      <c r="B287" s="64"/>
      <c r="C287" s="64"/>
      <c r="D287" s="173"/>
      <c r="E287" s="173"/>
      <c r="F287" s="173"/>
      <c r="G287" s="175"/>
      <c r="H287" s="23"/>
      <c r="I287" s="4"/>
      <c r="J287" s="140"/>
    </row>
    <row r="288" spans="1:10" s="63" customFormat="1">
      <c r="A288" s="65"/>
      <c r="B288" s="64"/>
      <c r="C288" s="64"/>
      <c r="D288" s="173"/>
      <c r="E288" s="173"/>
      <c r="F288" s="173"/>
      <c r="G288" s="175"/>
      <c r="H288" s="23"/>
      <c r="I288" s="4"/>
      <c r="J288" s="140"/>
    </row>
    <row r="289" spans="1:10" s="63" customFormat="1">
      <c r="A289" s="65"/>
      <c r="B289" s="64"/>
      <c r="C289" s="64"/>
      <c r="D289" s="173"/>
      <c r="E289" s="173"/>
      <c r="F289" s="173"/>
      <c r="G289" s="175"/>
      <c r="H289" s="23"/>
      <c r="I289" s="4"/>
      <c r="J289" s="140"/>
    </row>
    <row r="290" spans="1:10" s="63" customFormat="1">
      <c r="A290" s="65"/>
      <c r="B290" s="64"/>
      <c r="C290" s="64"/>
      <c r="D290" s="173"/>
      <c r="E290" s="173"/>
      <c r="F290" s="173"/>
      <c r="G290" s="175"/>
      <c r="H290" s="23"/>
      <c r="I290" s="4"/>
      <c r="J290" s="140"/>
    </row>
    <row r="291" spans="1:10" s="63" customFormat="1">
      <c r="A291" s="65"/>
      <c r="B291" s="64"/>
      <c r="C291" s="64"/>
      <c r="D291" s="173"/>
      <c r="E291" s="173"/>
      <c r="F291" s="173"/>
      <c r="G291" s="175"/>
      <c r="H291" s="23"/>
      <c r="I291" s="4"/>
      <c r="J291" s="140"/>
    </row>
    <row r="292" spans="1:10" s="63" customFormat="1">
      <c r="A292" s="65"/>
      <c r="B292" s="64"/>
      <c r="C292" s="64"/>
      <c r="D292" s="173"/>
      <c r="E292" s="173"/>
      <c r="F292" s="173"/>
      <c r="G292" s="175"/>
      <c r="H292" s="23"/>
      <c r="I292" s="4"/>
      <c r="J292" s="140"/>
    </row>
    <row r="293" spans="1:10" s="63" customFormat="1">
      <c r="A293" s="65"/>
      <c r="B293" s="64"/>
      <c r="C293" s="64"/>
      <c r="D293" s="173"/>
      <c r="E293" s="173"/>
      <c r="F293" s="173"/>
      <c r="G293" s="175"/>
      <c r="H293" s="23"/>
      <c r="I293" s="4"/>
      <c r="J293" s="140"/>
    </row>
    <row r="294" spans="1:10" s="63" customFormat="1">
      <c r="A294" s="65"/>
      <c r="B294" s="64"/>
      <c r="C294" s="64"/>
      <c r="D294" s="173"/>
      <c r="E294" s="173"/>
      <c r="F294" s="173"/>
      <c r="G294" s="175"/>
      <c r="H294" s="23"/>
      <c r="I294" s="4"/>
      <c r="J294" s="140"/>
    </row>
    <row r="295" spans="1:10" s="63" customFormat="1">
      <c r="A295" s="65"/>
      <c r="B295" s="64"/>
      <c r="C295" s="64"/>
      <c r="D295" s="173"/>
      <c r="E295" s="173"/>
      <c r="F295" s="173"/>
      <c r="G295" s="175"/>
      <c r="H295" s="23"/>
      <c r="I295" s="4"/>
      <c r="J295" s="140"/>
    </row>
    <row r="296" spans="1:10" s="63" customFormat="1">
      <c r="A296" s="65"/>
      <c r="B296" s="64"/>
      <c r="C296" s="64"/>
      <c r="D296" s="173"/>
      <c r="E296" s="173"/>
      <c r="F296" s="173"/>
      <c r="G296" s="175"/>
      <c r="H296" s="23"/>
      <c r="I296" s="4"/>
      <c r="J296" s="140"/>
    </row>
    <row r="297" spans="1:10" s="63" customFormat="1">
      <c r="A297" s="65"/>
      <c r="B297" s="64"/>
      <c r="C297" s="64"/>
      <c r="D297" s="173"/>
      <c r="E297" s="173"/>
      <c r="F297" s="173"/>
      <c r="G297" s="175"/>
      <c r="H297" s="23"/>
      <c r="I297" s="4"/>
      <c r="J297" s="140"/>
    </row>
    <row r="298" spans="1:10" s="63" customFormat="1">
      <c r="A298" s="65"/>
      <c r="B298" s="64"/>
      <c r="C298" s="64"/>
      <c r="D298" s="173"/>
      <c r="E298" s="173"/>
      <c r="F298" s="173"/>
      <c r="G298" s="175"/>
      <c r="H298" s="23"/>
      <c r="I298" s="4"/>
      <c r="J298" s="140"/>
    </row>
    <row r="299" spans="1:10" s="63" customFormat="1">
      <c r="A299" s="65"/>
      <c r="B299" s="64"/>
      <c r="C299" s="64"/>
      <c r="D299" s="173"/>
      <c r="E299" s="173"/>
      <c r="F299" s="173"/>
      <c r="G299" s="175"/>
      <c r="H299" s="23"/>
      <c r="I299" s="4"/>
      <c r="J299" s="140"/>
    </row>
    <row r="300" spans="1:10" s="63" customFormat="1">
      <c r="A300" s="65"/>
      <c r="B300" s="64"/>
      <c r="C300" s="64"/>
      <c r="D300" s="173"/>
      <c r="E300" s="173"/>
      <c r="F300" s="173"/>
      <c r="G300" s="175"/>
      <c r="H300" s="23"/>
      <c r="I300" s="4"/>
      <c r="J300" s="140"/>
    </row>
    <row r="301" spans="1:10" s="63" customFormat="1">
      <c r="A301" s="65"/>
      <c r="B301" s="64"/>
      <c r="C301" s="64"/>
      <c r="D301" s="173"/>
      <c r="E301" s="173"/>
      <c r="F301" s="173"/>
      <c r="G301" s="175"/>
      <c r="H301" s="23"/>
      <c r="I301" s="4"/>
      <c r="J301" s="140"/>
    </row>
    <row r="302" spans="1:10" s="63" customFormat="1">
      <c r="A302" s="65"/>
      <c r="B302" s="64"/>
      <c r="C302" s="64"/>
      <c r="D302" s="173"/>
      <c r="E302" s="173"/>
      <c r="F302" s="173"/>
      <c r="G302" s="175"/>
      <c r="H302" s="23"/>
      <c r="I302" s="4"/>
      <c r="J302" s="140"/>
    </row>
    <row r="303" spans="1:10" s="63" customFormat="1">
      <c r="A303" s="65"/>
      <c r="B303" s="64"/>
      <c r="C303" s="64"/>
      <c r="D303" s="173"/>
      <c r="E303" s="173"/>
      <c r="F303" s="173"/>
      <c r="G303" s="175"/>
      <c r="H303" s="23"/>
      <c r="I303" s="4"/>
      <c r="J303" s="140"/>
    </row>
    <row r="304" spans="1:10" s="63" customFormat="1">
      <c r="A304" s="65"/>
      <c r="B304" s="64"/>
      <c r="C304" s="64"/>
      <c r="D304" s="173"/>
      <c r="E304" s="173"/>
      <c r="F304" s="173"/>
      <c r="G304" s="175"/>
      <c r="H304" s="23"/>
      <c r="I304" s="4"/>
      <c r="J304" s="140"/>
    </row>
    <row r="305" spans="1:10" s="63" customFormat="1">
      <c r="A305" s="65"/>
      <c r="B305" s="64"/>
      <c r="C305" s="64"/>
      <c r="D305" s="173"/>
      <c r="E305" s="173"/>
      <c r="F305" s="173"/>
      <c r="G305" s="175"/>
      <c r="H305" s="23"/>
      <c r="I305" s="4"/>
      <c r="J305" s="140"/>
    </row>
    <row r="306" spans="1:10" s="63" customFormat="1">
      <c r="A306" s="65"/>
      <c r="B306" s="64"/>
      <c r="C306" s="64"/>
      <c r="D306" s="173"/>
      <c r="E306" s="173"/>
      <c r="F306" s="173"/>
      <c r="G306" s="175"/>
      <c r="H306" s="23"/>
      <c r="I306" s="4"/>
      <c r="J306" s="140"/>
    </row>
    <row r="307" spans="1:10" s="63" customFormat="1">
      <c r="A307" s="65"/>
      <c r="B307" s="64"/>
      <c r="C307" s="64"/>
      <c r="D307" s="173"/>
      <c r="E307" s="173"/>
      <c r="F307" s="173"/>
      <c r="G307" s="175"/>
      <c r="H307" s="23"/>
      <c r="I307" s="4"/>
      <c r="J307" s="140"/>
    </row>
    <row r="308" spans="1:10" s="63" customFormat="1">
      <c r="A308" s="65"/>
      <c r="B308" s="64"/>
      <c r="C308" s="64"/>
      <c r="D308" s="173"/>
      <c r="E308" s="173"/>
      <c r="F308" s="173"/>
      <c r="G308" s="175"/>
      <c r="H308" s="23"/>
      <c r="I308" s="4"/>
      <c r="J308" s="140"/>
    </row>
    <row r="309" spans="1:10" s="63" customFormat="1">
      <c r="A309" s="65"/>
      <c r="B309" s="64"/>
      <c r="C309" s="64"/>
      <c r="D309" s="173"/>
      <c r="E309" s="173"/>
      <c r="F309" s="173"/>
      <c r="G309" s="175"/>
      <c r="H309" s="23"/>
      <c r="I309" s="4"/>
      <c r="J309" s="140"/>
    </row>
    <row r="310" spans="1:10" s="63" customFormat="1">
      <c r="A310" s="65"/>
      <c r="B310" s="64"/>
      <c r="C310" s="64"/>
      <c r="D310" s="173"/>
      <c r="E310" s="173"/>
      <c r="F310" s="173"/>
      <c r="G310" s="175"/>
      <c r="H310" s="23"/>
      <c r="I310" s="4"/>
      <c r="J310" s="140"/>
    </row>
    <row r="311" spans="1:10" s="63" customFormat="1">
      <c r="A311" s="65"/>
      <c r="B311" s="64"/>
      <c r="C311" s="64"/>
      <c r="D311" s="173"/>
      <c r="E311" s="173"/>
      <c r="F311" s="173"/>
      <c r="G311" s="175"/>
      <c r="H311" s="23"/>
      <c r="I311" s="4"/>
      <c r="J311" s="140"/>
    </row>
    <row r="312" spans="1:10" s="63" customFormat="1">
      <c r="A312" s="65"/>
      <c r="B312" s="64"/>
      <c r="C312" s="64"/>
      <c r="D312" s="173"/>
      <c r="E312" s="173"/>
      <c r="F312" s="173"/>
      <c r="G312" s="175"/>
      <c r="H312" s="23"/>
      <c r="I312" s="4"/>
      <c r="J312" s="140"/>
    </row>
    <row r="313" spans="1:10" s="63" customFormat="1">
      <c r="A313" s="65"/>
      <c r="B313" s="64"/>
      <c r="C313" s="64"/>
      <c r="D313" s="173"/>
      <c r="E313" s="173"/>
      <c r="F313" s="173"/>
      <c r="G313" s="175"/>
      <c r="H313" s="23"/>
      <c r="I313" s="4"/>
      <c r="J313" s="140"/>
    </row>
    <row r="314" spans="1:10" s="63" customFormat="1">
      <c r="A314" s="65"/>
      <c r="B314" s="64"/>
      <c r="C314" s="64"/>
      <c r="D314" s="173"/>
      <c r="E314" s="173"/>
      <c r="F314" s="173"/>
      <c r="G314" s="175"/>
      <c r="H314" s="23"/>
      <c r="I314" s="4"/>
      <c r="J314" s="140"/>
    </row>
    <row r="315" spans="1:10" s="63" customFormat="1">
      <c r="A315" s="65"/>
      <c r="B315" s="64"/>
      <c r="C315" s="64"/>
      <c r="D315" s="173"/>
      <c r="E315" s="173"/>
      <c r="F315" s="173"/>
      <c r="G315" s="175"/>
      <c r="H315" s="23"/>
      <c r="I315" s="4"/>
      <c r="J315" s="140"/>
    </row>
    <row r="316" spans="1:10" s="63" customFormat="1">
      <c r="A316" s="65"/>
      <c r="B316" s="64"/>
      <c r="C316" s="64"/>
      <c r="D316" s="173"/>
      <c r="E316" s="173"/>
      <c r="F316" s="173"/>
      <c r="G316" s="175"/>
      <c r="H316" s="23"/>
      <c r="I316" s="4"/>
      <c r="J316" s="140"/>
    </row>
    <row r="317" spans="1:10" s="63" customFormat="1">
      <c r="A317" s="65"/>
      <c r="B317" s="64"/>
      <c r="C317" s="64"/>
      <c r="D317" s="173"/>
      <c r="E317" s="173"/>
      <c r="F317" s="173"/>
      <c r="G317" s="175"/>
      <c r="H317" s="23"/>
      <c r="I317" s="4"/>
      <c r="J317" s="140"/>
    </row>
    <row r="318" spans="1:10" s="63" customFormat="1">
      <c r="A318" s="65"/>
      <c r="B318" s="64"/>
      <c r="C318" s="64"/>
      <c r="D318" s="173"/>
      <c r="E318" s="173"/>
      <c r="F318" s="173"/>
      <c r="G318" s="175"/>
      <c r="H318" s="23"/>
      <c r="I318" s="4"/>
      <c r="J318" s="140"/>
    </row>
    <row r="319" spans="1:10" s="63" customFormat="1">
      <c r="A319" s="65"/>
      <c r="B319" s="64"/>
      <c r="C319" s="64"/>
      <c r="D319" s="173"/>
      <c r="E319" s="173"/>
      <c r="F319" s="173"/>
      <c r="G319" s="175"/>
      <c r="H319" s="23"/>
      <c r="I319" s="4"/>
      <c r="J319" s="140"/>
    </row>
    <row r="320" spans="1:10" s="63" customFormat="1">
      <c r="A320" s="65"/>
      <c r="B320" s="64"/>
      <c r="C320" s="64"/>
      <c r="D320" s="173"/>
      <c r="E320" s="173"/>
      <c r="F320" s="173"/>
      <c r="G320" s="175"/>
      <c r="H320" s="23"/>
      <c r="I320" s="4"/>
      <c r="J320" s="140"/>
    </row>
    <row r="321" spans="1:10" s="63" customFormat="1">
      <c r="A321" s="65"/>
      <c r="B321" s="64"/>
      <c r="C321" s="64"/>
      <c r="D321" s="173"/>
      <c r="E321" s="173"/>
      <c r="F321" s="173"/>
      <c r="G321" s="175"/>
      <c r="H321" s="23"/>
      <c r="I321" s="4"/>
      <c r="J321" s="140"/>
    </row>
    <row r="322" spans="1:10" s="63" customFormat="1">
      <c r="A322" s="65"/>
      <c r="B322" s="64"/>
      <c r="C322" s="64"/>
      <c r="D322" s="173"/>
      <c r="E322" s="173"/>
      <c r="F322" s="173"/>
      <c r="G322" s="175"/>
      <c r="H322" s="23"/>
      <c r="I322" s="4"/>
      <c r="J322" s="140"/>
    </row>
    <row r="323" spans="1:10" s="63" customFormat="1">
      <c r="A323" s="65"/>
      <c r="B323" s="64"/>
      <c r="C323" s="64"/>
      <c r="D323" s="173"/>
      <c r="E323" s="173"/>
      <c r="F323" s="173"/>
      <c r="G323" s="175"/>
      <c r="H323" s="23"/>
      <c r="I323" s="4"/>
      <c r="J323" s="140"/>
    </row>
    <row r="324" spans="1:10" s="63" customFormat="1">
      <c r="A324" s="65"/>
      <c r="B324" s="64"/>
      <c r="C324" s="64"/>
      <c r="D324" s="173"/>
      <c r="E324" s="173"/>
      <c r="F324" s="173"/>
      <c r="G324" s="175"/>
      <c r="H324" s="23"/>
      <c r="I324" s="4"/>
      <c r="J324" s="140"/>
    </row>
    <row r="325" spans="1:10" s="63" customFormat="1">
      <c r="A325" s="65"/>
      <c r="B325" s="64"/>
      <c r="C325" s="64"/>
      <c r="D325" s="173"/>
      <c r="E325" s="173"/>
      <c r="F325" s="173"/>
      <c r="G325" s="175"/>
      <c r="H325" s="23"/>
      <c r="I325" s="4"/>
      <c r="J325" s="140"/>
    </row>
    <row r="326" spans="1:10" s="63" customFormat="1">
      <c r="A326" s="65"/>
      <c r="B326" s="64"/>
      <c r="C326" s="64"/>
      <c r="D326" s="173"/>
      <c r="E326" s="173"/>
      <c r="F326" s="173"/>
      <c r="G326" s="175"/>
      <c r="H326" s="23"/>
      <c r="I326" s="4"/>
      <c r="J326" s="140"/>
    </row>
    <row r="327" spans="1:10" s="63" customFormat="1">
      <c r="A327" s="65"/>
      <c r="B327" s="64"/>
      <c r="C327" s="64"/>
      <c r="D327" s="173"/>
      <c r="E327" s="173"/>
      <c r="F327" s="173"/>
      <c r="G327" s="175"/>
      <c r="H327" s="23"/>
      <c r="I327" s="4"/>
      <c r="J327" s="140"/>
    </row>
    <row r="328" spans="1:10" s="63" customFormat="1">
      <c r="A328" s="65"/>
      <c r="B328" s="64"/>
      <c r="C328" s="64"/>
      <c r="D328" s="173"/>
      <c r="E328" s="173"/>
      <c r="F328" s="173"/>
      <c r="G328" s="175"/>
      <c r="H328" s="23"/>
      <c r="I328" s="4"/>
      <c r="J328" s="140"/>
    </row>
    <row r="329" spans="1:10" s="63" customFormat="1">
      <c r="A329" s="65"/>
      <c r="B329" s="64"/>
      <c r="C329" s="64"/>
      <c r="D329" s="173"/>
      <c r="E329" s="173"/>
      <c r="F329" s="173"/>
      <c r="G329" s="175"/>
      <c r="H329" s="23"/>
      <c r="I329" s="4"/>
      <c r="J329" s="140"/>
    </row>
    <row r="330" spans="1:10" s="63" customFormat="1">
      <c r="A330" s="65"/>
      <c r="B330" s="64"/>
      <c r="C330" s="64"/>
      <c r="D330" s="173"/>
      <c r="E330" s="173"/>
      <c r="F330" s="173"/>
      <c r="G330" s="175"/>
      <c r="H330" s="23"/>
      <c r="I330" s="4"/>
      <c r="J330" s="140"/>
    </row>
    <row r="331" spans="1:10" s="63" customFormat="1">
      <c r="A331" s="65"/>
      <c r="B331" s="64"/>
      <c r="C331" s="64"/>
      <c r="D331" s="173"/>
      <c r="E331" s="173"/>
      <c r="F331" s="173"/>
      <c r="G331" s="175"/>
      <c r="H331" s="23"/>
      <c r="I331" s="4"/>
      <c r="J331" s="140"/>
    </row>
    <row r="332" spans="1:10" s="63" customFormat="1">
      <c r="A332" s="65"/>
      <c r="B332" s="64"/>
      <c r="C332" s="64"/>
      <c r="D332" s="173"/>
      <c r="E332" s="173"/>
      <c r="F332" s="173"/>
      <c r="G332" s="175"/>
      <c r="H332" s="23"/>
      <c r="I332" s="4"/>
      <c r="J332" s="140"/>
    </row>
    <row r="333" spans="1:10" s="63" customFormat="1">
      <c r="A333" s="65"/>
      <c r="B333" s="64"/>
      <c r="C333" s="64"/>
      <c r="D333" s="173"/>
      <c r="E333" s="173"/>
      <c r="F333" s="173"/>
      <c r="G333" s="175"/>
      <c r="H333" s="23"/>
      <c r="I333" s="4"/>
      <c r="J333" s="140"/>
    </row>
    <row r="334" spans="1:10" s="63" customFormat="1">
      <c r="A334" s="65"/>
      <c r="B334" s="64"/>
      <c r="C334" s="64"/>
      <c r="D334" s="173"/>
      <c r="E334" s="173"/>
      <c r="F334" s="173"/>
      <c r="G334" s="175"/>
      <c r="H334" s="23"/>
      <c r="I334" s="4"/>
      <c r="J334" s="140"/>
    </row>
    <row r="335" spans="1:10" s="63" customFormat="1">
      <c r="A335" s="65"/>
      <c r="B335" s="64"/>
      <c r="C335" s="64"/>
      <c r="D335" s="173"/>
      <c r="E335" s="173"/>
      <c r="F335" s="173"/>
      <c r="G335" s="175"/>
      <c r="H335" s="23"/>
      <c r="I335" s="4"/>
      <c r="J335" s="140"/>
    </row>
    <row r="336" spans="1:10" s="63" customFormat="1">
      <c r="A336" s="65"/>
      <c r="B336" s="64"/>
      <c r="C336" s="64"/>
      <c r="D336" s="173"/>
      <c r="E336" s="173"/>
      <c r="F336" s="173"/>
      <c r="G336" s="175"/>
      <c r="H336" s="23"/>
      <c r="I336" s="4"/>
      <c r="J336" s="140"/>
    </row>
    <row r="337" spans="1:10" s="63" customFormat="1">
      <c r="A337" s="65"/>
      <c r="B337" s="64"/>
      <c r="C337" s="64"/>
      <c r="D337" s="173"/>
      <c r="E337" s="173"/>
      <c r="F337" s="173"/>
      <c r="G337" s="175"/>
      <c r="H337" s="23"/>
      <c r="I337" s="4"/>
      <c r="J337" s="140"/>
    </row>
    <row r="338" spans="1:10" s="63" customFormat="1">
      <c r="A338" s="65"/>
      <c r="B338" s="64"/>
      <c r="C338" s="64"/>
      <c r="D338" s="173"/>
      <c r="E338" s="173"/>
      <c r="F338" s="173"/>
      <c r="G338" s="175"/>
      <c r="H338" s="23"/>
      <c r="I338" s="4"/>
      <c r="J338" s="140"/>
    </row>
    <row r="339" spans="1:10" s="63" customFormat="1">
      <c r="A339" s="65"/>
      <c r="B339" s="64"/>
      <c r="C339" s="64"/>
      <c r="D339" s="173"/>
      <c r="E339" s="173"/>
      <c r="F339" s="173"/>
      <c r="G339" s="175"/>
      <c r="H339" s="23"/>
      <c r="I339" s="4"/>
      <c r="J339" s="140"/>
    </row>
    <row r="340" spans="1:10" s="63" customFormat="1">
      <c r="A340" s="65"/>
      <c r="B340" s="64"/>
      <c r="C340" s="64"/>
      <c r="D340" s="173"/>
      <c r="E340" s="173"/>
      <c r="F340" s="173"/>
      <c r="G340" s="175"/>
      <c r="H340" s="23"/>
      <c r="I340" s="4"/>
      <c r="J340" s="140"/>
    </row>
    <row r="341" spans="1:10" s="63" customFormat="1">
      <c r="A341" s="65"/>
      <c r="B341" s="64"/>
      <c r="C341" s="64"/>
      <c r="D341" s="173"/>
      <c r="E341" s="173"/>
      <c r="F341" s="173"/>
      <c r="G341" s="175"/>
      <c r="H341" s="23"/>
      <c r="I341" s="4"/>
      <c r="J341" s="140"/>
    </row>
    <row r="342" spans="1:10" s="63" customFormat="1">
      <c r="A342" s="65"/>
      <c r="B342" s="64"/>
      <c r="C342" s="64"/>
      <c r="D342" s="173"/>
      <c r="E342" s="173"/>
      <c r="F342" s="173"/>
      <c r="G342" s="175"/>
      <c r="H342" s="23"/>
      <c r="I342" s="4"/>
      <c r="J342" s="140"/>
    </row>
    <row r="343" spans="1:10" s="63" customFormat="1">
      <c r="A343" s="65"/>
      <c r="B343" s="64"/>
      <c r="C343" s="64"/>
      <c r="D343" s="173"/>
      <c r="E343" s="173"/>
      <c r="F343" s="173"/>
      <c r="G343" s="175"/>
      <c r="H343" s="23"/>
      <c r="I343" s="4"/>
      <c r="J343" s="140"/>
    </row>
    <row r="344" spans="1:10" s="63" customFormat="1">
      <c r="A344" s="65"/>
      <c r="B344" s="64"/>
      <c r="C344" s="64"/>
      <c r="D344" s="173"/>
      <c r="E344" s="173"/>
      <c r="F344" s="173"/>
      <c r="G344" s="175"/>
      <c r="H344" s="23"/>
      <c r="I344" s="4"/>
      <c r="J344" s="140"/>
    </row>
    <row r="345" spans="1:10" s="63" customFormat="1">
      <c r="A345" s="65"/>
      <c r="B345" s="64"/>
      <c r="C345" s="64"/>
      <c r="D345" s="173"/>
      <c r="E345" s="173"/>
      <c r="F345" s="173"/>
      <c r="G345" s="175"/>
      <c r="H345" s="23"/>
      <c r="I345" s="4"/>
      <c r="J345" s="140"/>
    </row>
    <row r="346" spans="1:10" s="63" customFormat="1">
      <c r="A346" s="65"/>
      <c r="B346" s="64"/>
      <c r="C346" s="64"/>
      <c r="D346" s="173"/>
      <c r="E346" s="173"/>
      <c r="F346" s="173"/>
      <c r="G346" s="175"/>
      <c r="H346" s="23"/>
      <c r="I346" s="4"/>
      <c r="J346" s="140"/>
    </row>
    <row r="347" spans="1:10" s="63" customFormat="1">
      <c r="A347" s="65"/>
      <c r="B347" s="64"/>
      <c r="C347" s="64"/>
      <c r="D347" s="173"/>
      <c r="E347" s="173"/>
      <c r="F347" s="173"/>
      <c r="G347" s="175"/>
      <c r="H347" s="23"/>
      <c r="I347" s="4"/>
      <c r="J347" s="140"/>
    </row>
    <row r="348" spans="1:10" s="63" customFormat="1">
      <c r="A348" s="65"/>
      <c r="B348" s="64"/>
      <c r="C348" s="64"/>
      <c r="D348" s="173"/>
      <c r="E348" s="173"/>
      <c r="F348" s="173"/>
      <c r="G348" s="175"/>
      <c r="H348" s="23"/>
      <c r="I348" s="4"/>
      <c r="J348" s="140"/>
    </row>
    <row r="349" spans="1:10" s="63" customFormat="1">
      <c r="A349" s="65"/>
      <c r="B349" s="64"/>
      <c r="C349" s="64"/>
      <c r="D349" s="173"/>
      <c r="E349" s="173"/>
      <c r="F349" s="173"/>
      <c r="G349" s="175"/>
      <c r="H349" s="23"/>
      <c r="I349" s="4"/>
      <c r="J349" s="140"/>
    </row>
    <row r="350" spans="1:10" s="63" customFormat="1">
      <c r="A350" s="65"/>
      <c r="B350" s="64"/>
      <c r="C350" s="64"/>
      <c r="D350" s="173"/>
      <c r="E350" s="173"/>
      <c r="F350" s="173"/>
      <c r="G350" s="175"/>
      <c r="H350" s="23"/>
      <c r="I350" s="4"/>
      <c r="J350" s="140"/>
    </row>
    <row r="351" spans="1:10" s="63" customFormat="1">
      <c r="A351" s="65"/>
      <c r="B351" s="64"/>
      <c r="C351" s="64"/>
      <c r="D351" s="173"/>
      <c r="E351" s="173"/>
      <c r="F351" s="173"/>
      <c r="G351" s="175"/>
      <c r="H351" s="23"/>
      <c r="I351" s="4"/>
      <c r="J351" s="140"/>
    </row>
    <row r="352" spans="1:10" s="63" customFormat="1">
      <c r="A352" s="65"/>
      <c r="B352" s="64"/>
      <c r="C352" s="64"/>
      <c r="D352" s="173"/>
      <c r="E352" s="173"/>
      <c r="F352" s="173"/>
      <c r="G352" s="175"/>
      <c r="H352" s="23"/>
      <c r="I352" s="4"/>
      <c r="J352" s="140"/>
    </row>
    <row r="353" spans="1:10" s="63" customFormat="1">
      <c r="A353" s="65"/>
      <c r="B353" s="64"/>
      <c r="C353" s="64"/>
      <c r="D353" s="173"/>
      <c r="E353" s="173"/>
      <c r="F353" s="173"/>
      <c r="G353" s="175"/>
      <c r="H353" s="23"/>
      <c r="I353" s="4"/>
      <c r="J353" s="140"/>
    </row>
    <row r="354" spans="1:10" s="63" customFormat="1">
      <c r="A354" s="65"/>
      <c r="B354" s="64"/>
      <c r="C354" s="64"/>
      <c r="D354" s="173"/>
      <c r="E354" s="173"/>
      <c r="F354" s="173"/>
      <c r="G354" s="175"/>
      <c r="H354" s="23"/>
      <c r="I354" s="4"/>
      <c r="J354" s="140"/>
    </row>
    <row r="355" spans="1:10" s="63" customFormat="1">
      <c r="A355" s="65"/>
      <c r="B355" s="64"/>
      <c r="C355" s="64"/>
      <c r="D355" s="173"/>
      <c r="E355" s="173"/>
      <c r="F355" s="173"/>
      <c r="G355" s="175"/>
      <c r="H355" s="23"/>
      <c r="I355" s="4"/>
      <c r="J355" s="140"/>
    </row>
    <row r="356" spans="1:10" s="63" customFormat="1">
      <c r="A356" s="65"/>
      <c r="B356" s="64"/>
      <c r="C356" s="64"/>
      <c r="D356" s="173"/>
      <c r="E356" s="173"/>
      <c r="F356" s="173"/>
      <c r="G356" s="175"/>
      <c r="H356" s="23"/>
      <c r="I356" s="4"/>
      <c r="J356" s="140"/>
    </row>
    <row r="357" spans="1:10" s="63" customFormat="1">
      <c r="A357" s="65"/>
      <c r="B357" s="64"/>
      <c r="C357" s="64"/>
      <c r="D357" s="173"/>
      <c r="E357" s="173"/>
      <c r="F357" s="173"/>
      <c r="G357" s="175"/>
      <c r="H357" s="23"/>
      <c r="I357" s="4"/>
      <c r="J357" s="140"/>
    </row>
    <row r="358" spans="1:10" s="63" customFormat="1">
      <c r="A358" s="65"/>
      <c r="B358" s="64"/>
      <c r="C358" s="64"/>
      <c r="D358" s="173"/>
      <c r="E358" s="173"/>
      <c r="F358" s="173"/>
      <c r="G358" s="175"/>
      <c r="H358" s="23"/>
      <c r="I358" s="4"/>
      <c r="J358" s="140"/>
    </row>
    <row r="359" spans="1:10" s="63" customFormat="1">
      <c r="A359" s="65"/>
      <c r="B359" s="64"/>
      <c r="C359" s="64"/>
      <c r="D359" s="173"/>
      <c r="E359" s="173"/>
      <c r="F359" s="173"/>
      <c r="G359" s="175"/>
      <c r="H359" s="23"/>
      <c r="I359" s="4"/>
      <c r="J359" s="140"/>
    </row>
    <row r="360" spans="1:10" s="63" customFormat="1">
      <c r="A360" s="65"/>
      <c r="B360" s="64"/>
      <c r="C360" s="64"/>
      <c r="D360" s="173"/>
      <c r="E360" s="173"/>
      <c r="F360" s="173"/>
      <c r="G360" s="175"/>
      <c r="H360" s="23"/>
      <c r="I360" s="4"/>
      <c r="J360" s="140"/>
    </row>
    <row r="361" spans="1:10" s="63" customFormat="1">
      <c r="A361" s="65"/>
      <c r="B361" s="64"/>
      <c r="C361" s="64"/>
      <c r="D361" s="173"/>
      <c r="E361" s="173"/>
      <c r="F361" s="173"/>
      <c r="G361" s="175"/>
      <c r="H361" s="23"/>
      <c r="I361" s="4"/>
      <c r="J361" s="140"/>
    </row>
    <row r="362" spans="1:10" s="63" customFormat="1">
      <c r="A362" s="65"/>
      <c r="B362" s="64"/>
      <c r="C362" s="64"/>
      <c r="D362" s="173"/>
      <c r="E362" s="173"/>
      <c r="F362" s="173"/>
      <c r="G362" s="175"/>
      <c r="H362" s="23"/>
      <c r="I362" s="4"/>
      <c r="J362" s="140"/>
    </row>
    <row r="363" spans="1:10" s="63" customFormat="1">
      <c r="A363" s="65"/>
      <c r="B363" s="64"/>
      <c r="C363" s="64"/>
      <c r="D363" s="173"/>
      <c r="E363" s="173"/>
      <c r="F363" s="173"/>
      <c r="G363" s="175"/>
      <c r="H363" s="23"/>
      <c r="I363" s="4"/>
      <c r="J363" s="140"/>
    </row>
    <row r="364" spans="1:10" s="63" customFormat="1">
      <c r="A364" s="65"/>
      <c r="B364" s="64"/>
      <c r="C364" s="64"/>
      <c r="D364" s="173"/>
      <c r="E364" s="173"/>
      <c r="F364" s="173"/>
      <c r="G364" s="175"/>
      <c r="H364" s="23"/>
      <c r="I364" s="4"/>
      <c r="J364" s="140"/>
    </row>
    <row r="365" spans="1:10" s="63" customFormat="1">
      <c r="A365" s="65"/>
      <c r="B365" s="64"/>
      <c r="C365" s="64"/>
      <c r="D365" s="173"/>
      <c r="E365" s="173"/>
      <c r="F365" s="173"/>
      <c r="G365" s="175"/>
      <c r="H365" s="23"/>
      <c r="I365" s="4"/>
      <c r="J365" s="140"/>
    </row>
    <row r="366" spans="1:10" s="63" customFormat="1">
      <c r="A366" s="65"/>
      <c r="B366" s="64"/>
      <c r="C366" s="64"/>
      <c r="D366" s="173"/>
      <c r="E366" s="173"/>
      <c r="F366" s="173"/>
      <c r="G366" s="175"/>
      <c r="H366" s="23"/>
      <c r="I366" s="4"/>
      <c r="J366" s="140"/>
    </row>
    <row r="367" spans="1:10" s="63" customFormat="1">
      <c r="A367" s="65"/>
      <c r="B367" s="64"/>
      <c r="C367" s="64"/>
      <c r="D367" s="173"/>
      <c r="E367" s="173"/>
      <c r="F367" s="173"/>
      <c r="G367" s="175"/>
      <c r="H367" s="23"/>
      <c r="I367" s="4"/>
      <c r="J367" s="140"/>
    </row>
    <row r="368" spans="1:10" s="63" customFormat="1">
      <c r="A368" s="65"/>
      <c r="B368" s="64"/>
      <c r="C368" s="64"/>
      <c r="D368" s="173"/>
      <c r="E368" s="173"/>
      <c r="F368" s="173"/>
      <c r="G368" s="175"/>
      <c r="H368" s="23"/>
      <c r="I368" s="4"/>
      <c r="J368" s="140"/>
    </row>
    <row r="369" spans="1:10" s="63" customFormat="1">
      <c r="A369" s="65"/>
      <c r="B369" s="64"/>
      <c r="C369" s="64"/>
      <c r="D369" s="173"/>
      <c r="E369" s="173"/>
      <c r="F369" s="173"/>
      <c r="G369" s="175"/>
      <c r="H369" s="23"/>
      <c r="I369" s="4"/>
      <c r="J369" s="140"/>
    </row>
    <row r="370" spans="1:10" s="63" customFormat="1">
      <c r="A370" s="65"/>
      <c r="B370" s="64"/>
      <c r="C370" s="64"/>
      <c r="D370" s="173"/>
      <c r="E370" s="173"/>
      <c r="F370" s="173"/>
      <c r="G370" s="175"/>
      <c r="H370" s="23"/>
      <c r="I370" s="4"/>
      <c r="J370" s="140"/>
    </row>
    <row r="371" spans="1:10" s="63" customFormat="1">
      <c r="A371" s="65"/>
      <c r="B371" s="64"/>
      <c r="C371" s="64"/>
      <c r="D371" s="173"/>
      <c r="E371" s="173"/>
      <c r="F371" s="173"/>
      <c r="G371" s="175"/>
      <c r="H371" s="23"/>
      <c r="I371" s="4"/>
      <c r="J371" s="140"/>
    </row>
    <row r="372" spans="1:10" s="63" customFormat="1">
      <c r="A372" s="65"/>
      <c r="B372" s="64"/>
      <c r="C372" s="64"/>
      <c r="D372" s="173"/>
      <c r="E372" s="173"/>
      <c r="F372" s="173"/>
      <c r="G372" s="175"/>
      <c r="H372" s="23"/>
      <c r="I372" s="4"/>
      <c r="J372" s="140"/>
    </row>
    <row r="373" spans="1:10" s="63" customFormat="1">
      <c r="A373" s="65"/>
      <c r="B373" s="64"/>
      <c r="C373" s="64"/>
      <c r="D373" s="173"/>
      <c r="E373" s="173"/>
      <c r="F373" s="173"/>
      <c r="G373" s="175"/>
      <c r="H373" s="23"/>
      <c r="I373" s="4"/>
      <c r="J373" s="140"/>
    </row>
    <row r="374" spans="1:10" s="63" customFormat="1">
      <c r="A374" s="65"/>
      <c r="B374" s="64"/>
      <c r="C374" s="64"/>
      <c r="D374" s="173"/>
      <c r="E374" s="173"/>
      <c r="F374" s="173"/>
      <c r="G374" s="175"/>
      <c r="H374" s="23"/>
      <c r="I374" s="4"/>
      <c r="J374" s="140"/>
    </row>
    <row r="375" spans="1:10" s="63" customFormat="1">
      <c r="A375" s="65"/>
      <c r="B375" s="64"/>
      <c r="C375" s="64"/>
      <c r="D375" s="173"/>
      <c r="E375" s="173"/>
      <c r="F375" s="173"/>
      <c r="G375" s="175"/>
      <c r="H375" s="23"/>
      <c r="I375" s="4"/>
      <c r="J375" s="140"/>
    </row>
    <row r="376" spans="1:10" s="63" customFormat="1">
      <c r="A376" s="65"/>
      <c r="B376" s="64"/>
      <c r="C376" s="64"/>
      <c r="D376" s="173"/>
      <c r="E376" s="173"/>
      <c r="F376" s="173"/>
      <c r="G376" s="175"/>
      <c r="H376" s="23"/>
      <c r="I376" s="4"/>
      <c r="J376" s="140"/>
    </row>
    <row r="377" spans="1:10" s="63" customFormat="1">
      <c r="A377" s="65"/>
      <c r="B377" s="64"/>
      <c r="C377" s="64"/>
      <c r="D377" s="173"/>
      <c r="E377" s="173"/>
      <c r="F377" s="173"/>
      <c r="G377" s="175"/>
      <c r="H377" s="23"/>
      <c r="I377" s="4"/>
      <c r="J377" s="140"/>
    </row>
    <row r="378" spans="1:10" s="63" customFormat="1">
      <c r="A378" s="65"/>
      <c r="B378" s="64"/>
      <c r="C378" s="64"/>
      <c r="D378" s="173"/>
      <c r="E378" s="173"/>
      <c r="F378" s="173"/>
      <c r="G378" s="175"/>
      <c r="H378" s="23"/>
      <c r="I378" s="4"/>
      <c r="J378" s="140"/>
    </row>
    <row r="379" spans="1:10" s="63" customFormat="1">
      <c r="A379" s="65"/>
      <c r="B379" s="64"/>
      <c r="C379" s="64"/>
      <c r="D379" s="173"/>
      <c r="E379" s="173"/>
      <c r="F379" s="173"/>
      <c r="G379" s="175"/>
      <c r="H379" s="23"/>
      <c r="I379" s="4"/>
      <c r="J379" s="140"/>
    </row>
    <row r="380" spans="1:10" s="63" customFormat="1">
      <c r="A380" s="65"/>
      <c r="B380" s="64"/>
      <c r="C380" s="64"/>
      <c r="D380" s="173"/>
      <c r="E380" s="173"/>
      <c r="F380" s="173"/>
      <c r="G380" s="175"/>
      <c r="H380" s="23"/>
      <c r="I380" s="4"/>
      <c r="J380" s="140"/>
    </row>
    <row r="381" spans="1:10" s="63" customFormat="1">
      <c r="A381" s="65"/>
      <c r="B381" s="64"/>
      <c r="C381" s="64"/>
      <c r="D381" s="173"/>
      <c r="E381" s="173"/>
      <c r="F381" s="173"/>
      <c r="G381" s="175"/>
      <c r="H381" s="23"/>
      <c r="I381" s="4"/>
      <c r="J381" s="140"/>
    </row>
    <row r="382" spans="1:10" s="63" customFormat="1">
      <c r="A382" s="65"/>
      <c r="B382" s="64"/>
      <c r="C382" s="64"/>
      <c r="D382" s="173"/>
      <c r="E382" s="173"/>
      <c r="F382" s="173"/>
      <c r="G382" s="175"/>
      <c r="H382" s="23"/>
      <c r="I382" s="4"/>
      <c r="J382" s="140"/>
    </row>
    <row r="383" spans="1:10" s="63" customFormat="1">
      <c r="A383" s="65"/>
      <c r="B383" s="64"/>
      <c r="C383" s="64"/>
      <c r="D383" s="173"/>
      <c r="E383" s="173"/>
      <c r="F383" s="173"/>
      <c r="G383" s="175"/>
      <c r="H383" s="23"/>
      <c r="I383" s="4"/>
      <c r="J383" s="140"/>
    </row>
    <row r="384" spans="1:10" s="63" customFormat="1">
      <c r="A384" s="65"/>
      <c r="B384" s="64"/>
      <c r="C384" s="64"/>
      <c r="D384" s="173"/>
      <c r="E384" s="173"/>
      <c r="F384" s="173"/>
      <c r="G384" s="175"/>
      <c r="H384" s="23"/>
      <c r="I384" s="4"/>
      <c r="J384" s="140"/>
    </row>
    <row r="385" spans="1:10" s="63" customFormat="1">
      <c r="A385" s="65"/>
      <c r="B385" s="64"/>
      <c r="C385" s="64"/>
      <c r="D385" s="173"/>
      <c r="E385" s="173"/>
      <c r="F385" s="173"/>
      <c r="G385" s="175"/>
      <c r="H385" s="23"/>
      <c r="I385" s="4"/>
      <c r="J385" s="140"/>
    </row>
    <row r="386" spans="1:10" s="63" customFormat="1">
      <c r="A386" s="65"/>
      <c r="B386" s="64"/>
      <c r="C386" s="64"/>
      <c r="D386" s="173"/>
      <c r="E386" s="173"/>
      <c r="F386" s="173"/>
      <c r="G386" s="175"/>
      <c r="H386" s="23"/>
      <c r="I386" s="4"/>
      <c r="J386" s="140"/>
    </row>
    <row r="387" spans="1:10" s="63" customFormat="1">
      <c r="A387" s="65"/>
      <c r="B387" s="64"/>
      <c r="C387" s="64"/>
      <c r="D387" s="173"/>
      <c r="E387" s="173"/>
      <c r="F387" s="173"/>
      <c r="G387" s="175"/>
      <c r="H387" s="23"/>
      <c r="I387" s="4"/>
      <c r="J387" s="140"/>
    </row>
    <row r="388" spans="1:10" s="63" customFormat="1">
      <c r="A388" s="65"/>
      <c r="B388" s="64"/>
      <c r="C388" s="64"/>
      <c r="D388" s="173"/>
      <c r="E388" s="173"/>
      <c r="F388" s="173"/>
      <c r="G388" s="175"/>
      <c r="H388" s="23"/>
      <c r="I388" s="4"/>
      <c r="J388" s="140"/>
    </row>
    <row r="389" spans="1:10" s="63" customFormat="1">
      <c r="A389" s="65"/>
      <c r="B389" s="64"/>
      <c r="C389" s="64"/>
      <c r="D389" s="173"/>
      <c r="E389" s="173"/>
      <c r="F389" s="173"/>
      <c r="G389" s="175"/>
      <c r="H389" s="23"/>
      <c r="I389" s="4"/>
      <c r="J389" s="140"/>
    </row>
    <row r="390" spans="1:10" s="63" customFormat="1">
      <c r="A390" s="65"/>
      <c r="B390" s="64"/>
      <c r="C390" s="64"/>
      <c r="D390" s="173"/>
      <c r="E390" s="173"/>
      <c r="F390" s="173"/>
      <c r="G390" s="175"/>
      <c r="H390" s="23"/>
      <c r="I390" s="4"/>
      <c r="J390" s="140"/>
    </row>
    <row r="391" spans="1:10" s="63" customFormat="1">
      <c r="A391" s="65"/>
      <c r="B391" s="64"/>
      <c r="C391" s="64"/>
      <c r="D391" s="173"/>
      <c r="E391" s="173"/>
      <c r="F391" s="173"/>
      <c r="G391" s="175"/>
      <c r="H391" s="23"/>
      <c r="I391" s="4"/>
      <c r="J391" s="140"/>
    </row>
    <row r="392" spans="1:10" s="63" customFormat="1">
      <c r="A392" s="65"/>
      <c r="B392" s="64"/>
      <c r="C392" s="64"/>
      <c r="D392" s="173"/>
      <c r="E392" s="173"/>
      <c r="F392" s="173"/>
      <c r="G392" s="175"/>
      <c r="H392" s="23"/>
      <c r="I392" s="4"/>
      <c r="J392" s="140"/>
    </row>
    <row r="393" spans="1:10" s="63" customFormat="1">
      <c r="A393" s="65"/>
      <c r="B393" s="64"/>
      <c r="C393" s="64"/>
      <c r="D393" s="173"/>
      <c r="E393" s="173"/>
      <c r="F393" s="173"/>
      <c r="G393" s="175"/>
      <c r="H393" s="23"/>
      <c r="I393" s="4"/>
      <c r="J393" s="140"/>
    </row>
    <row r="394" spans="1:10" s="63" customFormat="1">
      <c r="A394" s="65"/>
      <c r="B394" s="64"/>
      <c r="C394" s="64"/>
      <c r="D394" s="173"/>
      <c r="E394" s="173"/>
      <c r="F394" s="173"/>
      <c r="G394" s="175"/>
      <c r="H394" s="23"/>
      <c r="I394" s="4"/>
      <c r="J394" s="140"/>
    </row>
    <row r="395" spans="1:10" s="63" customFormat="1">
      <c r="A395" s="65"/>
      <c r="B395" s="64"/>
      <c r="C395" s="64"/>
      <c r="D395" s="173"/>
      <c r="E395" s="173"/>
      <c r="F395" s="173"/>
      <c r="G395" s="175"/>
      <c r="H395" s="23"/>
      <c r="I395" s="4"/>
      <c r="J395" s="140"/>
    </row>
    <row r="396" spans="1:10" s="63" customFormat="1">
      <c r="A396" s="65"/>
      <c r="B396" s="64"/>
      <c r="C396" s="64"/>
      <c r="D396" s="173"/>
      <c r="E396" s="173"/>
      <c r="F396" s="173"/>
      <c r="G396" s="175"/>
      <c r="H396" s="23"/>
      <c r="I396" s="4"/>
      <c r="J396" s="140"/>
    </row>
    <row r="397" spans="1:10" s="63" customFormat="1">
      <c r="A397" s="65"/>
      <c r="B397" s="64"/>
      <c r="C397" s="64"/>
      <c r="D397" s="173"/>
      <c r="E397" s="173"/>
      <c r="F397" s="173"/>
      <c r="G397" s="175"/>
      <c r="H397" s="23"/>
      <c r="I397" s="4"/>
      <c r="J397" s="140"/>
    </row>
    <row r="398" spans="1:10" s="63" customFormat="1">
      <c r="A398" s="65"/>
      <c r="B398" s="64"/>
      <c r="C398" s="64"/>
      <c r="D398" s="173"/>
      <c r="E398" s="173"/>
      <c r="F398" s="173"/>
      <c r="G398" s="175"/>
      <c r="H398" s="23"/>
      <c r="I398" s="4"/>
      <c r="J398" s="140"/>
    </row>
    <row r="399" spans="1:10" s="63" customFormat="1">
      <c r="A399" s="65"/>
      <c r="B399" s="64"/>
      <c r="C399" s="64"/>
      <c r="D399" s="173"/>
      <c r="E399" s="173"/>
      <c r="F399" s="173"/>
      <c r="G399" s="175"/>
      <c r="H399" s="23"/>
      <c r="I399" s="4"/>
      <c r="J399" s="140"/>
    </row>
    <row r="400" spans="1:10" s="63" customFormat="1">
      <c r="A400" s="65"/>
      <c r="B400" s="64"/>
      <c r="C400" s="64"/>
      <c r="D400" s="173"/>
      <c r="E400" s="173"/>
      <c r="F400" s="173"/>
      <c r="G400" s="175"/>
      <c r="H400" s="23"/>
      <c r="I400" s="4"/>
      <c r="J400" s="140"/>
    </row>
    <row r="401" spans="1:10" s="63" customFormat="1">
      <c r="A401" s="65"/>
      <c r="B401" s="64"/>
      <c r="C401" s="64"/>
      <c r="D401" s="173"/>
      <c r="E401" s="173"/>
      <c r="F401" s="173"/>
      <c r="G401" s="175"/>
      <c r="H401" s="23"/>
      <c r="I401" s="4"/>
      <c r="J401" s="140"/>
    </row>
    <row r="402" spans="1:10" s="63" customFormat="1">
      <c r="A402" s="65"/>
      <c r="B402" s="64"/>
      <c r="C402" s="64"/>
      <c r="D402" s="173"/>
      <c r="E402" s="173"/>
      <c r="F402" s="173"/>
      <c r="G402" s="175"/>
      <c r="H402" s="23"/>
      <c r="I402" s="4"/>
      <c r="J402" s="140"/>
    </row>
    <row r="403" spans="1:10" s="63" customFormat="1">
      <c r="A403" s="65"/>
      <c r="B403" s="64"/>
      <c r="C403" s="64"/>
      <c r="D403" s="173"/>
      <c r="E403" s="173"/>
      <c r="F403" s="173"/>
      <c r="G403" s="175"/>
      <c r="H403" s="23"/>
      <c r="I403" s="4"/>
      <c r="J403" s="140"/>
    </row>
    <row r="404" spans="1:10" s="63" customFormat="1">
      <c r="A404" s="65"/>
      <c r="B404" s="64"/>
      <c r="C404" s="64"/>
      <c r="D404" s="173"/>
      <c r="E404" s="173"/>
      <c r="F404" s="173"/>
      <c r="G404" s="175"/>
      <c r="H404" s="23"/>
      <c r="I404" s="4"/>
      <c r="J404" s="140"/>
    </row>
    <row r="405" spans="1:10" s="63" customFormat="1">
      <c r="A405" s="65"/>
      <c r="B405" s="64"/>
      <c r="C405" s="64"/>
      <c r="D405" s="173"/>
      <c r="E405" s="173"/>
      <c r="F405" s="173"/>
      <c r="G405" s="175"/>
      <c r="H405" s="23"/>
      <c r="I405" s="4"/>
      <c r="J405" s="140"/>
    </row>
    <row r="406" spans="1:10" s="63" customFormat="1">
      <c r="A406" s="65"/>
      <c r="B406" s="64"/>
      <c r="C406" s="64"/>
      <c r="D406" s="173"/>
      <c r="E406" s="173"/>
      <c r="F406" s="173"/>
      <c r="G406" s="175"/>
      <c r="H406" s="23"/>
      <c r="I406" s="4"/>
      <c r="J406" s="140"/>
    </row>
    <row r="407" spans="1:10" s="63" customFormat="1">
      <c r="A407" s="65"/>
      <c r="B407" s="64"/>
      <c r="C407" s="64"/>
      <c r="D407" s="173"/>
      <c r="E407" s="173"/>
      <c r="F407" s="173"/>
      <c r="G407" s="175"/>
      <c r="H407" s="23"/>
      <c r="I407" s="4"/>
      <c r="J407" s="140"/>
    </row>
    <row r="408" spans="1:10" s="63" customFormat="1">
      <c r="A408" s="65"/>
      <c r="B408" s="64"/>
      <c r="C408" s="64"/>
      <c r="D408" s="173"/>
      <c r="E408" s="173"/>
      <c r="F408" s="173"/>
      <c r="G408" s="175"/>
      <c r="H408" s="23"/>
      <c r="I408" s="4"/>
      <c r="J408" s="140"/>
    </row>
    <row r="409" spans="1:10" s="63" customFormat="1">
      <c r="A409" s="65"/>
      <c r="B409" s="64"/>
      <c r="C409" s="64"/>
      <c r="D409" s="173"/>
      <c r="E409" s="173"/>
      <c r="F409" s="173"/>
      <c r="G409" s="175"/>
      <c r="H409" s="23"/>
      <c r="I409" s="4"/>
      <c r="J409" s="140"/>
    </row>
    <row r="410" spans="1:10" s="63" customFormat="1">
      <c r="A410" s="65"/>
      <c r="B410" s="64"/>
      <c r="C410" s="64"/>
      <c r="D410" s="173"/>
      <c r="E410" s="173"/>
      <c r="F410" s="173"/>
      <c r="G410" s="175"/>
      <c r="H410" s="23"/>
      <c r="I410" s="4"/>
      <c r="J410" s="140"/>
    </row>
    <row r="411" spans="1:10" s="63" customFormat="1">
      <c r="A411" s="65"/>
      <c r="B411" s="64"/>
      <c r="C411" s="64"/>
      <c r="D411" s="173"/>
      <c r="E411" s="173"/>
      <c r="F411" s="173"/>
      <c r="G411" s="175"/>
      <c r="H411" s="23"/>
      <c r="I411" s="4"/>
      <c r="J411" s="140"/>
    </row>
    <row r="412" spans="1:10" s="63" customFormat="1">
      <c r="A412" s="65"/>
      <c r="B412" s="64"/>
      <c r="C412" s="64"/>
      <c r="D412" s="173"/>
      <c r="E412" s="173"/>
      <c r="F412" s="173"/>
      <c r="G412" s="175"/>
      <c r="H412" s="23"/>
      <c r="I412" s="4"/>
      <c r="J412" s="140"/>
    </row>
    <row r="413" spans="1:10" s="63" customFormat="1">
      <c r="A413" s="65"/>
      <c r="B413" s="64"/>
      <c r="C413" s="64"/>
      <c r="D413" s="173"/>
      <c r="E413" s="173"/>
      <c r="F413" s="173"/>
      <c r="G413" s="175"/>
      <c r="H413" s="23"/>
      <c r="I413" s="4"/>
      <c r="J413" s="140"/>
    </row>
    <row r="414" spans="1:10" s="63" customFormat="1">
      <c r="A414" s="65"/>
      <c r="B414" s="64"/>
      <c r="C414" s="64"/>
      <c r="D414" s="173"/>
      <c r="E414" s="173"/>
      <c r="F414" s="173"/>
      <c r="G414" s="175"/>
      <c r="H414" s="23"/>
      <c r="I414" s="4"/>
      <c r="J414" s="140"/>
    </row>
    <row r="415" spans="1:10" s="63" customFormat="1">
      <c r="A415" s="65"/>
      <c r="B415" s="64"/>
      <c r="C415" s="64"/>
      <c r="D415" s="173"/>
      <c r="E415" s="173"/>
      <c r="F415" s="173"/>
      <c r="G415" s="175"/>
      <c r="H415" s="23"/>
      <c r="I415" s="4"/>
      <c r="J415" s="140"/>
    </row>
    <row r="416" spans="1:10" s="63" customFormat="1">
      <c r="A416" s="65"/>
      <c r="B416" s="64"/>
      <c r="C416" s="64"/>
      <c r="D416" s="173"/>
      <c r="E416" s="173"/>
      <c r="F416" s="173"/>
      <c r="G416" s="175"/>
      <c r="H416" s="23"/>
      <c r="I416" s="4"/>
      <c r="J416" s="140"/>
    </row>
    <row r="417" spans="1:10" s="63" customFormat="1">
      <c r="A417" s="65"/>
      <c r="B417" s="64"/>
      <c r="C417" s="64"/>
      <c r="D417" s="173"/>
      <c r="E417" s="173"/>
      <c r="F417" s="173"/>
      <c r="G417" s="175"/>
      <c r="H417" s="23"/>
      <c r="I417" s="4"/>
      <c r="J417" s="140"/>
    </row>
    <row r="418" spans="1:10" s="63" customFormat="1">
      <c r="A418" s="65"/>
      <c r="B418" s="64"/>
      <c r="C418" s="64"/>
      <c r="D418" s="173"/>
      <c r="E418" s="173"/>
      <c r="F418" s="173"/>
      <c r="G418" s="175"/>
      <c r="H418" s="23"/>
      <c r="I418" s="4"/>
      <c r="J418" s="140"/>
    </row>
    <row r="419" spans="1:10" s="63" customFormat="1">
      <c r="A419" s="65"/>
      <c r="B419" s="64"/>
      <c r="C419" s="64"/>
      <c r="D419" s="173"/>
      <c r="E419" s="173"/>
      <c r="F419" s="173"/>
      <c r="G419" s="175"/>
      <c r="H419" s="23"/>
      <c r="I419" s="4"/>
      <c r="J419" s="140"/>
    </row>
    <row r="420" spans="1:10" s="63" customFormat="1">
      <c r="A420" s="65"/>
      <c r="B420" s="64"/>
      <c r="C420" s="64"/>
      <c r="D420" s="173"/>
      <c r="E420" s="173"/>
      <c r="F420" s="173"/>
      <c r="G420" s="175"/>
      <c r="H420" s="23"/>
      <c r="I420" s="4"/>
      <c r="J420" s="140"/>
    </row>
    <row r="421" spans="1:10" s="63" customFormat="1">
      <c r="A421" s="65"/>
      <c r="B421" s="64"/>
      <c r="C421" s="64"/>
      <c r="D421" s="173"/>
      <c r="E421" s="173"/>
      <c r="F421" s="173"/>
      <c r="G421" s="175"/>
      <c r="H421" s="23"/>
      <c r="I421" s="4"/>
      <c r="J421" s="140"/>
    </row>
    <row r="422" spans="1:10" s="63" customFormat="1">
      <c r="A422" s="65"/>
      <c r="B422" s="64"/>
      <c r="C422" s="64"/>
      <c r="D422" s="173"/>
      <c r="E422" s="173"/>
      <c r="F422" s="173"/>
      <c r="G422" s="175"/>
      <c r="H422" s="23"/>
      <c r="I422" s="4"/>
      <c r="J422" s="140"/>
    </row>
    <row r="423" spans="1:10" s="63" customFormat="1">
      <c r="A423" s="65"/>
      <c r="B423" s="64"/>
      <c r="C423" s="64"/>
      <c r="D423" s="173"/>
      <c r="E423" s="173"/>
      <c r="F423" s="173"/>
      <c r="G423" s="175"/>
      <c r="H423" s="23"/>
      <c r="I423" s="4"/>
      <c r="J423" s="140"/>
    </row>
    <row r="424" spans="1:10" s="63" customFormat="1">
      <c r="A424" s="65"/>
      <c r="B424" s="64"/>
      <c r="C424" s="64"/>
      <c r="D424" s="173"/>
      <c r="E424" s="173"/>
      <c r="F424" s="173"/>
      <c r="G424" s="175"/>
      <c r="H424" s="23"/>
      <c r="I424" s="4"/>
      <c r="J424" s="140"/>
    </row>
    <row r="425" spans="1:10" s="63" customFormat="1">
      <c r="A425" s="65"/>
      <c r="B425" s="64"/>
      <c r="C425" s="64"/>
      <c r="D425" s="173"/>
      <c r="E425" s="173"/>
      <c r="F425" s="173"/>
      <c r="G425" s="175"/>
      <c r="H425" s="23"/>
      <c r="I425" s="4"/>
      <c r="J425" s="140"/>
    </row>
    <row r="426" spans="1:10" s="63" customFormat="1">
      <c r="A426" s="65"/>
      <c r="B426" s="64"/>
      <c r="C426" s="64"/>
      <c r="D426" s="173"/>
      <c r="E426" s="173"/>
      <c r="F426" s="173"/>
      <c r="G426" s="175"/>
      <c r="H426" s="23"/>
      <c r="I426" s="4"/>
      <c r="J426" s="140"/>
    </row>
    <row r="427" spans="1:10" s="63" customFormat="1">
      <c r="A427" s="65"/>
      <c r="B427" s="64"/>
      <c r="C427" s="64"/>
      <c r="D427" s="173"/>
      <c r="E427" s="173"/>
      <c r="F427" s="173"/>
      <c r="G427" s="175"/>
      <c r="H427" s="23"/>
      <c r="I427" s="4"/>
      <c r="J427" s="140"/>
    </row>
    <row r="428" spans="1:10" s="63" customFormat="1">
      <c r="A428" s="65"/>
      <c r="B428" s="64"/>
      <c r="C428" s="64"/>
      <c r="D428" s="173"/>
      <c r="E428" s="173"/>
      <c r="F428" s="173"/>
      <c r="G428" s="175"/>
      <c r="H428" s="23"/>
      <c r="I428" s="4"/>
      <c r="J428" s="140"/>
    </row>
    <row r="429" spans="1:10" s="63" customFormat="1">
      <c r="A429" s="65"/>
      <c r="B429" s="64"/>
      <c r="C429" s="64"/>
      <c r="D429" s="173"/>
      <c r="E429" s="173"/>
      <c r="F429" s="173"/>
      <c r="G429" s="175"/>
      <c r="H429" s="23"/>
      <c r="I429" s="4"/>
      <c r="J429" s="140"/>
    </row>
    <row r="430" spans="1:10" s="63" customFormat="1">
      <c r="A430" s="65"/>
      <c r="B430" s="64"/>
      <c r="C430" s="64"/>
      <c r="D430" s="173"/>
      <c r="E430" s="173"/>
      <c r="F430" s="173"/>
      <c r="G430" s="175"/>
      <c r="H430" s="23"/>
      <c r="I430" s="4"/>
      <c r="J430" s="140"/>
    </row>
    <row r="431" spans="1:10" s="63" customFormat="1">
      <c r="A431" s="65"/>
      <c r="B431" s="64"/>
      <c r="C431" s="64"/>
      <c r="D431" s="173"/>
      <c r="E431" s="173"/>
      <c r="F431" s="173"/>
      <c r="G431" s="175"/>
      <c r="H431" s="23"/>
      <c r="I431" s="4"/>
      <c r="J431" s="140"/>
    </row>
    <row r="432" spans="1:10" s="63" customFormat="1">
      <c r="A432" s="65"/>
      <c r="B432" s="64"/>
      <c r="C432" s="64"/>
      <c r="D432" s="173"/>
      <c r="E432" s="173"/>
      <c r="F432" s="173"/>
      <c r="G432" s="175"/>
      <c r="H432" s="23"/>
      <c r="I432" s="4"/>
      <c r="J432" s="140"/>
    </row>
    <row r="433" spans="1:10" s="63" customFormat="1">
      <c r="A433" s="65"/>
      <c r="B433" s="64"/>
      <c r="C433" s="64"/>
      <c r="D433" s="173"/>
      <c r="E433" s="173"/>
      <c r="F433" s="173"/>
      <c r="G433" s="175"/>
      <c r="H433" s="23"/>
      <c r="I433" s="4"/>
      <c r="J433" s="140"/>
    </row>
    <row r="434" spans="1:10" s="63" customFormat="1">
      <c r="A434" s="65"/>
      <c r="B434" s="64"/>
      <c r="C434" s="64"/>
      <c r="D434" s="173"/>
      <c r="E434" s="173"/>
      <c r="F434" s="173"/>
      <c r="G434" s="175"/>
      <c r="H434" s="23"/>
      <c r="I434" s="4"/>
      <c r="J434" s="140"/>
    </row>
    <row r="435" spans="1:10" s="63" customFormat="1">
      <c r="A435" s="65"/>
      <c r="B435" s="64"/>
      <c r="C435" s="64"/>
      <c r="D435" s="173"/>
      <c r="E435" s="173"/>
      <c r="F435" s="173"/>
      <c r="G435" s="175"/>
      <c r="H435" s="23"/>
      <c r="I435" s="4"/>
      <c r="J435" s="140"/>
    </row>
    <row r="436" spans="1:10" s="63" customFormat="1">
      <c r="A436" s="65"/>
      <c r="B436" s="64"/>
      <c r="C436" s="64"/>
      <c r="D436" s="173"/>
      <c r="E436" s="173"/>
      <c r="F436" s="173"/>
      <c r="G436" s="175"/>
      <c r="H436" s="23"/>
      <c r="I436" s="4"/>
      <c r="J436" s="140"/>
    </row>
    <row r="437" spans="1:10" s="63" customFormat="1">
      <c r="A437" s="65"/>
      <c r="B437" s="64"/>
      <c r="C437" s="64"/>
      <c r="D437" s="173"/>
      <c r="E437" s="173"/>
      <c r="F437" s="173"/>
      <c r="G437" s="175"/>
      <c r="H437" s="23"/>
      <c r="I437" s="4"/>
      <c r="J437" s="140"/>
    </row>
    <row r="438" spans="1:10" s="63" customFormat="1">
      <c r="A438" s="65"/>
      <c r="B438" s="64"/>
      <c r="C438" s="64"/>
      <c r="D438" s="173"/>
      <c r="E438" s="173"/>
      <c r="F438" s="173"/>
      <c r="G438" s="175"/>
      <c r="H438" s="23"/>
      <c r="I438" s="4"/>
      <c r="J438" s="140"/>
    </row>
    <row r="439" spans="1:10" s="63" customFormat="1">
      <c r="A439" s="65"/>
      <c r="B439" s="64"/>
      <c r="C439" s="64"/>
      <c r="D439" s="173"/>
      <c r="E439" s="173"/>
      <c r="F439" s="173"/>
      <c r="G439" s="175"/>
      <c r="H439" s="23"/>
      <c r="I439" s="4"/>
      <c r="J439" s="140"/>
    </row>
    <row r="440" spans="1:10" s="63" customFormat="1">
      <c r="A440" s="65"/>
      <c r="B440" s="64"/>
      <c r="C440" s="64"/>
      <c r="D440" s="173"/>
      <c r="E440" s="173"/>
      <c r="F440" s="173"/>
      <c r="G440" s="175"/>
      <c r="H440" s="23"/>
      <c r="I440" s="4"/>
      <c r="J440" s="140"/>
    </row>
    <row r="441" spans="1:10" s="63" customFormat="1">
      <c r="A441" s="65"/>
      <c r="B441" s="64"/>
      <c r="C441" s="64"/>
      <c r="D441" s="173"/>
      <c r="E441" s="173"/>
      <c r="F441" s="173"/>
      <c r="G441" s="175"/>
      <c r="H441" s="23"/>
      <c r="I441" s="4"/>
      <c r="J441" s="140"/>
    </row>
    <row r="442" spans="1:10" s="63" customFormat="1">
      <c r="A442" s="65"/>
      <c r="B442" s="64"/>
      <c r="C442" s="64"/>
      <c r="D442" s="173"/>
      <c r="E442" s="173"/>
      <c r="F442" s="173"/>
      <c r="G442" s="175"/>
      <c r="H442" s="23"/>
      <c r="I442" s="4"/>
      <c r="J442" s="140"/>
    </row>
    <row r="443" spans="1:10" s="63" customFormat="1">
      <c r="A443" s="65"/>
      <c r="B443" s="64"/>
      <c r="C443" s="64"/>
      <c r="D443" s="173"/>
      <c r="E443" s="173"/>
      <c r="F443" s="173"/>
      <c r="G443" s="175"/>
      <c r="H443" s="23"/>
      <c r="I443" s="4"/>
      <c r="J443" s="140"/>
    </row>
    <row r="444" spans="1:10" s="63" customFormat="1">
      <c r="A444" s="65"/>
      <c r="B444" s="64"/>
      <c r="C444" s="64"/>
      <c r="D444" s="173"/>
      <c r="E444" s="173"/>
      <c r="F444" s="173"/>
      <c r="G444" s="175"/>
      <c r="H444" s="23"/>
      <c r="I444" s="4"/>
      <c r="J444" s="140"/>
    </row>
    <row r="445" spans="1:10" s="63" customFormat="1">
      <c r="A445" s="65"/>
      <c r="B445" s="64"/>
      <c r="C445" s="64"/>
      <c r="D445" s="173"/>
      <c r="E445" s="173"/>
      <c r="F445" s="173"/>
      <c r="G445" s="175"/>
      <c r="H445" s="23"/>
      <c r="I445" s="4"/>
      <c r="J445" s="140"/>
    </row>
    <row r="446" spans="1:10" s="63" customFormat="1">
      <c r="A446" s="65"/>
      <c r="B446" s="64"/>
      <c r="C446" s="64"/>
      <c r="D446" s="173"/>
      <c r="E446" s="173"/>
      <c r="F446" s="173"/>
      <c r="G446" s="175"/>
      <c r="H446" s="23"/>
      <c r="I446" s="4"/>
      <c r="J446" s="140"/>
    </row>
    <row r="447" spans="1:10" s="63" customFormat="1">
      <c r="A447" s="65"/>
      <c r="B447" s="64"/>
      <c r="C447" s="64"/>
      <c r="D447" s="173"/>
      <c r="E447" s="173"/>
      <c r="F447" s="173"/>
      <c r="G447" s="175"/>
      <c r="H447" s="23"/>
      <c r="I447" s="4"/>
      <c r="J447" s="140"/>
    </row>
    <row r="448" spans="1:10" s="63" customFormat="1">
      <c r="A448" s="65"/>
      <c r="B448" s="64"/>
      <c r="C448" s="64"/>
      <c r="D448" s="173"/>
      <c r="E448" s="173"/>
      <c r="F448" s="173"/>
      <c r="G448" s="175"/>
      <c r="H448" s="23"/>
      <c r="I448" s="4"/>
      <c r="J448" s="140"/>
    </row>
    <row r="449" spans="1:10" s="63" customFormat="1">
      <c r="A449" s="65"/>
      <c r="B449" s="64"/>
      <c r="C449" s="64"/>
      <c r="D449" s="173"/>
      <c r="E449" s="173"/>
      <c r="F449" s="173"/>
      <c r="G449" s="175"/>
      <c r="H449" s="23"/>
      <c r="I449" s="4"/>
      <c r="J449" s="140"/>
    </row>
    <row r="450" spans="1:10" s="63" customFormat="1">
      <c r="A450" s="65"/>
      <c r="B450" s="64"/>
      <c r="C450" s="64"/>
      <c r="D450" s="173"/>
      <c r="E450" s="173"/>
      <c r="F450" s="173"/>
      <c r="G450" s="175"/>
      <c r="H450" s="23"/>
      <c r="I450" s="4"/>
      <c r="J450" s="140"/>
    </row>
    <row r="451" spans="1:10" s="63" customFormat="1">
      <c r="A451" s="65"/>
      <c r="B451" s="64"/>
      <c r="C451" s="64"/>
      <c r="D451" s="173"/>
      <c r="E451" s="173"/>
      <c r="F451" s="173"/>
      <c r="G451" s="175"/>
      <c r="H451" s="23"/>
      <c r="I451" s="4"/>
      <c r="J451" s="140"/>
    </row>
    <row r="452" spans="1:10" s="63" customFormat="1">
      <c r="A452" s="65"/>
      <c r="B452" s="64"/>
      <c r="C452" s="64"/>
      <c r="D452" s="173"/>
      <c r="E452" s="173"/>
      <c r="F452" s="173"/>
      <c r="G452" s="175"/>
      <c r="H452" s="23"/>
      <c r="I452" s="4"/>
      <c r="J452" s="140"/>
    </row>
    <row r="453" spans="1:10" s="63" customFormat="1">
      <c r="A453" s="65"/>
      <c r="B453" s="64"/>
      <c r="C453" s="64"/>
      <c r="D453" s="173"/>
      <c r="E453" s="173"/>
      <c r="F453" s="173"/>
      <c r="G453" s="175"/>
      <c r="H453" s="23"/>
      <c r="I453" s="4"/>
      <c r="J453" s="140"/>
    </row>
    <row r="454" spans="1:10" s="63" customFormat="1">
      <c r="A454" s="65"/>
      <c r="B454" s="64"/>
      <c r="C454" s="64"/>
      <c r="D454" s="173"/>
      <c r="E454" s="173"/>
      <c r="F454" s="173"/>
      <c r="G454" s="175"/>
      <c r="H454" s="23"/>
      <c r="I454" s="4"/>
      <c r="J454" s="140"/>
    </row>
    <row r="455" spans="1:10" s="63" customFormat="1">
      <c r="A455" s="65"/>
      <c r="B455" s="64"/>
      <c r="C455" s="64"/>
      <c r="D455" s="173"/>
      <c r="E455" s="173"/>
      <c r="F455" s="173"/>
      <c r="G455" s="175"/>
      <c r="H455" s="23"/>
      <c r="I455" s="4"/>
      <c r="J455" s="140"/>
    </row>
    <row r="456" spans="1:10" s="63" customFormat="1">
      <c r="A456" s="65"/>
      <c r="B456" s="64"/>
      <c r="C456" s="64"/>
      <c r="D456" s="173"/>
      <c r="E456" s="173"/>
      <c r="F456" s="173"/>
      <c r="G456" s="175"/>
      <c r="H456" s="23"/>
      <c r="I456" s="4"/>
      <c r="J456" s="140"/>
    </row>
    <row r="457" spans="1:10" s="63" customFormat="1">
      <c r="A457" s="65"/>
      <c r="B457" s="64"/>
      <c r="C457" s="64"/>
      <c r="D457" s="173"/>
      <c r="E457" s="173"/>
      <c r="F457" s="173"/>
      <c r="G457" s="175"/>
      <c r="H457" s="23"/>
      <c r="I457" s="4"/>
      <c r="J457" s="140"/>
    </row>
    <row r="458" spans="1:10" s="63" customFormat="1">
      <c r="A458" s="65"/>
      <c r="B458" s="64"/>
      <c r="C458" s="64"/>
      <c r="D458" s="173"/>
      <c r="E458" s="173"/>
      <c r="F458" s="173"/>
      <c r="G458" s="175"/>
      <c r="H458" s="23"/>
      <c r="I458" s="4"/>
      <c r="J458" s="140"/>
    </row>
    <row r="459" spans="1:10" s="63" customFormat="1">
      <c r="A459" s="65"/>
      <c r="B459" s="64"/>
      <c r="C459" s="64"/>
      <c r="D459" s="173"/>
      <c r="E459" s="173"/>
      <c r="F459" s="173"/>
      <c r="G459" s="175"/>
      <c r="H459" s="23"/>
      <c r="I459" s="4"/>
      <c r="J459" s="140"/>
    </row>
    <row r="460" spans="1:10" s="63" customFormat="1">
      <c r="A460" s="65"/>
      <c r="B460" s="64"/>
      <c r="C460" s="64"/>
      <c r="D460" s="173"/>
      <c r="E460" s="173"/>
      <c r="F460" s="173"/>
      <c r="G460" s="175"/>
      <c r="H460" s="23"/>
      <c r="I460" s="4"/>
      <c r="J460" s="140"/>
    </row>
    <row r="461" spans="1:10" s="63" customFormat="1">
      <c r="A461" s="65"/>
      <c r="B461" s="64"/>
      <c r="C461" s="64"/>
      <c r="D461" s="173"/>
      <c r="E461" s="173"/>
      <c r="F461" s="173"/>
      <c r="G461" s="175"/>
      <c r="H461" s="23"/>
      <c r="I461" s="4"/>
      <c r="J461" s="140"/>
    </row>
    <row r="462" spans="1:10" s="63" customFormat="1">
      <c r="A462" s="65"/>
      <c r="B462" s="64"/>
      <c r="C462" s="64"/>
      <c r="D462" s="173"/>
      <c r="E462" s="173"/>
      <c r="F462" s="173"/>
      <c r="G462" s="175"/>
      <c r="H462" s="23"/>
      <c r="I462" s="4"/>
      <c r="J462" s="140"/>
    </row>
    <row r="463" spans="1:10" s="63" customFormat="1">
      <c r="A463" s="65"/>
      <c r="B463" s="64"/>
      <c r="C463" s="64"/>
      <c r="D463" s="173"/>
      <c r="E463" s="173"/>
      <c r="F463" s="173"/>
      <c r="G463" s="175"/>
      <c r="H463" s="23"/>
      <c r="I463" s="4"/>
      <c r="J463" s="140"/>
    </row>
    <row r="464" spans="1:10" s="63" customFormat="1">
      <c r="A464" s="65"/>
      <c r="B464" s="64"/>
      <c r="C464" s="64"/>
      <c r="D464" s="173"/>
      <c r="E464" s="173"/>
      <c r="F464" s="173"/>
      <c r="G464" s="175"/>
      <c r="H464" s="23"/>
      <c r="I464" s="4"/>
      <c r="J464" s="140"/>
    </row>
    <row r="465" spans="1:10" s="63" customFormat="1">
      <c r="A465" s="65"/>
      <c r="B465" s="64"/>
      <c r="C465" s="64"/>
      <c r="D465" s="173"/>
      <c r="E465" s="173"/>
      <c r="F465" s="173"/>
      <c r="G465" s="175"/>
      <c r="H465" s="23"/>
      <c r="I465" s="4"/>
      <c r="J465" s="140"/>
    </row>
    <row r="466" spans="1:10" s="63" customFormat="1">
      <c r="A466" s="65"/>
      <c r="B466" s="64"/>
      <c r="C466" s="64"/>
      <c r="D466" s="173"/>
      <c r="E466" s="173"/>
      <c r="F466" s="173"/>
      <c r="G466" s="175"/>
      <c r="H466" s="23"/>
      <c r="I466" s="4"/>
      <c r="J466" s="140"/>
    </row>
    <row r="467" spans="1:10" s="63" customFormat="1">
      <c r="A467" s="65"/>
      <c r="B467" s="64"/>
      <c r="C467" s="64"/>
      <c r="D467" s="173"/>
      <c r="E467" s="173"/>
      <c r="F467" s="173"/>
      <c r="G467" s="175"/>
      <c r="H467" s="23"/>
      <c r="I467" s="4"/>
      <c r="J467" s="140"/>
    </row>
    <row r="468" spans="1:10" s="63" customFormat="1">
      <c r="A468" s="65"/>
      <c r="B468" s="64"/>
      <c r="C468" s="64"/>
      <c r="D468" s="173"/>
      <c r="E468" s="173"/>
      <c r="F468" s="173"/>
      <c r="G468" s="175"/>
      <c r="H468" s="23"/>
      <c r="I468" s="4"/>
      <c r="J468" s="140"/>
    </row>
    <row r="469" spans="1:10" s="63" customFormat="1">
      <c r="A469" s="65"/>
      <c r="B469" s="64"/>
      <c r="C469" s="64"/>
      <c r="D469" s="173"/>
      <c r="E469" s="173"/>
      <c r="F469" s="173"/>
      <c r="G469" s="175"/>
      <c r="H469" s="23"/>
      <c r="I469" s="4"/>
      <c r="J469" s="140"/>
    </row>
    <row r="470" spans="1:10" s="63" customFormat="1">
      <c r="A470" s="65"/>
      <c r="B470" s="64"/>
      <c r="C470" s="64"/>
      <c r="D470" s="173"/>
      <c r="E470" s="173"/>
      <c r="F470" s="173"/>
      <c r="G470" s="175"/>
      <c r="H470" s="23"/>
      <c r="I470" s="4"/>
      <c r="J470" s="140"/>
    </row>
    <row r="471" spans="1:10" s="63" customFormat="1">
      <c r="A471" s="65"/>
      <c r="B471" s="64"/>
      <c r="C471" s="64"/>
      <c r="D471" s="173"/>
      <c r="E471" s="173"/>
      <c r="F471" s="173"/>
      <c r="G471" s="175"/>
      <c r="H471" s="23"/>
      <c r="I471" s="4"/>
      <c r="J471" s="140"/>
    </row>
    <row r="472" spans="1:10" s="63" customFormat="1">
      <c r="A472" s="65"/>
      <c r="B472" s="64"/>
      <c r="C472" s="64"/>
      <c r="D472" s="173"/>
      <c r="E472" s="173"/>
      <c r="F472" s="173"/>
      <c r="G472" s="175"/>
      <c r="H472" s="23"/>
      <c r="I472" s="4"/>
      <c r="J472" s="140"/>
    </row>
    <row r="473" spans="1:10" s="63" customFormat="1">
      <c r="A473" s="65"/>
      <c r="B473" s="64"/>
      <c r="C473" s="64"/>
      <c r="D473" s="173"/>
      <c r="E473" s="173"/>
      <c r="F473" s="173"/>
      <c r="G473" s="175"/>
      <c r="H473" s="23"/>
      <c r="I473" s="4"/>
      <c r="J473" s="140"/>
    </row>
    <row r="474" spans="1:10" s="63" customFormat="1">
      <c r="A474" s="65"/>
      <c r="B474" s="64"/>
      <c r="C474" s="64"/>
      <c r="D474" s="173"/>
      <c r="E474" s="173"/>
      <c r="F474" s="173"/>
      <c r="G474" s="175"/>
      <c r="H474" s="23"/>
      <c r="I474" s="4"/>
      <c r="J474" s="140"/>
    </row>
    <row r="475" spans="1:10" s="63" customFormat="1">
      <c r="A475" s="65"/>
      <c r="B475" s="64"/>
      <c r="C475" s="64"/>
      <c r="D475" s="173"/>
      <c r="E475" s="173"/>
      <c r="F475" s="173"/>
      <c r="G475" s="175"/>
      <c r="H475" s="23"/>
      <c r="I475" s="4"/>
      <c r="J475" s="140"/>
    </row>
    <row r="476" spans="1:10" s="63" customFormat="1">
      <c r="A476" s="65"/>
      <c r="B476" s="64"/>
      <c r="C476" s="64"/>
      <c r="D476" s="173"/>
      <c r="E476" s="173"/>
      <c r="F476" s="173"/>
      <c r="G476" s="175"/>
      <c r="H476" s="23"/>
      <c r="I476" s="4"/>
      <c r="J476" s="140"/>
    </row>
    <row r="477" spans="1:10" s="63" customFormat="1">
      <c r="A477" s="65"/>
      <c r="B477" s="64"/>
      <c r="C477" s="64"/>
      <c r="D477" s="173"/>
      <c r="E477" s="173"/>
      <c r="F477" s="173"/>
      <c r="G477" s="175"/>
      <c r="H477" s="23"/>
      <c r="I477" s="4"/>
      <c r="J477" s="140"/>
    </row>
    <row r="478" spans="1:10" s="63" customFormat="1">
      <c r="A478" s="65"/>
      <c r="B478" s="64"/>
      <c r="C478" s="64"/>
      <c r="D478" s="173"/>
      <c r="E478" s="173"/>
      <c r="F478" s="173"/>
      <c r="G478" s="175"/>
      <c r="H478" s="23"/>
      <c r="I478" s="4"/>
      <c r="J478" s="140"/>
    </row>
    <row r="479" spans="1:10" s="63" customFormat="1">
      <c r="A479" s="65"/>
      <c r="B479" s="64"/>
      <c r="C479" s="64"/>
      <c r="D479" s="173"/>
      <c r="E479" s="173"/>
      <c r="F479" s="173"/>
      <c r="G479" s="175"/>
      <c r="H479" s="23"/>
      <c r="I479" s="4"/>
      <c r="J479" s="140"/>
    </row>
    <row r="480" spans="1:10" s="63" customFormat="1">
      <c r="A480" s="65"/>
      <c r="B480" s="64"/>
      <c r="C480" s="64"/>
      <c r="D480" s="173"/>
      <c r="E480" s="173"/>
      <c r="F480" s="173"/>
      <c r="G480" s="175"/>
      <c r="H480" s="23"/>
      <c r="I480" s="4"/>
      <c r="J480" s="140"/>
    </row>
    <row r="481" spans="1:10" s="63" customFormat="1">
      <c r="A481" s="65"/>
      <c r="B481" s="64"/>
      <c r="C481" s="64"/>
      <c r="D481" s="173"/>
      <c r="E481" s="173"/>
      <c r="F481" s="173"/>
      <c r="G481" s="175"/>
      <c r="H481" s="23"/>
      <c r="I481" s="4"/>
      <c r="J481" s="140"/>
    </row>
    <row r="482" spans="1:10" s="63" customFormat="1">
      <c r="A482" s="65"/>
      <c r="B482" s="64"/>
      <c r="C482" s="64"/>
      <c r="D482" s="173"/>
      <c r="E482" s="173"/>
      <c r="F482" s="173"/>
      <c r="G482" s="175"/>
      <c r="H482" s="23"/>
      <c r="I482" s="4"/>
      <c r="J482" s="140"/>
    </row>
    <row r="483" spans="1:10" s="63" customFormat="1">
      <c r="A483" s="65"/>
      <c r="B483" s="64"/>
      <c r="C483" s="64"/>
      <c r="D483" s="173"/>
      <c r="E483" s="173"/>
      <c r="F483" s="173"/>
      <c r="G483" s="175"/>
      <c r="H483" s="23"/>
      <c r="I483" s="4"/>
      <c r="J483" s="140"/>
    </row>
    <row r="484" spans="1:10" s="63" customFormat="1">
      <c r="A484" s="65"/>
      <c r="B484" s="64"/>
      <c r="C484" s="64"/>
      <c r="D484" s="173"/>
      <c r="E484" s="173"/>
      <c r="F484" s="173"/>
      <c r="G484" s="175"/>
      <c r="H484" s="23"/>
      <c r="I484" s="4"/>
      <c r="J484" s="140"/>
    </row>
    <row r="485" spans="1:10" s="63" customFormat="1">
      <c r="A485" s="65"/>
      <c r="B485" s="64"/>
      <c r="C485" s="64"/>
      <c r="D485" s="173"/>
      <c r="E485" s="173"/>
      <c r="F485" s="173"/>
      <c r="G485" s="175"/>
      <c r="H485" s="23"/>
      <c r="I485" s="4"/>
      <c r="J485" s="140"/>
    </row>
    <row r="486" spans="1:10" s="63" customFormat="1">
      <c r="A486" s="65"/>
      <c r="B486" s="64"/>
      <c r="C486" s="64"/>
      <c r="D486" s="173"/>
      <c r="E486" s="173"/>
      <c r="F486" s="173"/>
      <c r="G486" s="175"/>
      <c r="H486" s="23"/>
      <c r="I486" s="4"/>
      <c r="J486" s="140"/>
    </row>
    <row r="487" spans="1:10" s="63" customFormat="1">
      <c r="A487" s="65"/>
      <c r="B487" s="64"/>
      <c r="C487" s="64"/>
      <c r="D487" s="173"/>
      <c r="E487" s="173"/>
      <c r="F487" s="173"/>
      <c r="G487" s="175"/>
      <c r="H487" s="23"/>
      <c r="I487" s="4"/>
      <c r="J487" s="140"/>
    </row>
    <row r="488" spans="1:10" s="63" customFormat="1">
      <c r="A488" s="65"/>
      <c r="B488" s="64"/>
      <c r="C488" s="64"/>
      <c r="D488" s="173"/>
      <c r="E488" s="173"/>
      <c r="F488" s="173"/>
      <c r="G488" s="175"/>
      <c r="H488" s="23"/>
      <c r="I488" s="4"/>
      <c r="J488" s="140"/>
    </row>
    <row r="489" spans="1:10" s="63" customFormat="1">
      <c r="A489" s="65"/>
      <c r="B489" s="64"/>
      <c r="C489" s="64"/>
      <c r="D489" s="173"/>
      <c r="E489" s="173"/>
      <c r="F489" s="173"/>
      <c r="G489" s="175"/>
      <c r="H489" s="23"/>
      <c r="I489" s="4"/>
      <c r="J489" s="140"/>
    </row>
    <row r="490" spans="1:10" s="63" customFormat="1">
      <c r="A490" s="65"/>
      <c r="B490" s="64"/>
      <c r="C490" s="64"/>
      <c r="D490" s="173"/>
      <c r="E490" s="173"/>
      <c r="F490" s="173"/>
      <c r="G490" s="175"/>
      <c r="H490" s="23"/>
      <c r="I490" s="4"/>
      <c r="J490" s="140"/>
    </row>
    <row r="491" spans="1:10" s="63" customFormat="1">
      <c r="A491" s="65"/>
      <c r="B491" s="64"/>
      <c r="C491" s="64"/>
      <c r="D491" s="173"/>
      <c r="E491" s="173"/>
      <c r="F491" s="173"/>
      <c r="G491" s="175"/>
      <c r="H491" s="23"/>
      <c r="I491" s="4"/>
      <c r="J491" s="140"/>
    </row>
    <row r="492" spans="1:10" s="63" customFormat="1">
      <c r="A492" s="65"/>
      <c r="B492" s="64"/>
      <c r="C492" s="64"/>
      <c r="D492" s="173"/>
      <c r="E492" s="173"/>
      <c r="F492" s="173"/>
      <c r="G492" s="175"/>
      <c r="H492" s="23"/>
      <c r="I492" s="4"/>
      <c r="J492" s="140"/>
    </row>
    <row r="493" spans="1:10" s="63" customFormat="1">
      <c r="A493" s="65"/>
      <c r="B493" s="64"/>
      <c r="C493" s="64"/>
      <c r="D493" s="173"/>
      <c r="E493" s="173"/>
      <c r="F493" s="173"/>
      <c r="G493" s="175"/>
      <c r="H493" s="23"/>
      <c r="I493" s="4"/>
      <c r="J493" s="140"/>
    </row>
    <row r="494" spans="1:10" s="63" customFormat="1">
      <c r="A494" s="65"/>
      <c r="B494" s="64"/>
      <c r="C494" s="64"/>
      <c r="D494" s="173"/>
      <c r="E494" s="173"/>
      <c r="F494" s="173"/>
      <c r="G494" s="175"/>
      <c r="H494" s="23"/>
      <c r="I494" s="4"/>
      <c r="J494" s="140"/>
    </row>
    <row r="495" spans="1:10" s="63" customFormat="1">
      <c r="A495" s="65"/>
      <c r="B495" s="64"/>
      <c r="C495" s="64"/>
      <c r="D495" s="173"/>
      <c r="E495" s="173"/>
      <c r="F495" s="173"/>
      <c r="G495" s="175"/>
      <c r="H495" s="23"/>
      <c r="I495" s="4"/>
      <c r="J495" s="140"/>
    </row>
    <row r="496" spans="1:10" s="63" customFormat="1">
      <c r="A496" s="65"/>
      <c r="B496" s="64"/>
      <c r="C496" s="64"/>
      <c r="D496" s="173"/>
      <c r="E496" s="173"/>
      <c r="F496" s="173"/>
      <c r="G496" s="175"/>
      <c r="H496" s="23"/>
      <c r="I496" s="4"/>
      <c r="J496" s="140"/>
    </row>
    <row r="497" spans="1:10" s="63" customFormat="1">
      <c r="A497" s="65"/>
      <c r="B497" s="64"/>
      <c r="C497" s="64"/>
      <c r="D497" s="173"/>
      <c r="E497" s="173"/>
      <c r="F497" s="173"/>
      <c r="G497" s="175"/>
      <c r="H497" s="23"/>
      <c r="I497" s="4"/>
      <c r="J497" s="140"/>
    </row>
    <row r="498" spans="1:10" s="63" customFormat="1">
      <c r="A498" s="65"/>
      <c r="B498" s="64"/>
      <c r="C498" s="64"/>
      <c r="D498" s="173"/>
      <c r="E498" s="173"/>
      <c r="F498" s="173"/>
      <c r="G498" s="175"/>
      <c r="H498" s="23"/>
      <c r="I498" s="4"/>
      <c r="J498" s="140"/>
    </row>
    <row r="499" spans="1:10" s="63" customFormat="1">
      <c r="A499" s="65"/>
      <c r="B499" s="64"/>
      <c r="C499" s="64"/>
      <c r="D499" s="173"/>
      <c r="E499" s="173"/>
      <c r="F499" s="173"/>
      <c r="G499" s="175"/>
      <c r="H499" s="23"/>
      <c r="I499" s="4"/>
      <c r="J499" s="140"/>
    </row>
    <row r="500" spans="1:10" s="63" customFormat="1">
      <c r="A500" s="65"/>
      <c r="B500" s="64"/>
      <c r="C500" s="64"/>
      <c r="D500" s="173"/>
      <c r="E500" s="173"/>
      <c r="F500" s="173"/>
      <c r="G500" s="175"/>
      <c r="H500" s="23"/>
      <c r="I500" s="4"/>
      <c r="J500" s="140"/>
    </row>
    <row r="501" spans="1:10" s="63" customFormat="1">
      <c r="A501" s="65"/>
      <c r="B501" s="64"/>
      <c r="C501" s="64"/>
      <c r="D501" s="173"/>
      <c r="E501" s="173"/>
      <c r="F501" s="173"/>
      <c r="G501" s="175"/>
      <c r="H501" s="23"/>
      <c r="I501" s="4"/>
      <c r="J501" s="140"/>
    </row>
    <row r="502" spans="1:10" s="63" customFormat="1">
      <c r="A502" s="65"/>
      <c r="B502" s="64"/>
      <c r="C502" s="64"/>
      <c r="D502" s="173"/>
      <c r="E502" s="173"/>
      <c r="F502" s="173"/>
      <c r="G502" s="175"/>
      <c r="H502" s="23"/>
      <c r="I502" s="4"/>
      <c r="J502" s="140"/>
    </row>
    <row r="503" spans="1:10" s="63" customFormat="1">
      <c r="A503" s="65"/>
      <c r="B503" s="64"/>
      <c r="C503" s="64"/>
      <c r="D503" s="173"/>
      <c r="E503" s="173"/>
      <c r="F503" s="173"/>
      <c r="G503" s="175"/>
      <c r="H503" s="23"/>
      <c r="I503" s="4"/>
      <c r="J503" s="140"/>
    </row>
    <row r="504" spans="1:10" s="63" customFormat="1">
      <c r="A504" s="65"/>
      <c r="B504" s="64"/>
      <c r="C504" s="64"/>
      <c r="D504" s="173"/>
      <c r="E504" s="173"/>
      <c r="F504" s="173"/>
      <c r="G504" s="175"/>
      <c r="H504" s="23"/>
      <c r="I504" s="4"/>
      <c r="J504" s="140"/>
    </row>
    <row r="505" spans="1:10" s="63" customFormat="1">
      <c r="A505" s="65"/>
      <c r="B505" s="64"/>
      <c r="C505" s="64"/>
      <c r="D505" s="173"/>
      <c r="E505" s="173"/>
      <c r="F505" s="173"/>
      <c r="G505" s="175"/>
      <c r="H505" s="23"/>
      <c r="I505" s="4"/>
      <c r="J505" s="140"/>
    </row>
    <row r="506" spans="1:10" s="63" customFormat="1">
      <c r="A506" s="65"/>
      <c r="B506" s="64"/>
      <c r="C506" s="64"/>
      <c r="D506" s="173"/>
      <c r="E506" s="173"/>
      <c r="F506" s="173"/>
      <c r="G506" s="175"/>
      <c r="H506" s="23"/>
      <c r="I506" s="4"/>
      <c r="J506" s="140"/>
    </row>
    <row r="507" spans="1:10" s="63" customFormat="1">
      <c r="A507" s="65"/>
      <c r="B507" s="64"/>
      <c r="C507" s="64"/>
      <c r="D507" s="173"/>
      <c r="E507" s="173"/>
      <c r="F507" s="173"/>
      <c r="G507" s="175"/>
      <c r="H507" s="23"/>
      <c r="I507" s="4"/>
      <c r="J507" s="140"/>
    </row>
    <row r="508" spans="1:10" s="63" customFormat="1">
      <c r="A508" s="65"/>
      <c r="B508" s="64"/>
      <c r="C508" s="64"/>
      <c r="D508" s="173"/>
      <c r="E508" s="173"/>
      <c r="F508" s="173"/>
      <c r="G508" s="175"/>
      <c r="H508" s="23"/>
      <c r="I508" s="4"/>
      <c r="J508" s="140"/>
    </row>
    <row r="509" spans="1:10" s="63" customFormat="1">
      <c r="A509" s="65"/>
      <c r="B509" s="64"/>
      <c r="C509" s="64"/>
      <c r="D509" s="173"/>
      <c r="E509" s="173"/>
      <c r="F509" s="173"/>
      <c r="G509" s="175"/>
      <c r="H509" s="23"/>
      <c r="I509" s="4"/>
      <c r="J509" s="140"/>
    </row>
    <row r="510" spans="1:10" s="63" customFormat="1">
      <c r="A510" s="65"/>
      <c r="B510" s="64"/>
      <c r="C510" s="64"/>
      <c r="D510" s="173"/>
      <c r="E510" s="173"/>
      <c r="F510" s="173"/>
      <c r="G510" s="175"/>
      <c r="H510" s="23"/>
      <c r="I510" s="4"/>
      <c r="J510" s="140"/>
    </row>
    <row r="511" spans="1:10" s="63" customFormat="1">
      <c r="A511" s="65"/>
      <c r="B511" s="64"/>
      <c r="C511" s="64"/>
      <c r="D511" s="173"/>
      <c r="E511" s="173"/>
      <c r="F511" s="173"/>
      <c r="G511" s="175"/>
      <c r="H511" s="23"/>
      <c r="I511" s="4"/>
      <c r="J511" s="140"/>
    </row>
    <row r="512" spans="1:10" s="63" customFormat="1">
      <c r="A512" s="65"/>
      <c r="B512" s="64"/>
      <c r="C512" s="64"/>
      <c r="D512" s="173"/>
      <c r="E512" s="173"/>
      <c r="F512" s="173"/>
      <c r="G512" s="175"/>
      <c r="H512" s="23"/>
      <c r="I512" s="4"/>
      <c r="J512" s="140"/>
    </row>
    <row r="513" spans="1:10" s="63" customFormat="1">
      <c r="A513" s="65"/>
      <c r="B513" s="64"/>
      <c r="C513" s="64"/>
      <c r="D513" s="173"/>
      <c r="E513" s="173"/>
      <c r="F513" s="173"/>
      <c r="G513" s="175"/>
      <c r="H513" s="23"/>
      <c r="I513" s="4"/>
      <c r="J513" s="140"/>
    </row>
    <row r="514" spans="1:10" s="63" customFormat="1">
      <c r="A514" s="65"/>
      <c r="B514" s="64"/>
      <c r="C514" s="64"/>
      <c r="D514" s="173"/>
      <c r="E514" s="173"/>
      <c r="F514" s="173"/>
      <c r="G514" s="175"/>
      <c r="H514" s="23"/>
      <c r="I514" s="4"/>
      <c r="J514" s="140"/>
    </row>
    <row r="515" spans="1:10" s="63" customFormat="1">
      <c r="A515" s="65"/>
      <c r="B515" s="64"/>
      <c r="C515" s="64"/>
      <c r="D515" s="173"/>
      <c r="E515" s="173"/>
      <c r="F515" s="173"/>
      <c r="G515" s="175"/>
      <c r="H515" s="23"/>
      <c r="I515" s="4"/>
      <c r="J515" s="140"/>
    </row>
    <row r="516" spans="1:10" s="63" customFormat="1">
      <c r="A516" s="65"/>
      <c r="B516" s="64"/>
      <c r="C516" s="64"/>
      <c r="D516" s="173"/>
      <c r="E516" s="173"/>
      <c r="F516" s="173"/>
      <c r="G516" s="175"/>
      <c r="H516" s="23"/>
      <c r="I516" s="4"/>
      <c r="J516" s="140"/>
    </row>
    <row r="517" spans="1:10" s="63" customFormat="1">
      <c r="A517" s="65"/>
      <c r="B517" s="64"/>
      <c r="C517" s="64"/>
      <c r="D517" s="173"/>
      <c r="E517" s="173"/>
      <c r="F517" s="173"/>
      <c r="G517" s="175"/>
      <c r="H517" s="23"/>
      <c r="I517" s="4"/>
      <c r="J517" s="140"/>
    </row>
    <row r="518" spans="1:10" s="63" customFormat="1">
      <c r="A518" s="65"/>
      <c r="B518" s="64"/>
      <c r="C518" s="64"/>
      <c r="D518" s="173"/>
      <c r="E518" s="173"/>
      <c r="F518" s="173"/>
      <c r="G518" s="175"/>
      <c r="H518" s="23"/>
      <c r="I518" s="4"/>
      <c r="J518" s="140"/>
    </row>
    <row r="519" spans="1:10" s="63" customFormat="1">
      <c r="A519" s="65"/>
      <c r="B519" s="64"/>
      <c r="C519" s="64"/>
      <c r="D519" s="173"/>
      <c r="E519" s="173"/>
      <c r="F519" s="173"/>
      <c r="G519" s="175"/>
      <c r="H519" s="23"/>
      <c r="I519" s="4"/>
      <c r="J519" s="140"/>
    </row>
    <row r="520" spans="1:10" s="63" customFormat="1">
      <c r="A520" s="65"/>
      <c r="B520" s="64"/>
      <c r="C520" s="64"/>
      <c r="D520" s="173"/>
      <c r="E520" s="173"/>
      <c r="F520" s="173"/>
      <c r="G520" s="175"/>
      <c r="H520" s="23"/>
      <c r="I520" s="4"/>
      <c r="J520" s="140"/>
    </row>
    <row r="521" spans="1:10" s="63" customFormat="1">
      <c r="A521" s="65"/>
      <c r="B521" s="64"/>
      <c r="C521" s="64"/>
      <c r="D521" s="173"/>
      <c r="E521" s="173"/>
      <c r="F521" s="173"/>
      <c r="G521" s="175"/>
      <c r="H521" s="23"/>
      <c r="I521" s="4"/>
      <c r="J521" s="140"/>
    </row>
    <row r="522" spans="1:10" s="63" customFormat="1">
      <c r="A522" s="65"/>
      <c r="B522" s="64"/>
      <c r="C522" s="64"/>
      <c r="D522" s="173"/>
      <c r="E522" s="173"/>
      <c r="F522" s="173"/>
      <c r="G522" s="175"/>
      <c r="H522" s="23"/>
      <c r="I522" s="4"/>
      <c r="J522" s="140"/>
    </row>
    <row r="523" spans="1:10" s="63" customFormat="1">
      <c r="A523" s="65"/>
      <c r="B523" s="64"/>
      <c r="C523" s="64"/>
      <c r="D523" s="173"/>
      <c r="E523" s="173"/>
      <c r="F523" s="173"/>
      <c r="G523" s="175"/>
      <c r="H523" s="23"/>
      <c r="I523" s="4"/>
      <c r="J523" s="140"/>
    </row>
    <row r="524" spans="1:10" s="63" customFormat="1">
      <c r="A524" s="65"/>
      <c r="B524" s="64"/>
      <c r="C524" s="64"/>
      <c r="D524" s="173"/>
      <c r="E524" s="173"/>
      <c r="F524" s="173"/>
      <c r="G524" s="175"/>
      <c r="H524" s="23"/>
      <c r="I524" s="4"/>
      <c r="J524" s="140"/>
    </row>
    <row r="525" spans="1:10" s="63" customFormat="1">
      <c r="A525" s="65"/>
      <c r="B525" s="64"/>
      <c r="C525" s="64"/>
      <c r="D525" s="173"/>
      <c r="E525" s="173"/>
      <c r="F525" s="173"/>
      <c r="G525" s="175"/>
      <c r="H525" s="23"/>
      <c r="I525" s="4"/>
      <c r="J525" s="140"/>
    </row>
    <row r="526" spans="1:10" s="63" customFormat="1">
      <c r="A526" s="65"/>
      <c r="B526" s="64"/>
      <c r="C526" s="64"/>
      <c r="D526" s="173"/>
      <c r="E526" s="173"/>
      <c r="F526" s="173"/>
      <c r="G526" s="175"/>
      <c r="H526" s="23"/>
      <c r="I526" s="4"/>
      <c r="J526" s="140"/>
    </row>
    <row r="527" spans="1:10" s="63" customFormat="1">
      <c r="A527" s="65"/>
      <c r="B527" s="64"/>
      <c r="C527" s="64"/>
      <c r="D527" s="173"/>
      <c r="E527" s="173"/>
      <c r="F527" s="173"/>
      <c r="G527" s="175"/>
      <c r="H527" s="23"/>
      <c r="I527" s="4"/>
      <c r="J527" s="140"/>
    </row>
    <row r="528" spans="1:10" s="63" customFormat="1">
      <c r="A528" s="65"/>
      <c r="B528" s="64"/>
      <c r="C528" s="64"/>
      <c r="D528" s="173"/>
      <c r="E528" s="173"/>
      <c r="F528" s="173"/>
      <c r="G528" s="175"/>
      <c r="H528" s="23"/>
      <c r="I528" s="4"/>
      <c r="J528" s="140"/>
    </row>
    <row r="529" spans="1:10" s="63" customFormat="1">
      <c r="A529" s="65"/>
      <c r="B529" s="64"/>
      <c r="C529" s="64"/>
      <c r="D529" s="173"/>
      <c r="E529" s="173"/>
      <c r="F529" s="173"/>
      <c r="G529" s="175"/>
      <c r="H529" s="23"/>
      <c r="I529" s="4"/>
      <c r="J529" s="140"/>
    </row>
    <row r="530" spans="1:10" s="63" customFormat="1">
      <c r="A530" s="65"/>
      <c r="B530" s="64"/>
      <c r="C530" s="64"/>
      <c r="D530" s="173"/>
      <c r="E530" s="173"/>
      <c r="F530" s="173"/>
      <c r="G530" s="175"/>
      <c r="H530" s="23"/>
      <c r="I530" s="4"/>
      <c r="J530" s="140"/>
    </row>
    <row r="531" spans="1:10" s="63" customFormat="1">
      <c r="A531" s="65"/>
      <c r="B531" s="64"/>
      <c r="C531" s="64"/>
      <c r="D531" s="173"/>
      <c r="E531" s="173"/>
      <c r="F531" s="173"/>
      <c r="G531" s="175"/>
      <c r="H531" s="23"/>
      <c r="I531" s="4"/>
      <c r="J531" s="140"/>
    </row>
    <row r="532" spans="1:10" s="63" customFormat="1">
      <c r="A532" s="65"/>
      <c r="B532" s="64"/>
      <c r="C532" s="64"/>
      <c r="D532" s="173"/>
      <c r="E532" s="173"/>
      <c r="F532" s="173"/>
      <c r="G532" s="175"/>
      <c r="H532" s="23"/>
      <c r="I532" s="4"/>
      <c r="J532" s="140"/>
    </row>
    <row r="533" spans="1:10" s="63" customFormat="1">
      <c r="A533" s="65"/>
      <c r="B533" s="64"/>
      <c r="C533" s="64"/>
      <c r="D533" s="173"/>
      <c r="E533" s="173"/>
      <c r="F533" s="173"/>
      <c r="G533" s="175"/>
      <c r="H533" s="23"/>
      <c r="I533" s="4"/>
      <c r="J533" s="140"/>
    </row>
    <row r="534" spans="1:10" s="63" customFormat="1">
      <c r="A534" s="65"/>
      <c r="B534" s="64"/>
      <c r="C534" s="64"/>
      <c r="D534" s="173"/>
      <c r="E534" s="173"/>
      <c r="F534" s="173"/>
      <c r="G534" s="175"/>
      <c r="H534" s="23"/>
      <c r="I534" s="4"/>
      <c r="J534" s="140"/>
    </row>
    <row r="535" spans="1:10" s="63" customFormat="1">
      <c r="A535" s="65"/>
      <c r="B535" s="64"/>
      <c r="C535" s="64"/>
      <c r="D535" s="173"/>
      <c r="E535" s="173"/>
      <c r="F535" s="173"/>
      <c r="G535" s="175"/>
      <c r="H535" s="23"/>
      <c r="I535" s="4"/>
      <c r="J535" s="140"/>
    </row>
    <row r="536" spans="1:10" s="63" customFormat="1">
      <c r="A536" s="65"/>
      <c r="B536" s="64"/>
      <c r="C536" s="64"/>
      <c r="D536" s="173"/>
      <c r="E536" s="173"/>
      <c r="F536" s="173"/>
      <c r="G536" s="175"/>
      <c r="H536" s="23"/>
      <c r="I536" s="4"/>
      <c r="J536" s="140"/>
    </row>
    <row r="537" spans="1:10" s="63" customFormat="1">
      <c r="A537" s="65"/>
      <c r="B537" s="64"/>
      <c r="C537" s="64"/>
      <c r="D537" s="173"/>
      <c r="E537" s="173"/>
      <c r="F537" s="173"/>
      <c r="G537" s="175"/>
      <c r="H537" s="23"/>
      <c r="I537" s="4"/>
      <c r="J537" s="140"/>
    </row>
    <row r="538" spans="1:10" s="63" customFormat="1">
      <c r="A538" s="65"/>
      <c r="B538" s="64"/>
      <c r="C538" s="64"/>
      <c r="D538" s="173"/>
      <c r="E538" s="173"/>
      <c r="F538" s="173"/>
      <c r="G538" s="175"/>
      <c r="H538" s="23"/>
      <c r="I538" s="4"/>
      <c r="J538" s="140"/>
    </row>
    <row r="539" spans="1:10" s="63" customFormat="1">
      <c r="A539" s="65"/>
      <c r="B539" s="64"/>
      <c r="C539" s="64"/>
      <c r="D539" s="173"/>
      <c r="E539" s="173"/>
      <c r="F539" s="173"/>
      <c r="G539" s="175"/>
      <c r="H539" s="23"/>
      <c r="I539" s="4"/>
      <c r="J539" s="140"/>
    </row>
    <row r="540" spans="1:10" s="63" customFormat="1">
      <c r="A540" s="65"/>
      <c r="B540" s="64"/>
      <c r="C540" s="64"/>
      <c r="D540" s="173"/>
      <c r="E540" s="173"/>
      <c r="F540" s="173"/>
      <c r="G540" s="175"/>
      <c r="H540" s="23"/>
      <c r="I540" s="4"/>
      <c r="J540" s="140"/>
    </row>
    <row r="541" spans="1:10" s="63" customFormat="1">
      <c r="A541" s="65"/>
      <c r="B541" s="64"/>
      <c r="C541" s="64"/>
      <c r="D541" s="173"/>
      <c r="E541" s="173"/>
      <c r="F541" s="173"/>
      <c r="G541" s="175"/>
      <c r="H541" s="23"/>
      <c r="I541" s="4"/>
      <c r="J541" s="140"/>
    </row>
    <row r="542" spans="1:10" s="63" customFormat="1">
      <c r="A542" s="65"/>
      <c r="B542" s="64"/>
      <c r="C542" s="64"/>
      <c r="D542" s="173"/>
      <c r="E542" s="173"/>
      <c r="F542" s="173"/>
      <c r="G542" s="175"/>
      <c r="H542" s="23"/>
      <c r="I542" s="4"/>
      <c r="J542" s="140"/>
    </row>
    <row r="543" spans="1:10" s="63" customFormat="1">
      <c r="A543" s="65"/>
      <c r="B543" s="64"/>
      <c r="C543" s="64"/>
      <c r="D543" s="173"/>
      <c r="E543" s="173"/>
      <c r="F543" s="173"/>
      <c r="G543" s="175"/>
      <c r="H543" s="23"/>
      <c r="I543" s="4"/>
      <c r="J543" s="140"/>
    </row>
    <row r="544" spans="1:10" s="63" customFormat="1">
      <c r="A544" s="65"/>
      <c r="B544" s="64"/>
      <c r="C544" s="64"/>
      <c r="D544" s="173"/>
      <c r="E544" s="173"/>
      <c r="F544" s="173"/>
      <c r="G544" s="175"/>
      <c r="H544" s="23"/>
      <c r="I544" s="4"/>
      <c r="J544" s="140"/>
    </row>
    <row r="545" spans="1:10" s="63" customFormat="1">
      <c r="A545" s="65"/>
      <c r="B545" s="64"/>
      <c r="C545" s="64"/>
      <c r="D545" s="173"/>
      <c r="E545" s="173"/>
      <c r="F545" s="173"/>
      <c r="G545" s="175"/>
      <c r="H545" s="23"/>
      <c r="I545" s="4"/>
      <c r="J545" s="140"/>
    </row>
    <row r="546" spans="1:10" s="63" customFormat="1">
      <c r="A546" s="65"/>
      <c r="B546" s="64"/>
      <c r="C546" s="64"/>
      <c r="D546" s="173"/>
      <c r="E546" s="173"/>
      <c r="F546" s="173"/>
      <c r="G546" s="175"/>
      <c r="H546" s="23"/>
      <c r="I546" s="4"/>
      <c r="J546" s="140"/>
    </row>
    <row r="547" spans="1:10" s="63" customFormat="1">
      <c r="A547" s="65"/>
      <c r="B547" s="64"/>
      <c r="C547" s="64"/>
      <c r="D547" s="173"/>
      <c r="E547" s="173"/>
      <c r="F547" s="173"/>
      <c r="G547" s="175"/>
      <c r="H547" s="23"/>
      <c r="I547" s="4"/>
      <c r="J547" s="140"/>
    </row>
    <row r="548" spans="1:10" s="63" customFormat="1">
      <c r="A548" s="65"/>
      <c r="B548" s="64"/>
      <c r="C548" s="64"/>
      <c r="D548" s="173"/>
      <c r="E548" s="173"/>
      <c r="F548" s="173"/>
      <c r="G548" s="175"/>
      <c r="H548" s="23"/>
      <c r="I548" s="4"/>
      <c r="J548" s="140"/>
    </row>
    <row r="549" spans="1:10" s="63" customFormat="1">
      <c r="A549" s="65"/>
      <c r="B549" s="64"/>
      <c r="C549" s="64"/>
      <c r="D549" s="173"/>
      <c r="E549" s="173"/>
      <c r="F549" s="173"/>
      <c r="G549" s="175"/>
      <c r="H549" s="23"/>
      <c r="I549" s="4"/>
      <c r="J549" s="140"/>
    </row>
    <row r="550" spans="1:10" s="63" customFormat="1">
      <c r="A550" s="65"/>
      <c r="B550" s="64"/>
      <c r="C550" s="64"/>
      <c r="D550" s="173"/>
      <c r="E550" s="173"/>
      <c r="F550" s="173"/>
      <c r="G550" s="175"/>
      <c r="H550" s="23"/>
      <c r="I550" s="4"/>
      <c r="J550" s="140"/>
    </row>
    <row r="551" spans="1:10" s="63" customFormat="1">
      <c r="A551" s="65"/>
      <c r="B551" s="64"/>
      <c r="C551" s="64"/>
      <c r="D551" s="173"/>
      <c r="E551" s="173"/>
      <c r="F551" s="173"/>
      <c r="G551" s="175"/>
      <c r="H551" s="23"/>
      <c r="I551" s="4"/>
      <c r="J551" s="140"/>
    </row>
    <row r="552" spans="1:10" s="63" customFormat="1">
      <c r="A552" s="65"/>
      <c r="B552" s="64"/>
      <c r="C552" s="64"/>
      <c r="D552" s="173"/>
      <c r="E552" s="173"/>
      <c r="F552" s="173"/>
      <c r="G552" s="175"/>
      <c r="H552" s="23"/>
      <c r="I552" s="4"/>
      <c r="J552" s="140"/>
    </row>
    <row r="553" spans="1:10" s="63" customFormat="1">
      <c r="A553" s="65"/>
      <c r="B553" s="64"/>
      <c r="C553" s="64"/>
      <c r="D553" s="173"/>
      <c r="E553" s="173"/>
      <c r="F553" s="173"/>
      <c r="G553" s="175"/>
      <c r="H553" s="23"/>
      <c r="I553" s="4"/>
      <c r="J553" s="140"/>
    </row>
    <row r="554" spans="1:10" s="63" customFormat="1">
      <c r="A554" s="65"/>
      <c r="B554" s="64"/>
      <c r="C554" s="64"/>
      <c r="D554" s="173"/>
      <c r="E554" s="173"/>
      <c r="F554" s="173"/>
      <c r="G554" s="175"/>
      <c r="H554" s="23"/>
      <c r="I554" s="4"/>
      <c r="J554" s="140"/>
    </row>
    <row r="555" spans="1:10" s="63" customFormat="1">
      <c r="A555" s="65"/>
      <c r="B555" s="64"/>
      <c r="C555" s="64"/>
      <c r="D555" s="173"/>
      <c r="E555" s="173"/>
      <c r="F555" s="173"/>
      <c r="G555" s="175"/>
      <c r="H555" s="23"/>
      <c r="I555" s="4"/>
      <c r="J555" s="140"/>
    </row>
    <row r="556" spans="1:10" s="63" customFormat="1">
      <c r="A556" s="65"/>
      <c r="B556" s="64"/>
      <c r="C556" s="64"/>
      <c r="D556" s="173"/>
      <c r="E556" s="173"/>
      <c r="F556" s="173"/>
      <c r="G556" s="175"/>
      <c r="H556" s="23"/>
      <c r="I556" s="4"/>
      <c r="J556" s="140"/>
    </row>
    <row r="557" spans="1:10" s="63" customFormat="1">
      <c r="A557" s="65"/>
      <c r="B557" s="64"/>
      <c r="C557" s="64"/>
      <c r="D557" s="173"/>
      <c r="E557" s="173"/>
      <c r="F557" s="173"/>
      <c r="G557" s="175"/>
      <c r="H557" s="23"/>
      <c r="I557" s="4"/>
      <c r="J557" s="140"/>
    </row>
    <row r="558" spans="1:10" s="63" customFormat="1">
      <c r="A558" s="65"/>
      <c r="B558" s="64"/>
      <c r="C558" s="64"/>
      <c r="D558" s="173"/>
      <c r="E558" s="173"/>
      <c r="F558" s="173"/>
      <c r="G558" s="175"/>
      <c r="H558" s="23"/>
      <c r="I558" s="4"/>
      <c r="J558" s="140"/>
    </row>
    <row r="559" spans="1:10" s="63" customFormat="1">
      <c r="A559" s="65"/>
      <c r="B559" s="64"/>
      <c r="C559" s="64"/>
      <c r="D559" s="173"/>
      <c r="E559" s="173"/>
      <c r="F559" s="173"/>
      <c r="G559" s="175"/>
      <c r="H559" s="23"/>
      <c r="I559" s="4"/>
      <c r="J559" s="140"/>
    </row>
    <row r="560" spans="1:10" s="63" customFormat="1">
      <c r="A560" s="65"/>
      <c r="B560" s="64"/>
      <c r="C560" s="64"/>
      <c r="D560" s="173"/>
      <c r="E560" s="173"/>
      <c r="F560" s="173"/>
      <c r="G560" s="175"/>
      <c r="H560" s="23"/>
      <c r="I560" s="4"/>
      <c r="J560" s="140"/>
    </row>
    <row r="561" spans="1:10" s="63" customFormat="1">
      <c r="A561" s="65"/>
      <c r="B561" s="64"/>
      <c r="C561" s="64"/>
      <c r="D561" s="173"/>
      <c r="E561" s="173"/>
      <c r="F561" s="173"/>
      <c r="G561" s="175"/>
      <c r="H561" s="23"/>
      <c r="I561" s="4"/>
      <c r="J561" s="140"/>
    </row>
    <row r="562" spans="1:10" s="63" customFormat="1">
      <c r="A562" s="65"/>
      <c r="B562" s="64"/>
      <c r="C562" s="64"/>
      <c r="D562" s="173"/>
      <c r="E562" s="173"/>
      <c r="F562" s="173"/>
      <c r="G562" s="175"/>
      <c r="H562" s="23"/>
      <c r="I562" s="4"/>
      <c r="J562" s="140"/>
    </row>
    <row r="563" spans="1:10" s="63" customFormat="1">
      <c r="A563" s="65"/>
      <c r="B563" s="64"/>
      <c r="C563" s="64"/>
      <c r="D563" s="173"/>
      <c r="E563" s="173"/>
      <c r="F563" s="173"/>
      <c r="G563" s="175"/>
      <c r="H563" s="23"/>
      <c r="I563" s="4"/>
      <c r="J563" s="140"/>
    </row>
    <row r="564" spans="1:10" s="63" customFormat="1">
      <c r="A564" s="65"/>
      <c r="B564" s="64"/>
      <c r="C564" s="64"/>
      <c r="D564" s="173"/>
      <c r="E564" s="173"/>
      <c r="F564" s="173"/>
      <c r="G564" s="175"/>
      <c r="H564" s="23"/>
      <c r="I564" s="4"/>
      <c r="J564" s="140"/>
    </row>
    <row r="565" spans="1:10" s="63" customFormat="1">
      <c r="A565" s="65"/>
      <c r="B565" s="64"/>
      <c r="C565" s="64"/>
      <c r="D565" s="173"/>
      <c r="E565" s="173"/>
      <c r="F565" s="173"/>
      <c r="G565" s="175"/>
      <c r="H565" s="23"/>
      <c r="I565" s="4"/>
      <c r="J565" s="140"/>
    </row>
    <row r="566" spans="1:10" s="63" customFormat="1">
      <c r="A566" s="65"/>
      <c r="B566" s="64"/>
      <c r="C566" s="64"/>
      <c r="D566" s="173"/>
      <c r="E566" s="173"/>
      <c r="F566" s="173"/>
      <c r="G566" s="175"/>
      <c r="H566" s="23"/>
      <c r="I566" s="4"/>
      <c r="J566" s="140"/>
    </row>
    <row r="567" spans="1:10" s="63" customFormat="1">
      <c r="A567" s="65"/>
      <c r="B567" s="64"/>
      <c r="C567" s="64"/>
      <c r="D567" s="173"/>
      <c r="E567" s="173"/>
      <c r="F567" s="173"/>
      <c r="G567" s="175"/>
      <c r="H567" s="23"/>
      <c r="I567" s="4"/>
      <c r="J567" s="140"/>
    </row>
    <row r="568" spans="1:10" s="63" customFormat="1">
      <c r="A568" s="65"/>
      <c r="B568" s="64"/>
      <c r="C568" s="64"/>
      <c r="D568" s="173"/>
      <c r="E568" s="173"/>
      <c r="F568" s="173"/>
      <c r="G568" s="175"/>
      <c r="H568" s="23"/>
      <c r="I568" s="4"/>
      <c r="J568" s="140"/>
    </row>
    <row r="569" spans="1:10" s="63" customFormat="1">
      <c r="A569" s="65"/>
      <c r="B569" s="64"/>
      <c r="C569" s="64"/>
      <c r="D569" s="173"/>
      <c r="E569" s="173"/>
      <c r="F569" s="173"/>
      <c r="G569" s="175"/>
      <c r="H569" s="23"/>
      <c r="I569" s="4"/>
      <c r="J569" s="140"/>
    </row>
    <row r="570" spans="1:10" s="63" customFormat="1">
      <c r="A570" s="65"/>
      <c r="B570" s="64"/>
      <c r="C570" s="64"/>
      <c r="D570" s="173"/>
      <c r="E570" s="173"/>
      <c r="F570" s="173"/>
      <c r="G570" s="175"/>
      <c r="H570" s="23"/>
      <c r="I570" s="4"/>
      <c r="J570" s="140"/>
    </row>
    <row r="571" spans="1:10" s="63" customFormat="1">
      <c r="A571" s="65"/>
      <c r="B571" s="64"/>
      <c r="C571" s="64"/>
      <c r="D571" s="173"/>
      <c r="E571" s="173"/>
      <c r="F571" s="173"/>
      <c r="G571" s="175"/>
      <c r="H571" s="23"/>
      <c r="I571" s="4"/>
      <c r="J571" s="140"/>
    </row>
    <row r="572" spans="1:10" s="63" customFormat="1">
      <c r="A572" s="65"/>
      <c r="B572" s="64"/>
      <c r="C572" s="64"/>
      <c r="D572" s="173"/>
      <c r="E572" s="173"/>
      <c r="F572" s="173"/>
      <c r="G572" s="175"/>
      <c r="H572" s="23"/>
      <c r="I572" s="4"/>
      <c r="J572" s="140"/>
    </row>
    <row r="573" spans="1:10" s="63" customFormat="1">
      <c r="A573" s="65"/>
      <c r="B573" s="64"/>
      <c r="C573" s="64"/>
      <c r="D573" s="173"/>
      <c r="E573" s="173"/>
      <c r="F573" s="173"/>
      <c r="G573" s="175"/>
      <c r="H573" s="23"/>
      <c r="I573" s="4"/>
      <c r="J573" s="140"/>
    </row>
    <row r="574" spans="1:10" s="63" customFormat="1">
      <c r="A574" s="65"/>
      <c r="B574" s="64"/>
      <c r="C574" s="64"/>
      <c r="D574" s="173"/>
      <c r="E574" s="173"/>
      <c r="F574" s="173"/>
      <c r="G574" s="175"/>
      <c r="H574" s="23"/>
      <c r="I574" s="4"/>
      <c r="J574" s="140"/>
    </row>
    <row r="575" spans="1:10" s="63" customFormat="1">
      <c r="A575" s="65"/>
      <c r="B575" s="64"/>
      <c r="C575" s="64"/>
      <c r="D575" s="173"/>
      <c r="E575" s="173"/>
      <c r="F575" s="173"/>
      <c r="G575" s="175"/>
      <c r="H575" s="23"/>
      <c r="I575" s="4"/>
      <c r="J575" s="140"/>
    </row>
    <row r="576" spans="1:10" s="63" customFormat="1">
      <c r="A576" s="65"/>
      <c r="B576" s="64"/>
      <c r="C576" s="64"/>
      <c r="D576" s="173"/>
      <c r="E576" s="173"/>
      <c r="F576" s="173"/>
      <c r="G576" s="175"/>
      <c r="H576" s="23"/>
      <c r="I576" s="4"/>
      <c r="J576" s="140"/>
    </row>
    <row r="577" spans="1:10" s="63" customFormat="1">
      <c r="A577" s="65"/>
      <c r="B577" s="64"/>
      <c r="C577" s="64"/>
      <c r="D577" s="173"/>
      <c r="E577" s="173"/>
      <c r="F577" s="173"/>
      <c r="G577" s="175"/>
      <c r="H577" s="23"/>
      <c r="I577" s="4"/>
      <c r="J577" s="140"/>
    </row>
    <row r="578" spans="1:10" s="63" customFormat="1">
      <c r="A578" s="65"/>
      <c r="B578" s="64"/>
      <c r="C578" s="64"/>
      <c r="D578" s="173"/>
      <c r="E578" s="173"/>
      <c r="F578" s="173"/>
      <c r="G578" s="175"/>
      <c r="H578" s="23"/>
      <c r="I578" s="4"/>
      <c r="J578" s="140"/>
    </row>
    <row r="579" spans="1:10" s="63" customFormat="1">
      <c r="A579" s="65"/>
      <c r="B579" s="64"/>
      <c r="C579" s="64"/>
      <c r="D579" s="173"/>
      <c r="E579" s="173"/>
      <c r="F579" s="173"/>
      <c r="G579" s="175"/>
      <c r="H579" s="23"/>
      <c r="I579" s="4"/>
      <c r="J579" s="140"/>
    </row>
    <row r="580" spans="1:10" s="63" customFormat="1">
      <c r="A580" s="65"/>
      <c r="B580" s="64"/>
      <c r="C580" s="64"/>
      <c r="D580" s="173"/>
      <c r="E580" s="173"/>
      <c r="F580" s="173"/>
      <c r="G580" s="175"/>
      <c r="H580" s="23"/>
      <c r="I580" s="4"/>
      <c r="J580" s="140"/>
    </row>
    <row r="581" spans="1:10" s="63" customFormat="1">
      <c r="A581" s="65"/>
      <c r="B581" s="64"/>
      <c r="C581" s="64"/>
      <c r="D581" s="173"/>
      <c r="E581" s="173"/>
      <c r="F581" s="173"/>
      <c r="G581" s="175"/>
      <c r="H581" s="23"/>
      <c r="I581" s="4"/>
      <c r="J581" s="140"/>
    </row>
    <row r="582" spans="1:10" s="63" customFormat="1">
      <c r="A582" s="65"/>
      <c r="B582" s="64"/>
      <c r="C582" s="64"/>
      <c r="D582" s="173"/>
      <c r="E582" s="173"/>
      <c r="F582" s="173"/>
      <c r="G582" s="175"/>
      <c r="H582" s="23"/>
      <c r="I582" s="4"/>
      <c r="J582" s="140"/>
    </row>
    <row r="583" spans="1:10" s="63" customFormat="1">
      <c r="A583" s="65"/>
      <c r="B583" s="64"/>
      <c r="C583" s="64"/>
      <c r="D583" s="173"/>
      <c r="E583" s="173"/>
      <c r="F583" s="173"/>
      <c r="G583" s="175"/>
      <c r="H583" s="23"/>
      <c r="I583" s="4"/>
      <c r="J583" s="140"/>
    </row>
    <row r="584" spans="1:10" s="63" customFormat="1">
      <c r="A584" s="67"/>
      <c r="B584" s="66"/>
      <c r="C584" s="66"/>
      <c r="D584" s="172"/>
      <c r="E584" s="172"/>
      <c r="F584" s="172"/>
      <c r="G584" s="174"/>
      <c r="H584" s="24"/>
      <c r="I584" s="4"/>
      <c r="J584" s="140"/>
    </row>
  </sheetData>
  <sheetProtection password="C74A" sheet="1" objects="1" scenarios="1" formatCells="0" formatColumns="0" formatRows="0"/>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41">
    <mergeCell ref="H178:I178"/>
    <mergeCell ref="H179:I179"/>
    <mergeCell ref="H180:I180"/>
    <mergeCell ref="H181:I181"/>
    <mergeCell ref="H88:H93"/>
    <mergeCell ref="I88:I93"/>
    <mergeCell ref="H173:I173"/>
    <mergeCell ref="H174:I174"/>
    <mergeCell ref="H175:I175"/>
    <mergeCell ref="H176:I176"/>
    <mergeCell ref="H177:I177"/>
    <mergeCell ref="H168:I168"/>
    <mergeCell ref="H169:I169"/>
    <mergeCell ref="H170:I170"/>
    <mergeCell ref="H171:I171"/>
    <mergeCell ref="H172:I172"/>
    <mergeCell ref="H163:I163"/>
    <mergeCell ref="H164:I164"/>
    <mergeCell ref="H165:I165"/>
    <mergeCell ref="H166:I166"/>
    <mergeCell ref="H167:I167"/>
    <mergeCell ref="H157:I157"/>
    <mergeCell ref="H158:I158"/>
    <mergeCell ref="H160:I160"/>
    <mergeCell ref="H161:I161"/>
    <mergeCell ref="H162:I162"/>
    <mergeCell ref="I138:I143"/>
    <mergeCell ref="I144:I148"/>
    <mergeCell ref="I112:I116"/>
    <mergeCell ref="I117:I120"/>
    <mergeCell ref="I121:I124"/>
    <mergeCell ref="I125:I131"/>
    <mergeCell ref="I132:I136"/>
    <mergeCell ref="A156:H156"/>
    <mergeCell ref="A157:B158"/>
    <mergeCell ref="D153:F153"/>
    <mergeCell ref="D154:F154"/>
    <mergeCell ref="C158:E158"/>
    <mergeCell ref="C157:E157"/>
    <mergeCell ref="D155:F155"/>
    <mergeCell ref="A138:A143"/>
    <mergeCell ref="B132:B136"/>
    <mergeCell ref="B144:B148"/>
    <mergeCell ref="A150:H150"/>
    <mergeCell ref="H125:H131"/>
    <mergeCell ref="H121:H124"/>
    <mergeCell ref="A151:C155"/>
    <mergeCell ref="H117:H120"/>
    <mergeCell ref="I78:I83"/>
    <mergeCell ref="I84:I87"/>
    <mergeCell ref="I102:I106"/>
    <mergeCell ref="I107:I111"/>
    <mergeCell ref="I42:I47"/>
    <mergeCell ref="I54:I60"/>
    <mergeCell ref="I61:I67"/>
    <mergeCell ref="I68:I73"/>
    <mergeCell ref="I74:I77"/>
    <mergeCell ref="I94:I98"/>
    <mergeCell ref="I15:I21"/>
    <mergeCell ref="I22:I26"/>
    <mergeCell ref="I27:I30"/>
    <mergeCell ref="I48:I53"/>
    <mergeCell ref="I37:I41"/>
    <mergeCell ref="I31:I36"/>
    <mergeCell ref="E1:I1"/>
    <mergeCell ref="I3:I7"/>
    <mergeCell ref="I8:I14"/>
    <mergeCell ref="H8:H14"/>
    <mergeCell ref="H27:H30"/>
    <mergeCell ref="H22:H26"/>
    <mergeCell ref="H15:H21"/>
    <mergeCell ref="H3:H7"/>
    <mergeCell ref="H48:H53"/>
    <mergeCell ref="D151:F151"/>
    <mergeCell ref="D152:F152"/>
    <mergeCell ref="B138:B143"/>
    <mergeCell ref="H102:H106"/>
    <mergeCell ref="A78:A83"/>
    <mergeCell ref="H107:H111"/>
    <mergeCell ref="B102:B106"/>
    <mergeCell ref="A102:A106"/>
    <mergeCell ref="B107:B111"/>
    <mergeCell ref="H138:H143"/>
    <mergeCell ref="A144:A148"/>
    <mergeCell ref="H84:H87"/>
    <mergeCell ref="B78:B83"/>
    <mergeCell ref="A84:A87"/>
    <mergeCell ref="B88:B93"/>
    <mergeCell ref="H144:H148"/>
    <mergeCell ref="B121:B124"/>
    <mergeCell ref="H132:H136"/>
    <mergeCell ref="A107:A111"/>
    <mergeCell ref="A121:A124"/>
    <mergeCell ref="A132:A136"/>
    <mergeCell ref="A112:A116"/>
    <mergeCell ref="B112:B116"/>
    <mergeCell ref="A125:A131"/>
    <mergeCell ref="B54:B60"/>
    <mergeCell ref="A61:A67"/>
    <mergeCell ref="A48:A53"/>
    <mergeCell ref="B8:B14"/>
    <mergeCell ref="A54:A60"/>
    <mergeCell ref="B125:B131"/>
    <mergeCell ref="H94:H98"/>
    <mergeCell ref="H78:H83"/>
    <mergeCell ref="A88:A93"/>
    <mergeCell ref="H112:H116"/>
    <mergeCell ref="H74:H77"/>
    <mergeCell ref="A74:A77"/>
    <mergeCell ref="A117:A120"/>
    <mergeCell ref="B117:B120"/>
    <mergeCell ref="B84:B87"/>
    <mergeCell ref="A94:A98"/>
    <mergeCell ref="B94:B98"/>
    <mergeCell ref="B74:B77"/>
    <mergeCell ref="B68:B73"/>
    <mergeCell ref="H68:H73"/>
    <mergeCell ref="A1:B1"/>
    <mergeCell ref="B15:B21"/>
    <mergeCell ref="A15:A21"/>
    <mergeCell ref="A68:A73"/>
    <mergeCell ref="A37:A41"/>
    <mergeCell ref="H54:H60"/>
    <mergeCell ref="H42:H47"/>
    <mergeCell ref="H31:H36"/>
    <mergeCell ref="H37:H41"/>
    <mergeCell ref="H61:H67"/>
    <mergeCell ref="B37:B41"/>
    <mergeCell ref="A42:A47"/>
    <mergeCell ref="B31:B36"/>
    <mergeCell ref="B48:B53"/>
    <mergeCell ref="B61:B67"/>
    <mergeCell ref="A31:A36"/>
    <mergeCell ref="B3:B7"/>
    <mergeCell ref="B27:B30"/>
    <mergeCell ref="A27:A30"/>
    <mergeCell ref="A8:A14"/>
    <mergeCell ref="A3:A7"/>
    <mergeCell ref="B22:B26"/>
    <mergeCell ref="A22:A26"/>
    <mergeCell ref="B42:B47"/>
  </mergeCells>
  <phoneticPr fontId="2" type="noConversion"/>
  <pageMargins left="0.75" right="0.75" top="1" bottom="1" header="0.5" footer="0.5"/>
  <pageSetup orientation="portrait" r:id="rId2"/>
  <headerFooter alignWithMargins="0"/>
</worksheet>
</file>

<file path=xl/worksheets/sheet10.xml><?xml version="1.0" encoding="utf-8"?>
<worksheet xmlns="http://schemas.openxmlformats.org/spreadsheetml/2006/main" xmlns:r="http://schemas.openxmlformats.org/officeDocument/2006/relationships">
  <sheetPr codeName="Sheet8"/>
  <dimension ref="A1:K207"/>
  <sheetViews>
    <sheetView zoomScaleNormal="100" workbookViewId="0">
      <selection sqref="A1:B1"/>
    </sheetView>
  </sheetViews>
  <sheetFormatPr defaultColWidth="9.33203125" defaultRowHeight="13.8"/>
  <cols>
    <col min="1" max="1" width="5.77734375" style="62" customWidth="1"/>
    <col min="2" max="2" width="18.77734375" style="76" customWidth="1"/>
    <col min="3" max="3" width="69.77734375" style="62" customWidth="1"/>
    <col min="4" max="6" width="6.77734375" style="608" customWidth="1"/>
    <col min="7" max="7" width="9.77734375" style="609" customWidth="1"/>
    <col min="8" max="8" width="69.77734375" style="7" customWidth="1"/>
    <col min="9" max="9" width="11.77734375" style="7" customWidth="1"/>
    <col min="10" max="10" width="9.33203125" style="62"/>
    <col min="11" max="11" width="9.33203125" style="138"/>
    <col min="12" max="16384" width="9.33203125" style="62"/>
  </cols>
  <sheetData>
    <row r="1" spans="1:11" s="130" customFormat="1" ht="81" customHeight="1" thickBot="1">
      <c r="A1" s="2470" t="s">
        <v>1232</v>
      </c>
      <c r="B1" s="2471"/>
      <c r="C1" s="124" t="s">
        <v>1233</v>
      </c>
      <c r="D1" s="149" t="s">
        <v>1234</v>
      </c>
      <c r="E1" s="2477"/>
      <c r="F1" s="2478"/>
      <c r="G1" s="2478"/>
      <c r="H1" s="2478"/>
      <c r="I1" s="2478"/>
      <c r="K1" s="138"/>
    </row>
    <row r="2" spans="1:11" s="138" customFormat="1" ht="36" customHeight="1" thickBot="1">
      <c r="A2" s="1595" t="s">
        <v>168</v>
      </c>
      <c r="B2" s="1555" t="s">
        <v>2626</v>
      </c>
      <c r="C2" s="1596" t="s">
        <v>1354</v>
      </c>
      <c r="D2" s="1613" t="s">
        <v>64</v>
      </c>
      <c r="E2" s="1576" t="s">
        <v>1383</v>
      </c>
      <c r="F2" s="1577" t="s">
        <v>1384</v>
      </c>
      <c r="G2" s="1578" t="s">
        <v>1293</v>
      </c>
      <c r="H2" s="1579" t="s">
        <v>1294</v>
      </c>
      <c r="I2" s="1648" t="s">
        <v>2622</v>
      </c>
    </row>
    <row r="3" spans="1:11" ht="30" customHeight="1" thickBot="1">
      <c r="A3" s="2472" t="str">
        <f>OF!A105</f>
        <v>OF23</v>
      </c>
      <c r="B3" s="2323" t="str">
        <f>OF!B105</f>
        <v>Contributing Area (CA) Percentage</v>
      </c>
      <c r="C3" s="411" t="str">
        <f>OF!C105</f>
        <v>Determine the approximate bounds of this AA's contributing area (follow the detailed directions in the Manual). Relative to the extent of that contributing area (CA), the AA comprises:</v>
      </c>
      <c r="D3" s="576"/>
      <c r="E3" s="587"/>
      <c r="F3" s="583"/>
      <c r="G3" s="577">
        <f>(MAX(F4:F7))/MAX(E4:E7)</f>
        <v>0</v>
      </c>
      <c r="H3" s="2218" t="s">
        <v>1926</v>
      </c>
      <c r="I3" s="2212" t="s">
        <v>489</v>
      </c>
    </row>
    <row r="4" spans="1:11" ht="27" customHeight="1">
      <c r="A4" s="2473"/>
      <c r="B4" s="2336"/>
      <c r="C4" s="170" t="str">
        <f>OF!C106</f>
        <v>&lt;1% of its CA  (includes most wetlands, especially those located low in watersheds, such as ones on major river floodplains or the marine shoreline).</v>
      </c>
      <c r="D4" s="261">
        <f>OF!D106</f>
        <v>0</v>
      </c>
      <c r="E4" s="370">
        <v>0</v>
      </c>
      <c r="F4" s="370">
        <f>D4*E4</f>
        <v>0</v>
      </c>
      <c r="G4" s="578"/>
      <c r="H4" s="2211"/>
      <c r="I4" s="2213"/>
    </row>
    <row r="5" spans="1:11" ht="15" customHeight="1">
      <c r="A5" s="2473"/>
      <c r="B5" s="2336"/>
      <c r="C5" s="82" t="str">
        <f>OF!C107</f>
        <v>1 to 10% of its CA.</v>
      </c>
      <c r="D5" s="245">
        <f>OF!D107</f>
        <v>0</v>
      </c>
      <c r="E5" s="370">
        <v>1</v>
      </c>
      <c r="F5" s="370">
        <f>D5*E5</f>
        <v>0</v>
      </c>
      <c r="G5" s="579"/>
      <c r="H5" s="2211"/>
      <c r="I5" s="2213"/>
    </row>
    <row r="6" spans="1:11" ht="15" customHeight="1">
      <c r="A6" s="2473"/>
      <c r="B6" s="2336"/>
      <c r="C6" s="82" t="str">
        <f>OF!C108</f>
        <v>10 to 100% of its CA.</v>
      </c>
      <c r="D6" s="245">
        <f>OF!D108</f>
        <v>0</v>
      </c>
      <c r="E6" s="370">
        <v>2</v>
      </c>
      <c r="F6" s="370">
        <f>D6*E6</f>
        <v>0</v>
      </c>
      <c r="G6" s="579"/>
      <c r="H6" s="2211"/>
      <c r="I6" s="2213"/>
    </row>
    <row r="7" spans="1:11" ht="27" customHeight="1" thickBot="1">
      <c r="A7" s="2474"/>
      <c r="B7" s="2337"/>
      <c r="C7" s="438" t="str">
        <f>OF!C109</f>
        <v>Wetland has essentially no CA, e.g., isolated by dikes with no input channels, or is in terrain so flat that a CA can't be delineated. SKIP TO OF27 (Internal Gradient).</v>
      </c>
      <c r="D7" s="246">
        <f>OF!D109</f>
        <v>0</v>
      </c>
      <c r="E7" s="581">
        <v>3</v>
      </c>
      <c r="F7" s="581">
        <f>D7*E7</f>
        <v>0</v>
      </c>
      <c r="G7" s="582"/>
      <c r="H7" s="2420"/>
      <c r="I7" s="2377"/>
    </row>
    <row r="8" spans="1:11" ht="21" customHeight="1" thickBot="1">
      <c r="A8" s="2314" t="str">
        <f>OF!A122</f>
        <v>OF27</v>
      </c>
      <c r="B8" s="2341" t="str">
        <f>OF!B122</f>
        <v>Internal Flow Distance (Path Length)</v>
      </c>
      <c r="C8" s="614" t="str">
        <f>OF!C122</f>
        <v xml:space="preserve">The horizontal flow distance from the wetland's inlet to outlet is: </v>
      </c>
      <c r="D8" s="367"/>
      <c r="E8" s="367"/>
      <c r="F8" s="602"/>
      <c r="G8" s="584">
        <f>MAX(F9:F14)/MAX(E9:E14)</f>
        <v>0</v>
      </c>
      <c r="H8" s="2146" t="s">
        <v>1169</v>
      </c>
      <c r="I8" s="2212" t="s">
        <v>1175</v>
      </c>
    </row>
    <row r="9" spans="1:11" ht="15" customHeight="1">
      <c r="A9" s="2314"/>
      <c r="B9" s="2341"/>
      <c r="C9" s="615" t="str">
        <f>OF!C123</f>
        <v>&lt;10 m</v>
      </c>
      <c r="D9" s="262">
        <f>OF!D123</f>
        <v>0</v>
      </c>
      <c r="E9" s="369">
        <v>0</v>
      </c>
      <c r="F9" s="372">
        <f t="shared" ref="F9:F14" si="0">D9*E9</f>
        <v>0</v>
      </c>
      <c r="G9" s="579"/>
      <c r="H9" s="2146"/>
      <c r="I9" s="2213"/>
    </row>
    <row r="10" spans="1:11" ht="15" customHeight="1">
      <c r="A10" s="2314"/>
      <c r="B10" s="2341"/>
      <c r="C10" s="616" t="str">
        <f>OF!C124</f>
        <v>10 - 50 m</v>
      </c>
      <c r="D10" s="275">
        <f>OF!D124</f>
        <v>0</v>
      </c>
      <c r="E10" s="369">
        <v>1</v>
      </c>
      <c r="F10" s="372">
        <f t="shared" si="0"/>
        <v>0</v>
      </c>
      <c r="G10" s="579"/>
      <c r="H10" s="2146"/>
      <c r="I10" s="2213"/>
    </row>
    <row r="11" spans="1:11" ht="15" customHeight="1">
      <c r="A11" s="2314"/>
      <c r="B11" s="2341"/>
      <c r="C11" s="616" t="str">
        <f>OF!C125</f>
        <v>50 - 100 m</v>
      </c>
      <c r="D11" s="275">
        <f>OF!D125</f>
        <v>0</v>
      </c>
      <c r="E11" s="369">
        <v>2</v>
      </c>
      <c r="F11" s="372">
        <f t="shared" si="0"/>
        <v>0</v>
      </c>
      <c r="G11" s="579"/>
      <c r="H11" s="2146"/>
      <c r="I11" s="2213"/>
    </row>
    <row r="12" spans="1:11" ht="15" customHeight="1">
      <c r="A12" s="2314"/>
      <c r="B12" s="2341"/>
      <c r="C12" s="616" t="str">
        <f>OF!C126</f>
        <v>100 - 1000 m</v>
      </c>
      <c r="D12" s="275">
        <f>OF!D126</f>
        <v>0</v>
      </c>
      <c r="E12" s="369">
        <v>3</v>
      </c>
      <c r="F12" s="372">
        <f t="shared" si="0"/>
        <v>0</v>
      </c>
      <c r="G12" s="579"/>
      <c r="H12" s="2146"/>
      <c r="I12" s="2213"/>
    </row>
    <row r="13" spans="1:11" ht="15" customHeight="1">
      <c r="A13" s="2314"/>
      <c r="B13" s="2341"/>
      <c r="C13" s="616" t="str">
        <f>OF!C127</f>
        <v>1- 2 km</v>
      </c>
      <c r="D13" s="275">
        <f>OF!D127</f>
        <v>0</v>
      </c>
      <c r="E13" s="369">
        <v>4</v>
      </c>
      <c r="F13" s="372">
        <f t="shared" si="0"/>
        <v>0</v>
      </c>
      <c r="G13" s="579"/>
      <c r="H13" s="2146"/>
      <c r="I13" s="2213"/>
    </row>
    <row r="14" spans="1:11" ht="15" customHeight="1" thickBot="1">
      <c r="A14" s="2315"/>
      <c r="B14" s="2342"/>
      <c r="C14" s="422" t="str">
        <f>OF!C128</f>
        <v>&gt;2 km, or wetland lacks an outlet.</v>
      </c>
      <c r="D14" s="246">
        <f>OF!D128</f>
        <v>0</v>
      </c>
      <c r="E14" s="580">
        <v>5</v>
      </c>
      <c r="F14" s="581">
        <f t="shared" si="0"/>
        <v>0</v>
      </c>
      <c r="G14" s="582"/>
      <c r="H14" s="2149"/>
      <c r="I14" s="2377"/>
    </row>
    <row r="15" spans="1:11" ht="30" customHeight="1" thickBot="1">
      <c r="A15" s="2343" t="str">
        <f>OF!A129</f>
        <v>OF28</v>
      </c>
      <c r="B15" s="2340" t="str">
        <f>OF!B129</f>
        <v>Growing Degree Days</v>
      </c>
      <c r="C15" s="411" t="str">
        <f>OF!C129</f>
        <v>According to Figure A-1 in Appendix A of the Manual, the mean annual Growing Degree Days (GDD) in the vicinity of the AA is approximately:</v>
      </c>
      <c r="D15" s="576"/>
      <c r="E15" s="576"/>
      <c r="F15" s="583"/>
      <c r="G15" s="577">
        <f>MAX(F16:F21)/MAX(E16:E21)</f>
        <v>0</v>
      </c>
      <c r="H15" s="2148" t="s">
        <v>1318</v>
      </c>
      <c r="I15" s="2212" t="s">
        <v>488</v>
      </c>
    </row>
    <row r="16" spans="1:11" ht="15" customHeight="1">
      <c r="A16" s="2329"/>
      <c r="B16" s="2341"/>
      <c r="C16" s="170" t="str">
        <f>OF!C130</f>
        <v>800-1000 days</v>
      </c>
      <c r="D16" s="261">
        <f>OF!D130</f>
        <v>0</v>
      </c>
      <c r="E16" s="369">
        <v>0</v>
      </c>
      <c r="F16" s="370">
        <f t="shared" ref="F16:F21" si="1">D16*E16</f>
        <v>0</v>
      </c>
      <c r="G16" s="578"/>
      <c r="H16" s="2146"/>
      <c r="I16" s="2213"/>
    </row>
    <row r="17" spans="1:9" ht="15" customHeight="1">
      <c r="A17" s="2329"/>
      <c r="B17" s="2341"/>
      <c r="C17" s="82" t="str">
        <f>OF!C131</f>
        <v>1000-1200</v>
      </c>
      <c r="D17" s="245">
        <f>OF!D131</f>
        <v>0</v>
      </c>
      <c r="E17" s="369">
        <v>1</v>
      </c>
      <c r="F17" s="370">
        <f t="shared" si="1"/>
        <v>0</v>
      </c>
      <c r="G17" s="578"/>
      <c r="H17" s="2146"/>
      <c r="I17" s="2213"/>
    </row>
    <row r="18" spans="1:9" ht="15" customHeight="1">
      <c r="A18" s="2329"/>
      <c r="B18" s="2341"/>
      <c r="C18" s="82" t="str">
        <f>OF!C132</f>
        <v>1200-1400</v>
      </c>
      <c r="D18" s="245">
        <f>OF!D132</f>
        <v>0</v>
      </c>
      <c r="E18" s="369">
        <v>2</v>
      </c>
      <c r="F18" s="370">
        <f t="shared" si="1"/>
        <v>0</v>
      </c>
      <c r="G18" s="578"/>
      <c r="H18" s="2146"/>
      <c r="I18" s="2213"/>
    </row>
    <row r="19" spans="1:9" ht="15" customHeight="1">
      <c r="A19" s="2329"/>
      <c r="B19" s="2341"/>
      <c r="C19" s="82" t="str">
        <f>OF!C133</f>
        <v>1400-1600</v>
      </c>
      <c r="D19" s="245">
        <f>OF!D133</f>
        <v>0</v>
      </c>
      <c r="E19" s="369">
        <v>3</v>
      </c>
      <c r="F19" s="370">
        <f t="shared" si="1"/>
        <v>0</v>
      </c>
      <c r="G19" s="578"/>
      <c r="H19" s="2146"/>
      <c r="I19" s="2213"/>
    </row>
    <row r="20" spans="1:9" ht="15" customHeight="1">
      <c r="A20" s="2329"/>
      <c r="B20" s="2341"/>
      <c r="C20" s="82" t="str">
        <f>OF!C134</f>
        <v>1600-1800</v>
      </c>
      <c r="D20" s="245">
        <f>OF!D134</f>
        <v>0</v>
      </c>
      <c r="E20" s="369">
        <v>4</v>
      </c>
      <c r="F20" s="370">
        <f t="shared" si="1"/>
        <v>0</v>
      </c>
      <c r="G20" s="579"/>
      <c r="H20" s="2146"/>
      <c r="I20" s="2213"/>
    </row>
    <row r="21" spans="1:9" ht="15" customHeight="1" thickBot="1">
      <c r="A21" s="2330"/>
      <c r="B21" s="2342"/>
      <c r="C21" s="438" t="str">
        <f>OF!C135</f>
        <v>&gt;1800 days</v>
      </c>
      <c r="D21" s="246">
        <f>OF!D135</f>
        <v>0</v>
      </c>
      <c r="E21" s="580">
        <v>5</v>
      </c>
      <c r="F21" s="581">
        <f t="shared" si="1"/>
        <v>0</v>
      </c>
      <c r="G21" s="582"/>
      <c r="H21" s="2149"/>
      <c r="I21" s="2377"/>
    </row>
    <row r="22" spans="1:9" ht="30" customHeight="1" thickBot="1">
      <c r="A22" s="2313" t="str">
        <f>F!A57</f>
        <v>F11</v>
      </c>
      <c r="B22" s="2323" t="str">
        <f>F!B57</f>
        <v>% Bare Ground &amp; Thatch</v>
      </c>
      <c r="C22" s="411" t="str">
        <f>F!C57</f>
        <v>Consider the parts of the AA that lack surface water at the driest time of the growing season. Viewed from directly above the ground layer, the predominant condition in those areas at that time is:</v>
      </c>
      <c r="D22" s="369"/>
      <c r="E22" s="587"/>
      <c r="F22" s="583"/>
      <c r="G22" s="577">
        <f>MAX(F23:F26)/MAX(E23:E26)</f>
        <v>0</v>
      </c>
      <c r="H22" s="2148" t="s">
        <v>703</v>
      </c>
      <c r="I22" s="2181" t="s">
        <v>484</v>
      </c>
    </row>
    <row r="23" spans="1:9" ht="42" customHeight="1">
      <c r="A23" s="2314"/>
      <c r="B23" s="2336"/>
      <c r="C23" s="170" t="str">
        <f>F!C58</f>
        <v>Little or no (&lt;5%) bare ground is visible between erect stems or under canopy anywhere in the vegetated AA. Ground is extensively blanketed by dense thatch, moss, lichens, graminoids with great stem densities, or plants with ground-hugging foliage. </v>
      </c>
      <c r="D23" s="261">
        <f>F!D58</f>
        <v>0</v>
      </c>
      <c r="E23" s="370">
        <v>3</v>
      </c>
      <c r="F23" s="370">
        <f>D23*E23</f>
        <v>0</v>
      </c>
      <c r="G23" s="578"/>
      <c r="H23" s="2146"/>
      <c r="I23" s="2180"/>
    </row>
    <row r="24" spans="1:9" ht="27" customHeight="1">
      <c r="A24" s="2314"/>
      <c r="B24" s="2336"/>
      <c r="C24" s="82" t="str">
        <f>F!C59</f>
        <v>Slightly bare ground (5-20% bare between plants) is visible in places, but those areas comprise less than 5% of the unflooded parts of the AA.</v>
      </c>
      <c r="D24" s="245">
        <f>F!D59</f>
        <v>0</v>
      </c>
      <c r="E24" s="370">
        <v>2</v>
      </c>
      <c r="F24" s="370">
        <f>D24*E24</f>
        <v>0</v>
      </c>
      <c r="G24" s="579"/>
      <c r="H24" s="2146"/>
      <c r="I24" s="2180"/>
    </row>
    <row r="25" spans="1:9" ht="27" customHeight="1">
      <c r="A25" s="2314"/>
      <c r="B25" s="2336"/>
      <c r="C25" s="82" t="str">
        <f>F!C60</f>
        <v>Much bare ground (20-50% bare between plants) is visible in places, and those areas comprise more than 5% of the unflooded parts of the AA. </v>
      </c>
      <c r="D25" s="245">
        <f>F!D60</f>
        <v>0</v>
      </c>
      <c r="E25" s="370">
        <v>1</v>
      </c>
      <c r="F25" s="370">
        <f>D25*E25</f>
        <v>0</v>
      </c>
      <c r="G25" s="579"/>
      <c r="H25" s="2146"/>
      <c r="I25" s="2180"/>
    </row>
    <row r="26" spans="1:9" ht="15" customHeight="1" thickBot="1">
      <c r="A26" s="2315"/>
      <c r="B26" s="2337"/>
      <c r="C26" s="438" t="str">
        <f>F!C61</f>
        <v>Other conditions.</v>
      </c>
      <c r="D26" s="246">
        <f>F!D61</f>
        <v>0</v>
      </c>
      <c r="E26" s="581">
        <v>0</v>
      </c>
      <c r="F26" s="581">
        <f>D26*E26</f>
        <v>0</v>
      </c>
      <c r="G26" s="582"/>
      <c r="H26" s="2149"/>
      <c r="I26" s="2180"/>
    </row>
    <row r="27" spans="1:9" ht="60" customHeight="1" thickBot="1">
      <c r="A27" s="2313" t="str">
        <f>F!A63</f>
        <v>F12</v>
      </c>
      <c r="B27" s="2323" t="str">
        <f>F!B63</f>
        <v xml:space="preserve">Ground Irregularity </v>
      </c>
      <c r="C27" s="411"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27" s="369"/>
      <c r="E27" s="587"/>
      <c r="F27" s="583"/>
      <c r="G27" s="577">
        <f>MAX(F28:F30)/MAX(E28:E30)</f>
        <v>0</v>
      </c>
      <c r="H27" s="2218" t="s">
        <v>114</v>
      </c>
      <c r="I27" s="2481" t="s">
        <v>485</v>
      </c>
    </row>
    <row r="28" spans="1:9" ht="15" customHeight="1">
      <c r="A28" s="2314"/>
      <c r="B28" s="2336"/>
      <c r="C28" s="170" t="str">
        <f>F!C64</f>
        <v>Few or none (minimal microtopography; &lt;1% has such features).</v>
      </c>
      <c r="D28" s="261">
        <f>F!D64</f>
        <v>0</v>
      </c>
      <c r="E28" s="370">
        <v>0</v>
      </c>
      <c r="F28" s="370">
        <f>D28*E28</f>
        <v>0</v>
      </c>
      <c r="G28" s="578"/>
      <c r="H28" s="2211"/>
      <c r="I28" s="2482"/>
    </row>
    <row r="29" spans="1:9" ht="15" customHeight="1">
      <c r="A29" s="2314"/>
      <c r="B29" s="2336"/>
      <c r="C29" s="82" t="str">
        <f>F!C65</f>
        <v>Intermediate.</v>
      </c>
      <c r="D29" s="245">
        <f>F!D65</f>
        <v>0</v>
      </c>
      <c r="E29" s="370">
        <v>1</v>
      </c>
      <c r="F29" s="370">
        <f>D29*E29</f>
        <v>0</v>
      </c>
      <c r="G29" s="579"/>
      <c r="H29" s="2211"/>
      <c r="I29" s="2482"/>
    </row>
    <row r="30" spans="1:9" ht="15" customHeight="1" thickBot="1">
      <c r="A30" s="2315"/>
      <c r="B30" s="2337"/>
      <c r="C30" s="438" t="str">
        <f>F!C66</f>
        <v>Several (extensive micro-topography).</v>
      </c>
      <c r="D30" s="246">
        <f>F!D66</f>
        <v>0</v>
      </c>
      <c r="E30" s="581">
        <v>2</v>
      </c>
      <c r="F30" s="581">
        <f>D30*E30</f>
        <v>0</v>
      </c>
      <c r="G30" s="582"/>
      <c r="H30" s="2420"/>
      <c r="I30" s="2483"/>
    </row>
    <row r="31" spans="1:9" ht="45" customHeight="1" thickBot="1">
      <c r="A31" s="2327" t="str">
        <f>F!A71</f>
        <v>F14</v>
      </c>
      <c r="B31" s="2336" t="str">
        <f>F!B71</f>
        <v>Soil Texture</v>
      </c>
      <c r="C31" s="562" t="str">
        <f>F!C71</f>
        <v xml:space="preserve">In parts of the AA that lack persistent water, the texture of soil in the uppermost layer is mostly:  [To determine this, use a trowel to check in at least 3 widely spaced locations, and use the soil texture key (Figure A-7 in the Manual. ] </v>
      </c>
      <c r="D31" s="369"/>
      <c r="E31" s="588"/>
      <c r="F31" s="368"/>
      <c r="G31" s="584">
        <f>MAX(F32:F36)/MAX(E32:E36)</f>
        <v>0</v>
      </c>
      <c r="H31" s="2211" t="s">
        <v>1875</v>
      </c>
      <c r="I31" s="2212" t="s">
        <v>486</v>
      </c>
    </row>
    <row r="32" spans="1:9" ht="15" customHeight="1">
      <c r="A32" s="2327"/>
      <c r="B32" s="2336"/>
      <c r="C32" s="426" t="str">
        <f>F!C72</f>
        <v>Loamy: includes loam, sandy loam.</v>
      </c>
      <c r="D32" s="263">
        <f>F!D72</f>
        <v>0</v>
      </c>
      <c r="E32" s="370">
        <v>2</v>
      </c>
      <c r="F32" s="370">
        <f>D32*E32</f>
        <v>0</v>
      </c>
      <c r="G32" s="578"/>
      <c r="H32" s="2211"/>
      <c r="I32" s="2213"/>
    </row>
    <row r="33" spans="1:9" ht="27" customHeight="1">
      <c r="A33" s="2327"/>
      <c r="B33" s="2336"/>
      <c r="C33" s="427" t="str">
        <f>F!C73</f>
        <v>Fines: includes silt, clay, clay loam, silty clay, silty clay loam, sandy clay, sandy clay loam.</v>
      </c>
      <c r="D33" s="264">
        <f>F!D73</f>
        <v>0</v>
      </c>
      <c r="E33" s="370">
        <v>3</v>
      </c>
      <c r="F33" s="370">
        <f>D33*E33</f>
        <v>0</v>
      </c>
      <c r="G33" s="579"/>
      <c r="H33" s="2211"/>
      <c r="I33" s="2213"/>
    </row>
    <row r="34" spans="1:9" ht="15" customHeight="1">
      <c r="A34" s="2327"/>
      <c r="B34" s="2336"/>
      <c r="C34" s="427" t="str">
        <f>F!C74</f>
        <v>Peat, to 40 cm depth or greater.</v>
      </c>
      <c r="D34" s="264">
        <f>F!D74</f>
        <v>0</v>
      </c>
      <c r="E34" s="370">
        <v>5</v>
      </c>
      <c r="F34" s="370">
        <f>D34*E34</f>
        <v>0</v>
      </c>
      <c r="G34" s="579"/>
      <c r="H34" s="2211"/>
      <c r="I34" s="2213"/>
    </row>
    <row r="35" spans="1:9" ht="15" customHeight="1">
      <c r="A35" s="2327"/>
      <c r="B35" s="2336"/>
      <c r="C35" s="427" t="str">
        <f>F!C75</f>
        <v xml:space="preserve">Peat or organic &lt;40 cm deep. </v>
      </c>
      <c r="D35" s="264">
        <f>F!D75</f>
        <v>0</v>
      </c>
      <c r="E35" s="370">
        <v>4</v>
      </c>
      <c r="F35" s="370">
        <f>D35*E35</f>
        <v>0</v>
      </c>
      <c r="G35" s="585"/>
      <c r="H35" s="2211"/>
      <c r="I35" s="2213"/>
    </row>
    <row r="36" spans="1:9" ht="27" customHeight="1" thickBot="1">
      <c r="A36" s="2327"/>
      <c r="B36" s="2336"/>
      <c r="C36" s="1163" t="str">
        <f>F!C76</f>
        <v>Coarse: includes sand, loamy sand, gravel, cobble, stones, boulders, fluvents, fluvaquents, riverwash.</v>
      </c>
      <c r="D36" s="265">
        <f>F!D76</f>
        <v>0</v>
      </c>
      <c r="E36" s="372">
        <v>1</v>
      </c>
      <c r="F36" s="372">
        <f>D36*E36</f>
        <v>0</v>
      </c>
      <c r="G36" s="1164"/>
      <c r="H36" s="2489"/>
      <c r="I36" s="2377"/>
    </row>
    <row r="37" spans="1:9" ht="33" customHeight="1" thickBot="1">
      <c r="A37" s="612" t="str">
        <f>F!A114</f>
        <v>F23</v>
      </c>
      <c r="B37" s="148" t="str">
        <f>F!B114</f>
        <v>Lacustrine Wetland</v>
      </c>
      <c r="C37" s="618" t="str">
        <f>F!C114</f>
        <v>The vegetated part of the AA borders a lake, i.e., a body of non-tidal standing open water whose size exceeds 8 hectares during most of a normal year.</v>
      </c>
      <c r="D37" s="277">
        <f>F!D114</f>
        <v>0</v>
      </c>
      <c r="E37" s="590"/>
      <c r="F37" s="597"/>
      <c r="G37" s="577">
        <f>IF((AllSat1&gt;0),"",IF((NoPersis=1),"",D37))</f>
        <v>0</v>
      </c>
      <c r="H37" s="81" t="s">
        <v>1356</v>
      </c>
      <c r="I37" s="123" t="s">
        <v>475</v>
      </c>
    </row>
    <row r="38" spans="1:9" ht="30" customHeight="1" thickBot="1">
      <c r="A38" s="2348" t="str">
        <f>F!A115</f>
        <v>F24</v>
      </c>
      <c r="B38" s="2438" t="str">
        <f>F!B115</f>
        <v>% of AA Without Surface Water</v>
      </c>
      <c r="C38" s="563" t="str">
        <f>F!C115</f>
        <v>The percentage of the AA that never contains surface water during an average year (that is, except perhaps for a few hours after snowmelt or rainstorms), but which is still a wetland, is:</v>
      </c>
      <c r="D38" s="371"/>
      <c r="E38" s="599"/>
      <c r="F38" s="600"/>
      <c r="G38" s="584">
        <f>MAX(F39:F44)/MAX(E39:E44)</f>
        <v>0</v>
      </c>
      <c r="H38" s="2146" t="s">
        <v>790</v>
      </c>
      <c r="I38" s="2212" t="s">
        <v>1139</v>
      </c>
    </row>
    <row r="39" spans="1:9" ht="27" customHeight="1">
      <c r="A39" s="2348"/>
      <c r="B39" s="2454"/>
      <c r="C39" s="564" t="str">
        <f>F!C116</f>
        <v xml:space="preserve">&lt;1% AND &lt;0.01 hectare (about 10 m on a side) never has surface water. In other words, all or nearly all of the AA is covered by water permanently or at least seasonally.  </v>
      </c>
      <c r="D39" s="267">
        <f>F!D116</f>
        <v>0</v>
      </c>
      <c r="E39" s="370">
        <v>0</v>
      </c>
      <c r="F39" s="370">
        <f t="shared" ref="F39:F44" si="2">D39*E39</f>
        <v>0</v>
      </c>
      <c r="G39" s="579"/>
      <c r="H39" s="2146"/>
      <c r="I39" s="2213"/>
    </row>
    <row r="40" spans="1:9" ht="15" customHeight="1">
      <c r="A40" s="2348"/>
      <c r="B40" s="2454"/>
      <c r="C40" s="565" t="str">
        <f>F!C117</f>
        <v>1-25% of the AA,  or &lt;1% but &gt;0.01 ha, never contains surface water.</v>
      </c>
      <c r="D40" s="267">
        <f>F!D117</f>
        <v>0</v>
      </c>
      <c r="E40" s="370">
        <v>1</v>
      </c>
      <c r="F40" s="370">
        <f t="shared" si="2"/>
        <v>0</v>
      </c>
      <c r="G40" s="579"/>
      <c r="H40" s="2146"/>
      <c r="I40" s="2213"/>
    </row>
    <row r="41" spans="1:9" ht="15" customHeight="1">
      <c r="A41" s="2348"/>
      <c r="B41" s="2454"/>
      <c r="C41" s="565" t="str">
        <f>F!C118</f>
        <v>25-50% of the AA never contains surface water.</v>
      </c>
      <c r="D41" s="267">
        <f>F!D118</f>
        <v>0</v>
      </c>
      <c r="E41" s="370">
        <v>2</v>
      </c>
      <c r="F41" s="370">
        <f t="shared" si="2"/>
        <v>0</v>
      </c>
      <c r="G41" s="579"/>
      <c r="H41" s="2146"/>
      <c r="I41" s="2213"/>
    </row>
    <row r="42" spans="1:9" ht="15" customHeight="1">
      <c r="A42" s="2348"/>
      <c r="B42" s="2454"/>
      <c r="C42" s="565" t="str">
        <f>F!C119</f>
        <v>50-75% of the AA never contains surface water.</v>
      </c>
      <c r="D42" s="267">
        <f>F!D119</f>
        <v>0</v>
      </c>
      <c r="E42" s="370">
        <v>3</v>
      </c>
      <c r="F42" s="370">
        <f t="shared" si="2"/>
        <v>0</v>
      </c>
      <c r="G42" s="579"/>
      <c r="H42" s="2146"/>
      <c r="I42" s="2213"/>
    </row>
    <row r="43" spans="1:9" ht="15" customHeight="1">
      <c r="A43" s="2348"/>
      <c r="B43" s="2454"/>
      <c r="C43" s="565" t="str">
        <f>F!C120</f>
        <v>75-99% of the AA never contains surface water.</v>
      </c>
      <c r="D43" s="267">
        <f>F!D120</f>
        <v>0</v>
      </c>
      <c r="E43" s="370">
        <v>4</v>
      </c>
      <c r="F43" s="370">
        <f t="shared" si="2"/>
        <v>0</v>
      </c>
      <c r="G43" s="579"/>
      <c r="H43" s="2146"/>
      <c r="I43" s="2213"/>
    </row>
    <row r="44" spans="1:9" ht="27" customHeight="1" thickBot="1">
      <c r="A44" s="2348"/>
      <c r="B44" s="2455"/>
      <c r="C44" s="619" t="str">
        <f>F!C121</f>
        <v>100%. True for many bogs, meadow marshes, swamps that lack vernal pools.  Enter "1" and SKIP to F42 (Channel Connection).</v>
      </c>
      <c r="D44" s="278">
        <f>F!D121</f>
        <v>0</v>
      </c>
      <c r="E44" s="372">
        <v>5</v>
      </c>
      <c r="F44" s="372">
        <f t="shared" si="2"/>
        <v>0</v>
      </c>
      <c r="G44" s="585"/>
      <c r="H44" s="2146"/>
      <c r="I44" s="2377"/>
    </row>
    <row r="45" spans="1:9" ht="45" customHeight="1" thickBot="1">
      <c r="A45" s="2313" t="str">
        <f>F!A122</f>
        <v>F25</v>
      </c>
      <c r="B45" s="2323" t="str">
        <f>F!B122</f>
        <v>% of AA with Persistent Surface Water</v>
      </c>
      <c r="C45" s="411"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45" s="576"/>
      <c r="E45" s="587"/>
      <c r="F45" s="583"/>
      <c r="G45" s="577">
        <f>IF((AllSat1&gt;0),"",MAX(F46:F50)/MAX(E46:E50))</f>
        <v>0</v>
      </c>
      <c r="H45" s="2218" t="s">
        <v>2273</v>
      </c>
      <c r="I45" s="2212" t="s">
        <v>476</v>
      </c>
    </row>
    <row r="46" spans="1:9" ht="27" customHeight="1">
      <c r="A46" s="2314"/>
      <c r="B46" s="2336"/>
      <c r="C46" s="82" t="str">
        <f>F!C123</f>
        <v>none. The AA dries up completely (no water in channels either) or never has surface water during most years.</v>
      </c>
      <c r="D46" s="245">
        <f>F!D123</f>
        <v>0</v>
      </c>
      <c r="E46" s="588">
        <v>5</v>
      </c>
      <c r="F46" s="370">
        <f>D46*E46</f>
        <v>0</v>
      </c>
      <c r="G46" s="579"/>
      <c r="H46" s="2211"/>
      <c r="I46" s="2213"/>
    </row>
    <row r="47" spans="1:9" ht="15" customHeight="1">
      <c r="A47" s="2314"/>
      <c r="B47" s="2336"/>
      <c r="C47" s="82" t="str">
        <f>F!C124</f>
        <v>1-20% of the AA.</v>
      </c>
      <c r="D47" s="245">
        <f>F!D124</f>
        <v>0</v>
      </c>
      <c r="E47" s="370">
        <v>4</v>
      </c>
      <c r="F47" s="370">
        <f>D47*E47</f>
        <v>0</v>
      </c>
      <c r="G47" s="578"/>
      <c r="H47" s="2211"/>
      <c r="I47" s="2213"/>
    </row>
    <row r="48" spans="1:9" ht="15" customHeight="1">
      <c r="A48" s="2314"/>
      <c r="B48" s="2336"/>
      <c r="C48" s="82" t="str">
        <f>F!C125</f>
        <v>20-50% of the AA.</v>
      </c>
      <c r="D48" s="245">
        <f>F!D125</f>
        <v>0</v>
      </c>
      <c r="E48" s="370">
        <v>3</v>
      </c>
      <c r="F48" s="370">
        <f>D48*E48</f>
        <v>0</v>
      </c>
      <c r="G48" s="579"/>
      <c r="H48" s="2211"/>
      <c r="I48" s="2213"/>
    </row>
    <row r="49" spans="1:9" ht="15" customHeight="1">
      <c r="A49" s="2314"/>
      <c r="B49" s="2336"/>
      <c r="C49" s="82" t="str">
        <f>F!C126</f>
        <v>50-95% of the AA.</v>
      </c>
      <c r="D49" s="245">
        <f>F!D126</f>
        <v>0</v>
      </c>
      <c r="E49" s="370">
        <v>2</v>
      </c>
      <c r="F49" s="370">
        <f>D49*E49</f>
        <v>0</v>
      </c>
      <c r="G49" s="579"/>
      <c r="H49" s="2211"/>
      <c r="I49" s="2213"/>
    </row>
    <row r="50" spans="1:9" ht="15" customHeight="1" thickBot="1">
      <c r="A50" s="2315"/>
      <c r="B50" s="2337"/>
      <c r="C50" s="438" t="str">
        <f>F!C127</f>
        <v>&gt;95% of the AA. True for many fringe wetlands.</v>
      </c>
      <c r="D50" s="246">
        <f>F!D127</f>
        <v>0</v>
      </c>
      <c r="E50" s="581">
        <v>1</v>
      </c>
      <c r="F50" s="581">
        <f>D50*E50</f>
        <v>0</v>
      </c>
      <c r="G50" s="582"/>
      <c r="H50" s="2420"/>
      <c r="I50" s="2377"/>
    </row>
    <row r="51" spans="1:9" ht="30" customHeight="1" thickBot="1">
      <c r="A51" s="2475" t="str">
        <f>F!A140</f>
        <v>F28</v>
      </c>
      <c r="B51" s="2336" t="str">
        <f>F!B140</f>
        <v>Annual Water Fluctuation Range</v>
      </c>
      <c r="C51" s="561" t="str">
        <f>F!C140</f>
        <v>The annual fluctuation in surface water level within most of the parts of the AA that contain surface water is:</v>
      </c>
      <c r="D51" s="367"/>
      <c r="E51" s="588"/>
      <c r="F51" s="368"/>
      <c r="G51" s="584">
        <f>IF((AllSat1&gt;0),"",IF((NoSeasonal=1),"",MAX(F52:F55)/MAX(E52:E55)))</f>
        <v>0</v>
      </c>
      <c r="H51" s="2211" t="s">
        <v>2274</v>
      </c>
      <c r="I51" s="2212" t="s">
        <v>478</v>
      </c>
    </row>
    <row r="52" spans="1:9" ht="18" customHeight="1">
      <c r="A52" s="2475"/>
      <c r="B52" s="2336"/>
      <c r="C52" s="170" t="str">
        <f>F!C141</f>
        <v>&lt;10 cm change (stable or nearly so).</v>
      </c>
      <c r="D52" s="261">
        <f>F!D141</f>
        <v>0</v>
      </c>
      <c r="E52" s="370">
        <v>5</v>
      </c>
      <c r="F52" s="370">
        <f>D52*E52</f>
        <v>0</v>
      </c>
      <c r="G52" s="578"/>
      <c r="H52" s="2211"/>
      <c r="I52" s="2213"/>
    </row>
    <row r="53" spans="1:9" ht="18" customHeight="1">
      <c r="A53" s="2475"/>
      <c r="B53" s="2336"/>
      <c r="C53" s="82" t="str">
        <f>F!C142</f>
        <v>10 cm - 50 cm change.</v>
      </c>
      <c r="D53" s="245">
        <f>F!D142</f>
        <v>0</v>
      </c>
      <c r="E53" s="601">
        <v>3</v>
      </c>
      <c r="F53" s="370">
        <f>D53*E53</f>
        <v>0</v>
      </c>
      <c r="G53" s="579"/>
      <c r="H53" s="2211"/>
      <c r="I53" s="2213"/>
    </row>
    <row r="54" spans="1:9" ht="18" customHeight="1">
      <c r="A54" s="2475"/>
      <c r="B54" s="2336"/>
      <c r="C54" s="82" t="str">
        <f>F!C143</f>
        <v>0.5 - 1 m change.</v>
      </c>
      <c r="D54" s="245">
        <f>F!D143</f>
        <v>0</v>
      </c>
      <c r="E54" s="370">
        <v>2</v>
      </c>
      <c r="F54" s="370">
        <f>D54*E54</f>
        <v>0</v>
      </c>
      <c r="G54" s="579"/>
      <c r="H54" s="2211"/>
      <c r="I54" s="2213"/>
    </row>
    <row r="55" spans="1:9" ht="18" customHeight="1" thickBot="1">
      <c r="A55" s="2476"/>
      <c r="B55" s="2337"/>
      <c r="C55" s="438" t="str">
        <f>F!C144</f>
        <v>1-2 m change.</v>
      </c>
      <c r="D55" s="246">
        <f>F!D144</f>
        <v>0</v>
      </c>
      <c r="E55" s="581">
        <v>1</v>
      </c>
      <c r="F55" s="581">
        <f>D55*E55</f>
        <v>0</v>
      </c>
      <c r="G55" s="582"/>
      <c r="H55" s="2420"/>
      <c r="I55" s="2377"/>
    </row>
    <row r="56" spans="1:9" ht="30" customHeight="1" thickBot="1">
      <c r="A56" s="2473" t="str">
        <f>F!A147</f>
        <v>F29</v>
      </c>
      <c r="B56" s="2336" t="str">
        <f>F!B147</f>
        <v>Predominant Depth Class</v>
      </c>
      <c r="C56" s="411" t="str">
        <f>F!C147</f>
        <v>During most of the time when surface water is present during the growing season, its depth, averaged over the entire inundated part of the AA, is:</v>
      </c>
      <c r="D56" s="367"/>
      <c r="E56" s="588"/>
      <c r="F56" s="368"/>
      <c r="G56" s="584">
        <f>IF((AllSat1&gt;0),"",IF((TooSmall=1),"",MAX(F57:F61)/MAX(E57:E61)))</f>
        <v>0</v>
      </c>
      <c r="H56" s="2146" t="s">
        <v>2275</v>
      </c>
      <c r="I56" s="2212" t="s">
        <v>479</v>
      </c>
    </row>
    <row r="57" spans="1:9" ht="15" customHeight="1">
      <c r="A57" s="2473"/>
      <c r="B57" s="2336"/>
      <c r="C57" s="170" t="str">
        <f>F!C148</f>
        <v>&lt;10 cm deep (but &gt;0).</v>
      </c>
      <c r="D57" s="261">
        <f>F!D148</f>
        <v>0</v>
      </c>
      <c r="E57" s="370">
        <v>1</v>
      </c>
      <c r="F57" s="370">
        <f>D57*E57</f>
        <v>0</v>
      </c>
      <c r="G57" s="578"/>
      <c r="H57" s="2146"/>
      <c r="I57" s="2213"/>
    </row>
    <row r="58" spans="1:9" ht="15" customHeight="1">
      <c r="A58" s="2473"/>
      <c r="B58" s="2336"/>
      <c r="C58" s="82" t="str">
        <f>F!C149</f>
        <v>10 - 50 cm deep.</v>
      </c>
      <c r="D58" s="245">
        <f>F!D149</f>
        <v>0</v>
      </c>
      <c r="E58" s="370">
        <v>2</v>
      </c>
      <c r="F58" s="370">
        <f>D58*E58</f>
        <v>0</v>
      </c>
      <c r="G58" s="579"/>
      <c r="H58" s="2146"/>
      <c r="I58" s="2213"/>
    </row>
    <row r="59" spans="1:9" ht="15" customHeight="1">
      <c r="A59" s="2473"/>
      <c r="B59" s="2336"/>
      <c r="C59" s="82" t="str">
        <f>F!C150</f>
        <v>0.5 - 1 m deep.</v>
      </c>
      <c r="D59" s="245">
        <f>F!D150</f>
        <v>0</v>
      </c>
      <c r="E59" s="370">
        <v>5</v>
      </c>
      <c r="F59" s="370">
        <f>D59*E59</f>
        <v>0</v>
      </c>
      <c r="G59" s="579"/>
      <c r="H59" s="2146"/>
      <c r="I59" s="2213"/>
    </row>
    <row r="60" spans="1:9" ht="15" customHeight="1">
      <c r="A60" s="2473"/>
      <c r="B60" s="2336"/>
      <c r="C60" s="82" t="str">
        <f>F!C151</f>
        <v>1 - 2 m deep.</v>
      </c>
      <c r="D60" s="245">
        <f>F!D151</f>
        <v>0</v>
      </c>
      <c r="E60" s="370">
        <v>4</v>
      </c>
      <c r="F60" s="370">
        <f>D60*E60</f>
        <v>0</v>
      </c>
      <c r="G60" s="579"/>
      <c r="H60" s="2146"/>
      <c r="I60" s="2213"/>
    </row>
    <row r="61" spans="1:9" ht="15" customHeight="1" thickBot="1">
      <c r="A61" s="2474"/>
      <c r="B61" s="2337"/>
      <c r="C61" s="438" t="str">
        <f>F!C152</f>
        <v>&gt;2 m deep. True for many fringe wetlands.</v>
      </c>
      <c r="D61" s="246">
        <f>F!D152</f>
        <v>0</v>
      </c>
      <c r="E61" s="581">
        <v>3</v>
      </c>
      <c r="F61" s="581">
        <f>D61*E61</f>
        <v>0</v>
      </c>
      <c r="G61" s="582"/>
      <c r="H61" s="2149"/>
      <c r="I61" s="2377"/>
    </row>
    <row r="62" spans="1:9" ht="30" customHeight="1" thickBot="1">
      <c r="A62" s="2434" t="str">
        <f>F!A164</f>
        <v>F33</v>
      </c>
      <c r="B62" s="2324" t="str">
        <f>F!B164</f>
        <v xml:space="preserve">% of Ponded Water that is Open </v>
      </c>
      <c r="C62" s="432" t="str">
        <f>F!C164</f>
        <v>In ducks-eye aerial view, the percentage of the ponded water that is open (lacking emergent vegetation during most of the growing season, and unhidden by a forest or shrub canopy) is:</v>
      </c>
      <c r="D62" s="622"/>
      <c r="E62" s="587"/>
      <c r="F62" s="583"/>
      <c r="G62" s="577">
        <f>IF((AllSat1&gt;0),"",IF((TooSmall=1),"",IF((NoPonded=1),"",MAX(F63:F68)/MAX(E63:E68))))</f>
        <v>0</v>
      </c>
      <c r="H62" s="2148" t="s">
        <v>2276</v>
      </c>
      <c r="I62" s="2212" t="s">
        <v>477</v>
      </c>
    </row>
    <row r="63" spans="1:9" ht="27" customHeight="1">
      <c r="A63" s="2435"/>
      <c r="B63" s="2325"/>
      <c r="C63" s="1051" t="str">
        <f>F!C165</f>
        <v>None, or &lt;1% of the AA and largest pool occupies &lt;0.01 hectares. Enter "1" and SKIP to F41 (Floating Algae &amp; Duckweed).</v>
      </c>
      <c r="D63" s="267">
        <f>F!D165</f>
        <v>0</v>
      </c>
      <c r="E63" s="377">
        <v>1</v>
      </c>
      <c r="F63" s="370">
        <f t="shared" ref="F63:F68" si="3">D63*E63</f>
        <v>0</v>
      </c>
      <c r="G63" s="578"/>
      <c r="H63" s="2146"/>
      <c r="I63" s="2213"/>
    </row>
    <row r="64" spans="1:9" ht="15" customHeight="1">
      <c r="A64" s="2435"/>
      <c r="B64" s="2325"/>
      <c r="C64" s="434" t="str">
        <f>F!C166</f>
        <v>1-4% of the ponded water. Enter "1" and SKIP to F40 (Floating Algae &amp; Duckweed).</v>
      </c>
      <c r="D64" s="267">
        <f>F!D166</f>
        <v>0</v>
      </c>
      <c r="E64" s="377">
        <v>2</v>
      </c>
      <c r="F64" s="370">
        <f t="shared" si="3"/>
        <v>0</v>
      </c>
      <c r="G64" s="579"/>
      <c r="H64" s="2146"/>
      <c r="I64" s="2213"/>
    </row>
    <row r="65" spans="1:9" ht="15" customHeight="1">
      <c r="A65" s="2435"/>
      <c r="B65" s="2325"/>
      <c r="C65" s="434" t="str">
        <f>F!C167</f>
        <v>5-30% of the ponded water.</v>
      </c>
      <c r="D65" s="1651">
        <f>F!D167</f>
        <v>0</v>
      </c>
      <c r="E65" s="377">
        <v>5</v>
      </c>
      <c r="F65" s="370">
        <f t="shared" si="3"/>
        <v>0</v>
      </c>
      <c r="G65" s="579"/>
      <c r="H65" s="2146"/>
      <c r="I65" s="2213"/>
    </row>
    <row r="66" spans="1:9" ht="15" customHeight="1">
      <c r="A66" s="2435"/>
      <c r="B66" s="2325"/>
      <c r="C66" s="434" t="str">
        <f>F!C168</f>
        <v>30-70% of the ponded water.</v>
      </c>
      <c r="D66" s="278">
        <f>F!D168</f>
        <v>0</v>
      </c>
      <c r="E66" s="377">
        <v>4</v>
      </c>
      <c r="F66" s="370">
        <f t="shared" si="3"/>
        <v>0</v>
      </c>
      <c r="G66" s="579"/>
      <c r="H66" s="2146"/>
      <c r="I66" s="2213"/>
    </row>
    <row r="67" spans="1:9" ht="15" customHeight="1">
      <c r="A67" s="2435"/>
      <c r="B67" s="2325"/>
      <c r="C67" s="434" t="str">
        <f>F!C169</f>
        <v>70-99% of the ponded water.</v>
      </c>
      <c r="D67" s="278">
        <f>F!D169</f>
        <v>0</v>
      </c>
      <c r="E67" s="377">
        <v>3</v>
      </c>
      <c r="F67" s="370">
        <f t="shared" si="3"/>
        <v>0</v>
      </c>
      <c r="G67" s="579"/>
      <c r="H67" s="2146"/>
      <c r="I67" s="2213"/>
    </row>
    <row r="68" spans="1:9" ht="15" customHeight="1" thickBot="1">
      <c r="A68" s="2436"/>
      <c r="B68" s="2326"/>
      <c r="C68" s="1052" t="str">
        <f>F!C170</f>
        <v xml:space="preserve">100% of the ponded water. </v>
      </c>
      <c r="D68" s="268">
        <f>F!D170</f>
        <v>0</v>
      </c>
      <c r="E68" s="378">
        <v>1</v>
      </c>
      <c r="F68" s="581">
        <f t="shared" si="3"/>
        <v>0</v>
      </c>
      <c r="G68" s="582"/>
      <c r="H68" s="2149"/>
      <c r="I68" s="2377"/>
    </row>
    <row r="69" spans="1:9" ht="30" customHeight="1" thickBot="1">
      <c r="A69" s="2480" t="str">
        <f>F!A171</f>
        <v>F34</v>
      </c>
      <c r="B69" s="2323" t="str">
        <f>F!B171</f>
        <v>Width of Vegetated Zone within Wetland</v>
      </c>
      <c r="C69" s="411" t="str">
        <f>F!C171</f>
        <v>At the time during the growing season when the AA's water level is lowest, the average width of vegetated area in the AA that separates adjoining uplands from open water within the AA is:</v>
      </c>
      <c r="D69" s="576"/>
      <c r="E69" s="587"/>
      <c r="F69" s="583"/>
      <c r="G69" s="577">
        <f>IF((AllSat1&gt;0),"",IF((TooSmall=1),"",IF((NoOpenPonded=1),"",MAX(F70:F74)/MAX(E70:E74))))</f>
        <v>0</v>
      </c>
      <c r="H69" s="2148" t="s">
        <v>1375</v>
      </c>
      <c r="I69" s="2212" t="s">
        <v>480</v>
      </c>
    </row>
    <row r="70" spans="1:9" ht="18" customHeight="1">
      <c r="A70" s="2475"/>
      <c r="B70" s="2336"/>
      <c r="C70" s="170" t="str">
        <f>F!C172</f>
        <v>&lt;1 m</v>
      </c>
      <c r="D70" s="261">
        <f>F!D172</f>
        <v>0</v>
      </c>
      <c r="E70" s="370">
        <v>0</v>
      </c>
      <c r="F70" s="370">
        <f>D70*E70</f>
        <v>0</v>
      </c>
      <c r="G70" s="578"/>
      <c r="H70" s="2146"/>
      <c r="I70" s="2213"/>
    </row>
    <row r="71" spans="1:9" ht="18" customHeight="1">
      <c r="A71" s="2475"/>
      <c r="B71" s="2336"/>
      <c r="C71" s="170" t="str">
        <f>F!C173</f>
        <v>1 - 9 m</v>
      </c>
      <c r="D71" s="261">
        <f>F!D173</f>
        <v>0</v>
      </c>
      <c r="E71" s="370">
        <v>2</v>
      </c>
      <c r="F71" s="370">
        <f>D71*E71</f>
        <v>0</v>
      </c>
      <c r="G71" s="579"/>
      <c r="H71" s="2146"/>
      <c r="I71" s="2213"/>
    </row>
    <row r="72" spans="1:9" ht="18" customHeight="1">
      <c r="A72" s="2475"/>
      <c r="B72" s="2336"/>
      <c r="C72" s="170" t="str">
        <f>F!C174</f>
        <v>10 - 29 m</v>
      </c>
      <c r="D72" s="261">
        <f>F!D174</f>
        <v>0</v>
      </c>
      <c r="E72" s="370">
        <v>3</v>
      </c>
      <c r="F72" s="370">
        <f>D72*E72</f>
        <v>0</v>
      </c>
      <c r="G72" s="579"/>
      <c r="H72" s="2146"/>
      <c r="I72" s="2213"/>
    </row>
    <row r="73" spans="1:9" ht="18" customHeight="1">
      <c r="A73" s="2475"/>
      <c r="B73" s="2336"/>
      <c r="C73" s="170" t="str">
        <f>F!C175</f>
        <v>30 - 49 m</v>
      </c>
      <c r="D73" s="261">
        <f>F!D175</f>
        <v>0</v>
      </c>
      <c r="E73" s="370">
        <v>4</v>
      </c>
      <c r="F73" s="370">
        <f>D73*E73</f>
        <v>0</v>
      </c>
      <c r="G73" s="579"/>
      <c r="H73" s="2146"/>
      <c r="I73" s="2213"/>
    </row>
    <row r="74" spans="1:9" ht="18" customHeight="1" thickBot="1">
      <c r="A74" s="2476"/>
      <c r="B74" s="2337"/>
      <c r="C74" s="412" t="str">
        <f>F!C176</f>
        <v>50 - 100 m</v>
      </c>
      <c r="D74" s="336">
        <f>F!D176</f>
        <v>0</v>
      </c>
      <c r="E74" s="581">
        <v>5</v>
      </c>
      <c r="F74" s="581">
        <f>D74*E74</f>
        <v>0</v>
      </c>
      <c r="G74" s="582"/>
      <c r="H74" s="2149"/>
      <c r="I74" s="2377"/>
    </row>
    <row r="75" spans="1:9" ht="30" customHeight="1" thickBot="1">
      <c r="A75" s="2348" t="str">
        <f>F!A189</f>
        <v>F37</v>
      </c>
      <c r="B75" s="2325" t="str">
        <f>F!B189</f>
        <v>Interspersion of Robust Emergents &amp; Open Water</v>
      </c>
      <c r="C75" s="617" t="str">
        <f>F!C189</f>
        <v>During most of the part of the growing season when water is present, the spatial pattern of robust herbaceous vegetation (e.g., cattail, tall bulrush, buckbean) is mostly:</v>
      </c>
      <c r="D75" s="367"/>
      <c r="E75" s="360"/>
      <c r="F75" s="588"/>
      <c r="G75" s="584">
        <f>IF((AllSat1&gt;0),"",IF((TooSmall=1),"",IF((NoPonded=1),"",IF((NoOpenPonded+NoOpenPonded1&gt;0),"",IF((AllOpenPond=1),"",MAX(F76:F78)/MAX(E76:E78))))))</f>
        <v>0</v>
      </c>
      <c r="H75" s="2146" t="s">
        <v>1368</v>
      </c>
      <c r="I75" s="2212" t="s">
        <v>1176</v>
      </c>
    </row>
    <row r="76" spans="1:9" ht="15" customHeight="1">
      <c r="A76" s="2348"/>
      <c r="B76" s="2325"/>
      <c r="C76" s="564" t="str">
        <f>F!C190</f>
        <v>Scattered. More than 30% of such vegetation forms small islands or corridors surrounded by water.</v>
      </c>
      <c r="D76" s="266">
        <f>F!D190</f>
        <v>0</v>
      </c>
      <c r="E76" s="361">
        <v>2</v>
      </c>
      <c r="F76" s="372">
        <f>D76*E76</f>
        <v>0</v>
      </c>
      <c r="G76" s="579"/>
      <c r="H76" s="2146"/>
      <c r="I76" s="2213"/>
    </row>
    <row r="77" spans="1:9" ht="15" customHeight="1">
      <c r="A77" s="2348"/>
      <c r="B77" s="2325"/>
      <c r="C77" s="565" t="str">
        <f>F!C191</f>
        <v>Intermediate.</v>
      </c>
      <c r="D77" s="267">
        <f>F!D191</f>
        <v>0</v>
      </c>
      <c r="E77" s="361">
        <v>1</v>
      </c>
      <c r="F77" s="372">
        <f>D77*E77</f>
        <v>0</v>
      </c>
      <c r="G77" s="579"/>
      <c r="H77" s="2146"/>
      <c r="I77" s="2213"/>
    </row>
    <row r="78" spans="1:9" ht="27" customHeight="1" thickBot="1">
      <c r="A78" s="2348"/>
      <c r="B78" s="2325"/>
      <c r="C78" s="619" t="str">
        <f>F!C192</f>
        <v>Clumped. More than 70% of such vegetation is in bands along the wetland perimeter or is clumped at one or a few sides of the surface water area.</v>
      </c>
      <c r="D78" s="278">
        <f>F!D192</f>
        <v>0</v>
      </c>
      <c r="E78" s="364">
        <v>0</v>
      </c>
      <c r="F78" s="372">
        <f>D78*E78</f>
        <v>0</v>
      </c>
      <c r="G78" s="585"/>
      <c r="H78" s="2146"/>
      <c r="I78" s="2377"/>
    </row>
    <row r="79" spans="1:9" ht="87" customHeight="1" thickBot="1">
      <c r="A79" s="558" t="str">
        <f>F!A199</f>
        <v>F41</v>
      </c>
      <c r="B79" s="1115" t="str">
        <f>F!B199</f>
        <v xml:space="preserve">Floating Algae &amp; Duckweed </v>
      </c>
      <c r="C79" s="1151" t="str">
        <f>F!C199</f>
        <v>At some time of the year, mats of algae and/or duckweed are likely to cover &gt;50% of the AA's otherwise-unshaded water surface, or blanket &gt;50% of the underwater substrate. If true, enter "1" in next column. If untrue or uncertain, enter "0".</v>
      </c>
      <c r="D79" s="1147">
        <f>F!D199</f>
        <v>0</v>
      </c>
      <c r="E79" s="1148"/>
      <c r="F79" s="1149"/>
      <c r="G79" s="1150" t="str">
        <f>IF((AllSat1&gt;0),"",IF((TooSmall=1),"",IF((D79=1),0,"")))</f>
        <v/>
      </c>
      <c r="H79" s="123" t="s">
        <v>1877</v>
      </c>
      <c r="I79" s="123" t="s">
        <v>1177</v>
      </c>
    </row>
    <row r="80" spans="1:9" ht="30" customHeight="1" thickBot="1">
      <c r="A80" s="2479" t="str">
        <f>F!A200</f>
        <v>F42</v>
      </c>
      <c r="B80" s="2323" t="str">
        <f>F!B200</f>
        <v>Channel Connection &amp; Outflow Duration</v>
      </c>
      <c r="C80" s="411" t="str">
        <f>F!C200</f>
        <v>The most persistent surface water connection (outlet channel or pipe, ditch, or overbank water exchange) between the AA and the closest larger water body located downslope is:</v>
      </c>
      <c r="D80" s="365"/>
      <c r="E80" s="587"/>
      <c r="F80" s="583"/>
      <c r="G80" s="577">
        <f>(MAX(F81:F85))/MAX(E81:E85)</f>
        <v>0</v>
      </c>
      <c r="H80" s="2148" t="s">
        <v>1386</v>
      </c>
      <c r="I80" s="2212" t="s">
        <v>481</v>
      </c>
    </row>
    <row r="81" spans="1:11" ht="15" customHeight="1">
      <c r="A81" s="2475"/>
      <c r="B81" s="2336"/>
      <c r="C81" s="170" t="str">
        <f>F!C201</f>
        <v>persistent (&gt;9 months/year, regardless of whether frozen or not).</v>
      </c>
      <c r="D81" s="261">
        <f>F!D201</f>
        <v>0</v>
      </c>
      <c r="E81" s="370">
        <v>1</v>
      </c>
      <c r="F81" s="370">
        <f>D81*E81</f>
        <v>0</v>
      </c>
      <c r="G81" s="578"/>
      <c r="H81" s="2146"/>
      <c r="I81" s="2213"/>
    </row>
    <row r="82" spans="1:11" ht="15" customHeight="1">
      <c r="A82" s="2475"/>
      <c r="B82" s="2336"/>
      <c r="C82" s="82" t="str">
        <f>F!C202</f>
        <v>seasonal (14 days to 9 months/year, not necessarily consecutive, including times when frozen).</v>
      </c>
      <c r="D82" s="245">
        <f>F!D202</f>
        <v>0</v>
      </c>
      <c r="E82" s="370">
        <v>2</v>
      </c>
      <c r="F82" s="370">
        <f>D82*E82</f>
        <v>0</v>
      </c>
      <c r="G82" s="579"/>
      <c r="H82" s="2146"/>
      <c r="I82" s="2213"/>
    </row>
    <row r="83" spans="1:11" ht="15" customHeight="1">
      <c r="A83" s="2475"/>
      <c r="B83" s="2336"/>
      <c r="C83" s="82" t="str">
        <f>F!C203</f>
        <v>temporary (&lt;14 days, not necessarily consecutive, but must be unfrozen).</v>
      </c>
      <c r="D83" s="245">
        <f>F!D203</f>
        <v>0</v>
      </c>
      <c r="E83" s="370">
        <v>3</v>
      </c>
      <c r="F83" s="370">
        <f>D83*E83</f>
        <v>0</v>
      </c>
      <c r="G83" s="579"/>
      <c r="H83" s="2146"/>
      <c r="I83" s="2213"/>
    </row>
    <row r="84" spans="1:11" ht="27" customHeight="1">
      <c r="A84" s="2475"/>
      <c r="B84" s="2336"/>
      <c r="C84" s="82" t="str">
        <f>F!C204</f>
        <v>none -- but maps show a stream or other water body that is downslope from the AA and within a distance that is less than the AA's length. SKIP to F44 (Tributary Channel).</v>
      </c>
      <c r="D84" s="245">
        <f>F!D204</f>
        <v>0</v>
      </c>
      <c r="E84" s="591">
        <v>6</v>
      </c>
      <c r="F84" s="370">
        <f>D84*E84</f>
        <v>0</v>
      </c>
      <c r="G84" s="585"/>
      <c r="H84" s="2146"/>
      <c r="I84" s="2213"/>
    </row>
    <row r="85" spans="1:11" ht="42" customHeight="1" thickBot="1">
      <c r="A85" s="2476"/>
      <c r="B85" s="2337"/>
      <c r="C85" s="438" t="str">
        <f>F!C205</f>
        <v>no surface water flows out of the wetland except possibly during extreme events (&lt;once per 10 years). Or, water flows only into a wetland, ditch, or lake that lacks an outlet. SKIP to F47 (pH Measurement).</v>
      </c>
      <c r="D85" s="246">
        <f>F!D205</f>
        <v>0</v>
      </c>
      <c r="E85" s="592">
        <v>6</v>
      </c>
      <c r="F85" s="581">
        <f>D85*E85</f>
        <v>0</v>
      </c>
      <c r="G85" s="582"/>
      <c r="H85" s="2149"/>
      <c r="I85" s="2377"/>
    </row>
    <row r="86" spans="1:11" ht="30" customHeight="1" thickBot="1">
      <c r="A86" s="2314" t="str">
        <f>F!A206</f>
        <v>F43</v>
      </c>
      <c r="B86" s="2336" t="str">
        <f>F!B206</f>
        <v xml:space="preserve">Outflow Confinement </v>
      </c>
      <c r="C86" s="561" t="str">
        <f>F!C206</f>
        <v>During major runoff events, in the places where surface water exits the AA or connected waters nearby, the water:</v>
      </c>
      <c r="D86" s="367"/>
      <c r="E86" s="588"/>
      <c r="F86" s="368"/>
      <c r="G86" s="584">
        <f>IF((OutNone + OutNone1&gt;0),"",(MAX(F87:F89)/MAX(E87:E89)))</f>
        <v>0</v>
      </c>
      <c r="H86" s="2211" t="s">
        <v>736</v>
      </c>
      <c r="I86" s="2212" t="s">
        <v>482</v>
      </c>
    </row>
    <row r="87" spans="1:11" ht="42" customHeight="1">
      <c r="A87" s="2314"/>
      <c r="B87" s="2336"/>
      <c r="C87" s="170" t="str">
        <f>F!C207</f>
        <v>mostly passes through a pipe, culvert, narrowly breached dike, berm, beaver dam, or other partial obstruction (other than natural topography) that does not appear to drain the wetland artificially during most of the growing season.</v>
      </c>
      <c r="D87" s="261">
        <f>F!D207</f>
        <v>0</v>
      </c>
      <c r="E87" s="370">
        <v>1</v>
      </c>
      <c r="F87" s="370">
        <f>D87*E87</f>
        <v>0</v>
      </c>
      <c r="G87" s="578"/>
      <c r="H87" s="2211"/>
      <c r="I87" s="2213"/>
    </row>
    <row r="88" spans="1:11" ht="27" customHeight="1">
      <c r="A88" s="2314"/>
      <c r="B88" s="2336"/>
      <c r="C88" s="82" t="str">
        <f>F!C208</f>
        <v>leaves through natural exits (channels or diffuse outflow), not mainly through artificial or temporary features.</v>
      </c>
      <c r="D88" s="245">
        <f>F!D208</f>
        <v>0</v>
      </c>
      <c r="E88" s="370">
        <v>0</v>
      </c>
      <c r="F88" s="370">
        <f>D88*E88</f>
        <v>0</v>
      </c>
      <c r="G88" s="593"/>
      <c r="H88" s="2211"/>
      <c r="I88" s="2213"/>
    </row>
    <row r="89" spans="1:11" ht="27" customHeight="1" thickBot="1">
      <c r="A89" s="2315"/>
      <c r="B89" s="2337"/>
      <c r="C89" s="438" t="str">
        <f>F!C209</f>
        <v>exported more quickly than usual due to ditches or pipes within the AA (or connected to its outlet or within 10 m of the AA's edge) which drain the wetland artificially, or water is pumped out of the AA.</v>
      </c>
      <c r="D89" s="246">
        <f>F!D209</f>
        <v>0</v>
      </c>
      <c r="E89" s="581">
        <v>0</v>
      </c>
      <c r="F89" s="581">
        <f>D89*E89</f>
        <v>0</v>
      </c>
      <c r="G89" s="582"/>
      <c r="H89" s="2420"/>
      <c r="I89" s="2377"/>
    </row>
    <row r="90" spans="1:11" ht="33" customHeight="1" thickBot="1">
      <c r="A90" s="2473" t="str">
        <f>F!A212</f>
        <v>F46</v>
      </c>
      <c r="B90" s="2336" t="str">
        <f>F!B212</f>
        <v>Throughflow Resistance</v>
      </c>
      <c r="C90" s="561" t="str">
        <f>F!C212</f>
        <v>During its travel through the AA at the time of peak annual flow, water arriving in channels: [select only the ONE encountered by most of the incoming water].</v>
      </c>
      <c r="D90" s="367"/>
      <c r="E90" s="588"/>
      <c r="F90" s="368"/>
      <c r="G90" s="584">
        <f>IF(AND(Inflows=0,OutNone=1,OutNone1=1),"",MAX(F91:F95)/MAX(E91:E95))</f>
        <v>0</v>
      </c>
      <c r="H90" s="2211" t="s">
        <v>1369</v>
      </c>
      <c r="I90" s="2212" t="s">
        <v>483</v>
      </c>
    </row>
    <row r="91" spans="1:11" ht="42" customHeight="1">
      <c r="A91" s="2473"/>
      <c r="B91" s="2336"/>
      <c r="C91" s="17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91" s="261">
        <f>F!D213</f>
        <v>0</v>
      </c>
      <c r="E91" s="370">
        <v>0</v>
      </c>
      <c r="F91" s="370">
        <f>D91*E91</f>
        <v>0</v>
      </c>
      <c r="G91" s="578"/>
      <c r="H91" s="2211"/>
      <c r="I91" s="2213"/>
    </row>
    <row r="92" spans="1:11" ht="18" customHeight="1">
      <c r="A92" s="2473"/>
      <c r="B92" s="2336"/>
      <c r="C92" s="82" t="str">
        <f>F!C214</f>
        <v>bumps into herbaceous vegetation but mostly remains in fairly straight channels.</v>
      </c>
      <c r="D92" s="245">
        <f>F!D214</f>
        <v>0</v>
      </c>
      <c r="E92" s="370">
        <v>1</v>
      </c>
      <c r="F92" s="370">
        <f>D92*E92</f>
        <v>0</v>
      </c>
      <c r="G92" s="579"/>
      <c r="H92" s="2211"/>
      <c r="I92" s="2213"/>
    </row>
    <row r="93" spans="1:11" ht="30" customHeight="1">
      <c r="A93" s="2473"/>
      <c r="B93" s="2336"/>
      <c r="C93" s="82" t="str">
        <f>F!C215</f>
        <v>bumps into herbaceous vegetation and mostly spreads throughout, or is in widely meandering, multi-branched, or braided channels.</v>
      </c>
      <c r="D93" s="245">
        <f>F!D215</f>
        <v>0</v>
      </c>
      <c r="E93" s="370">
        <v>2</v>
      </c>
      <c r="F93" s="370">
        <f>D93*E93</f>
        <v>0</v>
      </c>
      <c r="G93" s="579"/>
      <c r="H93" s="2211"/>
      <c r="I93" s="2213"/>
    </row>
    <row r="94" spans="1:11" ht="18" customHeight="1">
      <c r="A94" s="2473"/>
      <c r="B94" s="2336"/>
      <c r="C94" s="82" t="str">
        <f>F!C216</f>
        <v>bumps into tree trunks and/or shrub stems but mostly remains in fairly straight channels.</v>
      </c>
      <c r="D94" s="245">
        <f>F!D216</f>
        <v>0</v>
      </c>
      <c r="E94" s="370">
        <v>3</v>
      </c>
      <c r="F94" s="370">
        <f>D94*E94</f>
        <v>0</v>
      </c>
      <c r="G94" s="579"/>
      <c r="H94" s="2211"/>
      <c r="I94" s="2213"/>
    </row>
    <row r="95" spans="1:11" ht="30" customHeight="1" thickBot="1">
      <c r="A95" s="2474"/>
      <c r="B95" s="2337"/>
      <c r="C95" s="438" t="str">
        <f>F!C217</f>
        <v>bumps into tree trunks and/or shrub stems and follows a fairly indirect path from entrance to exit (meandering, multi-branched, or braided).</v>
      </c>
      <c r="D95" s="246">
        <f>F!D217</f>
        <v>0</v>
      </c>
      <c r="E95" s="581">
        <v>4</v>
      </c>
      <c r="F95" s="581">
        <f>D95*E95</f>
        <v>0</v>
      </c>
      <c r="G95" s="582"/>
      <c r="H95" s="2420"/>
      <c r="I95" s="2377"/>
    </row>
    <row r="96" spans="1:11" s="7" customFormat="1" ht="24" customHeight="1" thickBot="1">
      <c r="A96" s="2181" t="str">
        <f>F!A218</f>
        <v>F47</v>
      </c>
      <c r="B96" s="2212" t="str">
        <f>F!B218</f>
        <v>pH Measurement</v>
      </c>
      <c r="C96" s="705" t="str">
        <f>F!C218</f>
        <v>The pH in most of the AA's surface water:</v>
      </c>
      <c r="D96" s="365"/>
      <c r="E96" s="365"/>
      <c r="F96" s="366"/>
      <c r="G96" s="665" t="str">
        <f>IF((D99&gt;0&lt;5),1, IF((D99&gt;9),1,IF((D98=1),1, "")))</f>
        <v/>
      </c>
      <c r="H96" s="2383" t="s">
        <v>2137</v>
      </c>
      <c r="I96" s="2212" t="s">
        <v>1317</v>
      </c>
      <c r="K96" s="138"/>
    </row>
    <row r="97" spans="1:11" s="7" customFormat="1" ht="21" customHeight="1">
      <c r="A97" s="2180"/>
      <c r="B97" s="2213"/>
      <c r="C97" s="1157" t="str">
        <f>F!C219</f>
        <v>was not measured because no surface water could be found during this visit. Enter "1".</v>
      </c>
      <c r="D97" s="78">
        <f>F!D219</f>
        <v>0</v>
      </c>
      <c r="E97" s="361"/>
      <c r="F97" s="361"/>
      <c r="G97" s="1156"/>
      <c r="H97" s="2490"/>
      <c r="I97" s="2213"/>
      <c r="K97" s="138"/>
    </row>
    <row r="98" spans="1:11" s="7" customFormat="1" ht="33" customHeight="1">
      <c r="A98" s="2180"/>
      <c r="B98" s="2213"/>
      <c r="C98" s="1158" t="str">
        <f>F!C220</f>
        <v xml:space="preserve">was not measured but surface water is present and is darkly tea-coloured.  Or if no surface water, then mosses and plants that indicate peatland (e.g., Labrador tea) are prevalent. Enter "1". </v>
      </c>
      <c r="D98" s="78">
        <f>F!D220</f>
        <v>0</v>
      </c>
      <c r="E98" s="361"/>
      <c r="F98" s="361"/>
      <c r="G98" s="744"/>
      <c r="H98" s="2490"/>
      <c r="I98" s="2213"/>
      <c r="K98" s="138"/>
    </row>
    <row r="99" spans="1:11" s="7" customFormat="1" ht="21" customHeight="1" thickBot="1">
      <c r="A99" s="2180"/>
      <c r="B99" s="2213"/>
      <c r="C99" s="1159" t="str">
        <f>F!C221</f>
        <v>was measured, and is:  [enter the reading in the column to the right]:</v>
      </c>
      <c r="D99" s="1213">
        <f>F!D221</f>
        <v>0</v>
      </c>
      <c r="E99" s="364"/>
      <c r="F99" s="364"/>
      <c r="G99" s="1155"/>
      <c r="H99" s="2490"/>
      <c r="I99" s="2377"/>
      <c r="K99" s="138"/>
    </row>
    <row r="100" spans="1:11" s="7" customFormat="1" ht="21" customHeight="1" thickBot="1">
      <c r="A100" s="2212" t="str">
        <f>F!A235</f>
        <v>F51</v>
      </c>
      <c r="B100" s="2212" t="str">
        <f>F!B235</f>
        <v>Internal Gradient</v>
      </c>
      <c r="C100" s="439" t="str">
        <f>F!C235</f>
        <v>The gradient along most of the flow path within the AA is:</v>
      </c>
      <c r="D100" s="232"/>
      <c r="E100" s="365"/>
      <c r="F100" s="366"/>
      <c r="G100" s="537">
        <f>MAX(F101:F104)/MAX(E101:E104)</f>
        <v>0</v>
      </c>
      <c r="H100" s="2218" t="s">
        <v>735</v>
      </c>
      <c r="I100" s="2212" t="s">
        <v>487</v>
      </c>
      <c r="K100" s="138"/>
    </row>
    <row r="101" spans="1:11" s="7" customFormat="1" ht="15" customHeight="1">
      <c r="A101" s="2213"/>
      <c r="B101" s="2213"/>
      <c r="C101" s="440" t="str">
        <f>F!C236</f>
        <v>&lt;2% or the AA has no surface water outlet (not even seasonally)</v>
      </c>
      <c r="D101" s="78">
        <f>F!D236</f>
        <v>0</v>
      </c>
      <c r="E101" s="361">
        <v>4</v>
      </c>
      <c r="F101" s="361">
        <f>D101*E101</f>
        <v>0</v>
      </c>
      <c r="G101" s="629"/>
      <c r="H101" s="2211"/>
      <c r="I101" s="2213"/>
      <c r="K101" s="138"/>
    </row>
    <row r="102" spans="1:11" s="7" customFormat="1" ht="15" customHeight="1">
      <c r="A102" s="2213"/>
      <c r="B102" s="2213"/>
      <c r="C102" s="1077" t="str">
        <f>F!C237</f>
        <v>2-5%</v>
      </c>
      <c r="D102" s="78">
        <f>F!D237</f>
        <v>0</v>
      </c>
      <c r="E102" s="361">
        <v>3</v>
      </c>
      <c r="F102" s="361">
        <f>D102*E102</f>
        <v>0</v>
      </c>
      <c r="G102" s="629"/>
      <c r="H102" s="2211"/>
      <c r="I102" s="2213"/>
      <c r="K102" s="138"/>
    </row>
    <row r="103" spans="1:11" s="7" customFormat="1" ht="15" customHeight="1">
      <c r="A103" s="2213"/>
      <c r="B103" s="2213"/>
      <c r="C103" s="1077" t="str">
        <f>F!C238</f>
        <v>6-10%</v>
      </c>
      <c r="D103" s="78">
        <f>F!D238</f>
        <v>0</v>
      </c>
      <c r="E103" s="361">
        <v>2</v>
      </c>
      <c r="F103" s="361">
        <f>D103*E103</f>
        <v>0</v>
      </c>
      <c r="G103" s="630"/>
      <c r="H103" s="2211"/>
      <c r="I103" s="2213"/>
      <c r="K103" s="138"/>
    </row>
    <row r="104" spans="1:11" s="7" customFormat="1" ht="15" customHeight="1" thickBot="1">
      <c r="A104" s="2377"/>
      <c r="B104" s="2377"/>
      <c r="C104" s="1077" t="str">
        <f>F!C239</f>
        <v>&gt;10%</v>
      </c>
      <c r="D104" s="78">
        <f>F!D239</f>
        <v>0</v>
      </c>
      <c r="E104" s="362">
        <v>0</v>
      </c>
      <c r="F104" s="362">
        <f>D104*E104</f>
        <v>0</v>
      </c>
      <c r="G104" s="631"/>
      <c r="H104" s="2420"/>
      <c r="I104" s="2377"/>
      <c r="K104" s="138"/>
    </row>
    <row r="105" spans="1:11" ht="45" customHeight="1" thickBot="1">
      <c r="A105" s="147" t="str">
        <f>F!A305</f>
        <v>F67</v>
      </c>
      <c r="B105" s="147" t="str">
        <f>F!B305</f>
        <v>Calcareous Fen</v>
      </c>
      <c r="C105" s="558" t="str">
        <f>F!C305</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v>
      </c>
      <c r="D105" s="273">
        <f>F!D305</f>
        <v>0</v>
      </c>
      <c r="E105" s="590"/>
      <c r="F105" s="590"/>
      <c r="G105" s="486">
        <f>IF((F!D305=""),"", IF((D105=1),1,0))</f>
        <v>0</v>
      </c>
      <c r="H105" s="5" t="s">
        <v>1876</v>
      </c>
      <c r="I105" s="164" t="s">
        <v>1874</v>
      </c>
    </row>
    <row r="106" spans="1:11" s="138" customFormat="1" ht="36" customHeight="1" thickBot="1">
      <c r="A106" s="1614" t="s">
        <v>168</v>
      </c>
      <c r="B106" s="1615" t="s">
        <v>2407</v>
      </c>
      <c r="C106" s="1616" t="s">
        <v>1354</v>
      </c>
      <c r="D106" s="1617" t="s">
        <v>64</v>
      </c>
      <c r="E106" s="1618" t="s">
        <v>1383</v>
      </c>
      <c r="F106" s="1619" t="s">
        <v>1384</v>
      </c>
      <c r="G106" s="1620" t="s">
        <v>1293</v>
      </c>
      <c r="H106" s="1582" t="s">
        <v>1294</v>
      </c>
      <c r="I106" s="1582" t="s">
        <v>2622</v>
      </c>
      <c r="K106" s="163"/>
    </row>
    <row r="107" spans="1:11" ht="87" customHeight="1" thickBot="1">
      <c r="A107" s="1110" t="str">
        <f>OF!A94</f>
        <v>OF20</v>
      </c>
      <c r="B107" s="1106" t="str">
        <f>OF!B94</f>
        <v>Erosion Potential Upslope</v>
      </c>
      <c r="C107" s="63" t="str">
        <f>OF!C94</f>
        <v xml:space="preserve">Within 100 m upstream or upslope from the AA, a stream channel, riverbank, or upland area is likely to have high potential for mass movement (slides or slumping) due to soil composition, slope, and exposure. Enter 1= yes, 0= no. </v>
      </c>
      <c r="D107" s="1655">
        <f>OF!D94</f>
        <v>0</v>
      </c>
      <c r="E107" s="590"/>
      <c r="F107" s="600"/>
      <c r="G107" s="610">
        <f>IF((NoCA=1),"", D107)</f>
        <v>0</v>
      </c>
      <c r="H107" s="1444" t="s">
        <v>2277</v>
      </c>
      <c r="I107" s="123" t="s">
        <v>493</v>
      </c>
    </row>
    <row r="108" spans="1:11" ht="45" customHeight="1" thickBot="1">
      <c r="A108" s="2323" t="str">
        <f>OF!A95</f>
        <v>OF21</v>
      </c>
      <c r="B108" s="2323" t="str">
        <f>OF!B95</f>
        <v xml:space="preserve">Degraded Water Upstream </v>
      </c>
      <c r="C108" s="147" t="str">
        <f>OF!C95</f>
        <v xml:space="preserve">Sampling indicates a problem with concentrations of metals, hydrocarbons, nutrients, or other substances (excluding bacteria, high temperatures) being present at levels harmful to aquatic life or humans, and:  </v>
      </c>
      <c r="D108" s="1649"/>
      <c r="E108" s="587"/>
      <c r="F108" s="583"/>
      <c r="G108" s="487">
        <f>IF((D112=1),"", IF((D111=1),0, IF((D110=1),0.5, 1)))</f>
        <v>1</v>
      </c>
      <c r="H108" s="2148" t="s">
        <v>1927</v>
      </c>
      <c r="I108" s="2212" t="s">
        <v>1930</v>
      </c>
    </row>
    <row r="109" spans="1:11" ht="15" customHeight="1">
      <c r="A109" s="2336"/>
      <c r="B109" s="2336"/>
      <c r="C109" s="419" t="str">
        <f>OF!C96</f>
        <v>The condition is present within the AA.</v>
      </c>
      <c r="D109" s="245">
        <f>OF!D96</f>
        <v>0</v>
      </c>
      <c r="E109" s="370"/>
      <c r="F109" s="370"/>
      <c r="G109" s="370"/>
      <c r="H109" s="2146"/>
      <c r="I109" s="2213"/>
    </row>
    <row r="110" spans="1:11" ht="27" customHeight="1">
      <c r="A110" s="2336"/>
      <c r="B110" s="2336"/>
      <c r="C110" s="421" t="str">
        <f>OF!C97</f>
        <v>The condition is present in waters within 1 km that flow into the AA, but has not been documented in the AA itself.</v>
      </c>
      <c r="D110" s="245">
        <f>OF!D97</f>
        <v>0</v>
      </c>
      <c r="E110" s="370"/>
      <c r="F110" s="370"/>
      <c r="G110" s="370"/>
      <c r="H110" s="2146"/>
      <c r="I110" s="2213"/>
    </row>
    <row r="111" spans="1:11" ht="27" customHeight="1">
      <c r="A111" s="2336"/>
      <c r="B111" s="2336"/>
      <c r="C111" s="421" t="str">
        <f>OF!C98</f>
        <v>Sampling during both low water periods and times with high runoff (storms, snowmelt) indicates no problems in either the AA or inflowing waters.</v>
      </c>
      <c r="D111" s="245">
        <f>OF!D98</f>
        <v>0</v>
      </c>
      <c r="E111" s="370"/>
      <c r="F111" s="370"/>
      <c r="G111" s="370"/>
      <c r="H111" s="2146"/>
      <c r="I111" s="2213"/>
    </row>
    <row r="112" spans="1:11" ht="27" customHeight="1" thickBot="1">
      <c r="A112" s="2337"/>
      <c r="B112" s="2337"/>
      <c r="C112" s="422" t="str">
        <f>OF!C99</f>
        <v>Data are insufficient (no or inadequate sampling within 1 km, or condition exists only at &gt;1 km upstream). This is the situation for nearly all NB wetlands.</v>
      </c>
      <c r="D112" s="246">
        <f>OF!D99</f>
        <v>0</v>
      </c>
      <c r="E112" s="581"/>
      <c r="F112" s="581"/>
      <c r="G112" s="370"/>
      <c r="H112" s="2149"/>
      <c r="I112" s="2377"/>
    </row>
    <row r="113" spans="1:9" ht="21" customHeight="1" thickBot="1">
      <c r="A113" s="2323" t="str">
        <f>OF!A100</f>
        <v>OF22</v>
      </c>
      <c r="B113" s="2323" t="str">
        <f>OF!B100</f>
        <v xml:space="preserve">Degraded Water Downstream </v>
      </c>
      <c r="C113" s="147" t="str">
        <f>OF!C100</f>
        <v>The problem described above is downslope from the AA, and:</v>
      </c>
      <c r="D113" s="1649"/>
      <c r="E113" s="587"/>
      <c r="F113" s="587"/>
      <c r="G113" s="1355">
        <f>IF((D117=1),"", IF((D116=1),0, IF((D115=1),0.5, 1)))</f>
        <v>1</v>
      </c>
      <c r="H113" s="2148" t="s">
        <v>166</v>
      </c>
      <c r="I113" s="2212" t="s">
        <v>1929</v>
      </c>
    </row>
    <row r="114" spans="1:9" ht="15" customHeight="1">
      <c r="A114" s="2336"/>
      <c r="B114" s="2336"/>
      <c r="C114" s="1650" t="str">
        <f>OF!C101</f>
        <v>The condition is present within 1 km downslope and connected to the AA by a channel.</v>
      </c>
      <c r="D114" s="245">
        <f>OF!D101</f>
        <v>0</v>
      </c>
      <c r="E114" s="370"/>
      <c r="F114" s="370"/>
      <c r="G114" s="370"/>
      <c r="H114" s="2146"/>
      <c r="I114" s="2213"/>
    </row>
    <row r="115" spans="1:9" ht="27" customHeight="1">
      <c r="A115" s="2336"/>
      <c r="B115" s="2336"/>
      <c r="C115" s="1356" t="str">
        <f>OF!C102</f>
        <v>The condition is present within 5 km downslope and connected to the AA by a channel, or within 1 km but not connected to the AA by a channel.</v>
      </c>
      <c r="D115" s="245">
        <f>OF!D102</f>
        <v>0</v>
      </c>
      <c r="E115" s="370"/>
      <c r="F115" s="370"/>
      <c r="G115" s="370"/>
      <c r="H115" s="2146"/>
      <c r="I115" s="2213"/>
    </row>
    <row r="116" spans="1:9" ht="27" customHeight="1">
      <c r="A116" s="2336"/>
      <c r="B116" s="2336"/>
      <c r="C116" s="1356" t="str">
        <f>OF!C103</f>
        <v>Sampling during both low water periods and times with high runoff (storms, snowmelt) indicates no problems in either the AA or inflowing waters.</v>
      </c>
      <c r="D116" s="245">
        <f>OF!D103</f>
        <v>0</v>
      </c>
      <c r="E116" s="370"/>
      <c r="F116" s="370"/>
      <c r="G116" s="370"/>
      <c r="H116" s="2146"/>
      <c r="I116" s="2213"/>
    </row>
    <row r="117" spans="1:9" ht="27" customHeight="1" thickBot="1">
      <c r="A117" s="2337"/>
      <c r="B117" s="2337"/>
      <c r="C117" s="1357" t="str">
        <f>OF!C104</f>
        <v>Data are insufficient (no or inadequate sampling within 1 km, or condition exists only at &gt;1 km upstream). This is the situation for nearly all NB wetlands.</v>
      </c>
      <c r="D117" s="246">
        <f>OF!D104</f>
        <v>0</v>
      </c>
      <c r="E117" s="581"/>
      <c r="F117" s="581"/>
      <c r="G117" s="581"/>
      <c r="H117" s="2149"/>
      <c r="I117" s="2377"/>
    </row>
    <row r="118" spans="1:9" ht="30" customHeight="1" thickBot="1">
      <c r="A118" s="2473" t="str">
        <f>OF!A105</f>
        <v>OF23</v>
      </c>
      <c r="B118" s="2336" t="str">
        <f>OF!B105</f>
        <v>Contributing Area (CA) Percentage</v>
      </c>
      <c r="C118" s="561" t="str">
        <f>OF!C105</f>
        <v>Determine the approximate bounds of this AA's contributing area (follow the detailed directions in the Manual). Relative to the extent of that contributing area (CA), the AA comprises:</v>
      </c>
      <c r="D118" s="367"/>
      <c r="E118" s="588"/>
      <c r="F118" s="368"/>
      <c r="G118" s="594">
        <f>(MAX(F119:F122))/MAX(E119:E122)</f>
        <v>0</v>
      </c>
      <c r="H118" s="2211" t="s">
        <v>1370</v>
      </c>
      <c r="I118" s="2212" t="s">
        <v>494</v>
      </c>
    </row>
    <row r="119" spans="1:9" ht="27" customHeight="1">
      <c r="A119" s="2473"/>
      <c r="B119" s="2336"/>
      <c r="C119" s="170" t="str">
        <f>OF!C106</f>
        <v>&lt;1% of its CA  (includes most wetlands, especially those located low in watersheds, such as ones on major river floodplains or the marine shoreline).</v>
      </c>
      <c r="D119" s="261">
        <f>OF!D106</f>
        <v>0</v>
      </c>
      <c r="E119" s="370">
        <v>3</v>
      </c>
      <c r="F119" s="370">
        <f t="shared" ref="F119:F130" si="4">D119*E119</f>
        <v>0</v>
      </c>
      <c r="G119" s="578"/>
      <c r="H119" s="2211"/>
      <c r="I119" s="2213"/>
    </row>
    <row r="120" spans="1:9" ht="15" customHeight="1">
      <c r="A120" s="2473"/>
      <c r="B120" s="2336"/>
      <c r="C120" s="82" t="str">
        <f>OF!C107</f>
        <v>1 to 10% of its CA.</v>
      </c>
      <c r="D120" s="245">
        <f>OF!D107</f>
        <v>0</v>
      </c>
      <c r="E120" s="370">
        <v>2</v>
      </c>
      <c r="F120" s="370">
        <f t="shared" si="4"/>
        <v>0</v>
      </c>
      <c r="G120" s="579"/>
      <c r="H120" s="2211"/>
      <c r="I120" s="2213"/>
    </row>
    <row r="121" spans="1:9" ht="15" customHeight="1">
      <c r="A121" s="2473"/>
      <c r="B121" s="2336"/>
      <c r="C121" s="82" t="str">
        <f>OF!C108</f>
        <v>10 to 100% of its CA.</v>
      </c>
      <c r="D121" s="245">
        <f>OF!D108</f>
        <v>0</v>
      </c>
      <c r="E121" s="370">
        <v>1</v>
      </c>
      <c r="F121" s="370">
        <f t="shared" si="4"/>
        <v>0</v>
      </c>
      <c r="G121" s="579"/>
      <c r="H121" s="2211"/>
      <c r="I121" s="2213"/>
    </row>
    <row r="122" spans="1:9" ht="27" customHeight="1" thickBot="1">
      <c r="A122" s="2474"/>
      <c r="B122" s="2337"/>
      <c r="C122" s="438" t="str">
        <f>OF!C109</f>
        <v>Wetland has essentially no CA, e.g., isolated by dikes with no input channels, or is in terrain so flat that a CA can't be delineated. SKIP TO OF27 (Internal Gradient).</v>
      </c>
      <c r="D122" s="246">
        <f>OF!D109</f>
        <v>0</v>
      </c>
      <c r="E122" s="581">
        <v>0</v>
      </c>
      <c r="F122" s="581">
        <f t="shared" si="4"/>
        <v>0</v>
      </c>
      <c r="G122" s="582"/>
      <c r="H122" s="2420"/>
      <c r="I122" s="2377"/>
    </row>
    <row r="123" spans="1:9" ht="57" customHeight="1" thickBot="1">
      <c r="A123" s="2472" t="str">
        <f>OF!A110</f>
        <v>OF24</v>
      </c>
      <c r="B123" s="2323" t="str">
        <f>OF!B110</f>
        <v>Unvegetated Surface in the Contributing Area</v>
      </c>
      <c r="C123" s="411" t="str">
        <f>OF!C110</f>
        <v>The proportion of the AA's contributing area (measured to no more than 1000 m upslope) that is comprised of buildings, roads, parking lots, other pavement, exposed bedrock, landslides, and other mostly-bare surface is about :</v>
      </c>
      <c r="D123" s="576"/>
      <c r="E123" s="587"/>
      <c r="F123" s="583"/>
      <c r="G123" s="575">
        <f>IF((NoCA=1),"",(MAX(F124:F126))/MAX(E124:E126))</f>
        <v>0</v>
      </c>
      <c r="H123" s="2218" t="s">
        <v>1371</v>
      </c>
      <c r="I123" s="2212" t="s">
        <v>495</v>
      </c>
    </row>
    <row r="124" spans="1:9" ht="24" customHeight="1">
      <c r="A124" s="2473"/>
      <c r="B124" s="2336"/>
      <c r="C124" s="170" t="str">
        <f>OF!C111</f>
        <v>&lt;10%</v>
      </c>
      <c r="D124" s="261">
        <f>OF!D111</f>
        <v>0</v>
      </c>
      <c r="E124" s="370">
        <v>0</v>
      </c>
      <c r="F124" s="370">
        <f t="shared" si="4"/>
        <v>0</v>
      </c>
      <c r="G124" s="578"/>
      <c r="H124" s="2211"/>
      <c r="I124" s="2213"/>
    </row>
    <row r="125" spans="1:9" ht="24" customHeight="1">
      <c r="A125" s="2473"/>
      <c r="B125" s="2336"/>
      <c r="C125" s="82" t="str">
        <f>OF!C112</f>
        <v>10 to 25%</v>
      </c>
      <c r="D125" s="245">
        <f>OF!D112</f>
        <v>0</v>
      </c>
      <c r="E125" s="370">
        <v>1</v>
      </c>
      <c r="F125" s="370">
        <f t="shared" si="4"/>
        <v>0</v>
      </c>
      <c r="G125" s="579"/>
      <c r="H125" s="2211"/>
      <c r="I125" s="2213"/>
    </row>
    <row r="126" spans="1:9" ht="24" customHeight="1" thickBot="1">
      <c r="A126" s="2474"/>
      <c r="B126" s="2337"/>
      <c r="C126" s="438" t="str">
        <f>OF!C113</f>
        <v>&gt;25%</v>
      </c>
      <c r="D126" s="246">
        <f>OF!D113</f>
        <v>0</v>
      </c>
      <c r="E126" s="581">
        <v>2</v>
      </c>
      <c r="F126" s="581">
        <f t="shared" si="4"/>
        <v>0</v>
      </c>
      <c r="G126" s="582"/>
      <c r="H126" s="2420"/>
      <c r="I126" s="2377"/>
    </row>
    <row r="127" spans="1:9" ht="126" customHeight="1" thickBot="1">
      <c r="A127" s="2473" t="str">
        <f>OF!A114</f>
        <v>OF25</v>
      </c>
      <c r="B127" s="2336" t="str">
        <f>OF!B114</f>
        <v>Transport From Upslope</v>
      </c>
      <c r="C127" s="561" t="str">
        <f>OF!C114</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7" s="367"/>
      <c r="E127" s="588"/>
      <c r="F127" s="368"/>
      <c r="G127" s="594">
        <f>IF((NoCA=1),"", (MAX(F128:F130))/MAX(E128:E130))</f>
        <v>0</v>
      </c>
      <c r="H127" s="2211" t="s">
        <v>2278</v>
      </c>
      <c r="I127" s="2212" t="s">
        <v>496</v>
      </c>
    </row>
    <row r="128" spans="1:9" ht="15" customHeight="1">
      <c r="A128" s="2473"/>
      <c r="B128" s="2336"/>
      <c r="C128" s="170" t="str">
        <f>OF!C115</f>
        <v>Mostly true</v>
      </c>
      <c r="D128" s="261">
        <f>OF!D115</f>
        <v>0</v>
      </c>
      <c r="E128" s="370">
        <v>2</v>
      </c>
      <c r="F128" s="370">
        <f t="shared" si="4"/>
        <v>0</v>
      </c>
      <c r="G128" s="578"/>
      <c r="H128" s="2211"/>
      <c r="I128" s="2213"/>
    </row>
    <row r="129" spans="1:11" ht="15" customHeight="1">
      <c r="A129" s="2473"/>
      <c r="B129" s="2336"/>
      <c r="C129" s="82" t="str">
        <f>OF!C116</f>
        <v>Somewhat true</v>
      </c>
      <c r="D129" s="245">
        <f>OF!D116</f>
        <v>0</v>
      </c>
      <c r="E129" s="370">
        <v>1</v>
      </c>
      <c r="F129" s="370">
        <f t="shared" si="4"/>
        <v>0</v>
      </c>
      <c r="G129" s="579"/>
      <c r="H129" s="2211"/>
      <c r="I129" s="2213"/>
    </row>
    <row r="130" spans="1:11" ht="15" customHeight="1" thickBot="1">
      <c r="A130" s="2473"/>
      <c r="B130" s="2336"/>
      <c r="C130" s="186" t="str">
        <f>OF!C117</f>
        <v>Mostly untrue</v>
      </c>
      <c r="D130" s="275">
        <f>OF!D117</f>
        <v>0</v>
      </c>
      <c r="E130" s="372">
        <v>0</v>
      </c>
      <c r="F130" s="372">
        <f t="shared" si="4"/>
        <v>0</v>
      </c>
      <c r="G130" s="585"/>
      <c r="H130" s="2211"/>
      <c r="I130" s="2377"/>
    </row>
    <row r="131" spans="1:11" s="8" customFormat="1" ht="33" customHeight="1" thickBot="1">
      <c r="A131" s="1351" t="str">
        <f>F!A210</f>
        <v>F44</v>
      </c>
      <c r="B131" s="171" t="str">
        <f>F!B210</f>
        <v>Tributary Channel</v>
      </c>
      <c r="C131" s="1352" t="str">
        <f>F!C210</f>
        <v>At least once annually, the AA receives surface water from a tributary channel &gt;100 m long.  If no, SKIP to F47 ( pH Measurement).</v>
      </c>
      <c r="D131" s="1353">
        <f>F!D210</f>
        <v>0</v>
      </c>
      <c r="E131" s="1354"/>
      <c r="F131" s="1354"/>
      <c r="G131" s="575">
        <f>F!D210</f>
        <v>0</v>
      </c>
      <c r="H131" s="5" t="s">
        <v>712</v>
      </c>
      <c r="I131" s="5" t="s">
        <v>490</v>
      </c>
      <c r="K131" s="163"/>
    </row>
    <row r="132" spans="1:11" s="7" customFormat="1" ht="21" customHeight="1" thickBot="1">
      <c r="A132" s="2494" t="str">
        <f>F!A222</f>
        <v>F48</v>
      </c>
      <c r="B132" s="2212" t="str">
        <f>F!B222</f>
        <v>TDS and/or Conductivity</v>
      </c>
      <c r="C132" s="1453" t="str">
        <f>F!C222</f>
        <v>The Total Dissolved Solids (TDS) in most of the AA's surface water:</v>
      </c>
      <c r="D132" s="379"/>
      <c r="E132" s="360"/>
      <c r="F132" s="363"/>
      <c r="G132" s="487" t="str">
        <f>IF((D136&gt;400),1, IF((D135&gt;300),1, IF((D134=1),1, "")))</f>
        <v/>
      </c>
      <c r="H132" s="2491" t="s">
        <v>2279</v>
      </c>
      <c r="I132" s="2212" t="s">
        <v>1873</v>
      </c>
      <c r="K132" s="138"/>
    </row>
    <row r="133" spans="1:11" s="7" customFormat="1" ht="15" customHeight="1">
      <c r="A133" s="2495"/>
      <c r="B133" s="2213"/>
      <c r="C133" s="445" t="str">
        <f>F!C223</f>
        <v xml:space="preserve">was not measured because no surface water could be found during this visit. Enter "1". </v>
      </c>
      <c r="D133" s="78">
        <f>F!D223</f>
        <v>0</v>
      </c>
      <c r="E133" s="361"/>
      <c r="F133" s="361"/>
      <c r="G133" s="360"/>
      <c r="H133" s="2492"/>
      <c r="I133" s="2213"/>
      <c r="K133" s="138"/>
    </row>
    <row r="134" spans="1:11" s="7" customFormat="1" ht="27" customHeight="1">
      <c r="A134" s="2495"/>
      <c r="B134" s="2213"/>
      <c r="C134" s="446" t="str">
        <f>F!C224</f>
        <v>was not measured, but plants that indicate saline conditions cover much of the vegetated AA. Enter "1" .</v>
      </c>
      <c r="D134" s="78">
        <f>F!D224</f>
        <v>0</v>
      </c>
      <c r="E134" s="361"/>
      <c r="F134" s="361"/>
      <c r="G134" s="361"/>
      <c r="H134" s="2492"/>
      <c r="I134" s="2213"/>
      <c r="K134" s="138"/>
    </row>
    <row r="135" spans="1:11" s="7" customFormat="1" ht="15" customHeight="1">
      <c r="A135" s="2495"/>
      <c r="B135" s="2213"/>
      <c r="C135" s="446" t="str">
        <f>F!C225</f>
        <v>TDS is: [enter the reading in ppm in the column to the right, if measured, or answer next row]:</v>
      </c>
      <c r="D135" s="446">
        <f>F!D225</f>
        <v>0</v>
      </c>
      <c r="E135" s="361"/>
      <c r="F135" s="361"/>
      <c r="G135" s="361"/>
      <c r="H135" s="2492"/>
      <c r="I135" s="2213"/>
      <c r="K135" s="138"/>
    </row>
    <row r="136" spans="1:11" s="7" customFormat="1" ht="15" customHeight="1" thickBot="1">
      <c r="A136" s="2496"/>
      <c r="B136" s="2377"/>
      <c r="C136" s="1154" t="str">
        <f>F!C226</f>
        <v>Conductivity is  [enter the reading in µS/cm in the column to the right]:</v>
      </c>
      <c r="D136" s="2018">
        <f>F!D226</f>
        <v>0</v>
      </c>
      <c r="E136" s="362"/>
      <c r="F136" s="362"/>
      <c r="G136" s="362"/>
      <c r="H136" s="2493"/>
      <c r="I136" s="2377"/>
      <c r="K136" s="138"/>
    </row>
    <row r="137" spans="1:11" s="66" customFormat="1" ht="21" customHeight="1" thickBot="1">
      <c r="A137" s="2151" t="str">
        <f>F!A231</f>
        <v>F50</v>
      </c>
      <c r="B137" s="2148" t="str">
        <f>F!B231</f>
        <v>Groundwater Strength of Evidence</v>
      </c>
      <c r="C137" s="436" t="str">
        <f>F!C231</f>
        <v xml:space="preserve">Select first applicable choice. </v>
      </c>
      <c r="D137" s="367"/>
      <c r="E137" s="611"/>
      <c r="F137" s="611"/>
      <c r="G137" s="594">
        <f>MAX(F138:F140)/MAX(E138:E140)</f>
        <v>0</v>
      </c>
      <c r="H137" s="2146" t="s">
        <v>1627</v>
      </c>
      <c r="I137" s="2148" t="s">
        <v>491</v>
      </c>
      <c r="K137" s="163"/>
    </row>
    <row r="138" spans="1:11" s="66" customFormat="1" ht="42" customHeight="1">
      <c r="A138" s="2151"/>
      <c r="B138" s="2146"/>
      <c r="C138" s="30" t="str">
        <f>F!C232</f>
        <v>Groundwater monitoring has demonstrated that groundwater primarily discharges to the wetland for longer periods during the year than periods when the wetland recharges the groundwater. Or, springs are known to be present within the AA.</v>
      </c>
      <c r="D138" s="354">
        <f>F!D232</f>
        <v>0</v>
      </c>
      <c r="E138" s="370">
        <v>2</v>
      </c>
      <c r="F138" s="370">
        <f>D138*E138</f>
        <v>0</v>
      </c>
      <c r="G138" s="579"/>
      <c r="H138" s="2146"/>
      <c r="I138" s="2146"/>
      <c r="K138" s="163"/>
    </row>
    <row r="139" spans="1:11" s="66" customFormat="1" ht="42" customHeight="1">
      <c r="A139" s="2151"/>
      <c r="B139" s="2146"/>
      <c r="C139" s="1113" t="str">
        <f>F!C233</f>
        <v>The upper end of the AA is located very close to the base of (but mostly not ON) a natural slope much steeper (usually &gt;15%) than that within the AA and longer than 100 m AND if surface water was measured, its pH (Q47) is &gt;5.5.</v>
      </c>
      <c r="D139" s="254">
        <f>F!D233</f>
        <v>0</v>
      </c>
      <c r="E139" s="605">
        <v>1</v>
      </c>
      <c r="F139" s="605">
        <f>D139*E139</f>
        <v>0</v>
      </c>
      <c r="G139" s="603"/>
      <c r="H139" s="2146"/>
      <c r="I139" s="2146"/>
      <c r="K139" s="163"/>
    </row>
    <row r="140" spans="1:11" s="66" customFormat="1" ht="27" customHeight="1" thickBot="1">
      <c r="A140" s="2152"/>
      <c r="B140" s="2149"/>
      <c r="C140" s="194" t="str">
        <f>F!C234</f>
        <v>Neither of above is true, although some groundwater may discharge to or flow through the AA. Or groundwater influx is unknown.</v>
      </c>
      <c r="D140" s="248">
        <f>F!D234</f>
        <v>0</v>
      </c>
      <c r="E140" s="606">
        <v>0</v>
      </c>
      <c r="F140" s="606">
        <f>D140*E140</f>
        <v>0</v>
      </c>
      <c r="G140" s="604"/>
      <c r="H140" s="2149"/>
      <c r="I140" s="2149"/>
      <c r="K140" s="163"/>
    </row>
    <row r="141" spans="1:11" ht="30" customHeight="1" thickBot="1">
      <c r="A141" s="2323" t="str">
        <f>F!A240</f>
        <v>F52</v>
      </c>
      <c r="B141" s="2323" t="str">
        <f>F!B240</f>
        <v>Vegetated Buffer as % of Perimeter</v>
      </c>
      <c r="C141" s="411" t="str">
        <f>F!C240</f>
        <v>Along the wetland-upland edge and extending 30 m laterally upslope, the percentage of the upland that contains vegetation cover (except lawns, row crops, heavily grazed land, conifer plantations) is:</v>
      </c>
      <c r="D141" s="622"/>
      <c r="E141" s="620"/>
      <c r="F141" s="621"/>
      <c r="G141" s="575">
        <f>IF((NoCA=1),"", (MAX(F142:F146))/MAX(E142:E146))</f>
        <v>0</v>
      </c>
      <c r="H141" s="2148" t="s">
        <v>1565</v>
      </c>
      <c r="I141" s="2212" t="s">
        <v>492</v>
      </c>
    </row>
    <row r="142" spans="1:11" ht="15" customHeight="1">
      <c r="A142" s="2336"/>
      <c r="B142" s="2336"/>
      <c r="C142" s="1652" t="str">
        <f>F!C241</f>
        <v xml:space="preserve">&lt;5% </v>
      </c>
      <c r="D142" s="1653">
        <f>F!D241</f>
        <v>0</v>
      </c>
      <c r="E142" s="591">
        <v>4</v>
      </c>
      <c r="F142" s="370">
        <f>D142*E142</f>
        <v>0</v>
      </c>
      <c r="G142" s="578"/>
      <c r="H142" s="2146"/>
      <c r="I142" s="2213"/>
    </row>
    <row r="143" spans="1:11" ht="15" customHeight="1">
      <c r="A143" s="2336"/>
      <c r="B143" s="2336"/>
      <c r="C143" s="82" t="str">
        <f>F!C242</f>
        <v>5 to 30%</v>
      </c>
      <c r="D143" s="275">
        <f>F!D242</f>
        <v>0</v>
      </c>
      <c r="E143" s="591">
        <v>3</v>
      </c>
      <c r="F143" s="370">
        <f>D143*E143</f>
        <v>0</v>
      </c>
      <c r="G143" s="579"/>
      <c r="H143" s="2146"/>
      <c r="I143" s="2213"/>
    </row>
    <row r="144" spans="1:11" ht="15" customHeight="1">
      <c r="A144" s="2336"/>
      <c r="B144" s="2336"/>
      <c r="C144" s="82" t="str">
        <f>F!C243</f>
        <v>30 to 60%</v>
      </c>
      <c r="D144" s="245">
        <f>F!D243</f>
        <v>0</v>
      </c>
      <c r="E144" s="591">
        <v>2</v>
      </c>
      <c r="F144" s="370">
        <f>D144*E144</f>
        <v>0</v>
      </c>
      <c r="G144" s="579"/>
      <c r="H144" s="2146"/>
      <c r="I144" s="2213"/>
    </row>
    <row r="145" spans="1:9" ht="15" customHeight="1">
      <c r="A145" s="2336"/>
      <c r="B145" s="2336"/>
      <c r="C145" s="82" t="str">
        <f>F!C244</f>
        <v>60 to 90%</v>
      </c>
      <c r="D145" s="261">
        <f>F!D244</f>
        <v>0</v>
      </c>
      <c r="E145" s="591">
        <v>1</v>
      </c>
      <c r="F145" s="370">
        <f>D145*E145</f>
        <v>0</v>
      </c>
      <c r="G145" s="579"/>
      <c r="H145" s="2146"/>
      <c r="I145" s="2213"/>
    </row>
    <row r="146" spans="1:9" ht="15" customHeight="1" thickBot="1">
      <c r="A146" s="2337"/>
      <c r="B146" s="2337"/>
      <c r="C146" s="1217" t="str">
        <f>F!C245</f>
        <v>&gt;90%, or all the area within 30 m of the AA edge is other wetlands. SKIP to F55.</v>
      </c>
      <c r="D146" s="336">
        <f>F!D245</f>
        <v>0</v>
      </c>
      <c r="E146" s="592">
        <v>0</v>
      </c>
      <c r="F146" s="581">
        <f>D146*E146</f>
        <v>0</v>
      </c>
      <c r="G146" s="582"/>
      <c r="H146" s="2149"/>
      <c r="I146" s="2377"/>
    </row>
    <row r="147" spans="1:9" ht="30" customHeight="1" thickBot="1">
      <c r="A147" s="2336" t="str">
        <f>F!A249</f>
        <v>F54</v>
      </c>
      <c r="B147" s="2323" t="str">
        <f>F!B249</f>
        <v xml:space="preserve">Buffer Slope </v>
      </c>
      <c r="C147" s="561" t="str">
        <f>F!C249</f>
        <v>The steepest and/or most disturbed part of the upland area that is within 30 m of the wetland and occupies &gt;10% of that upland area has a percent slope of:</v>
      </c>
      <c r="D147" s="367"/>
      <c r="E147" s="588"/>
      <c r="F147" s="368"/>
      <c r="G147" s="594">
        <f>IF((NoCA=1),"",IF((BuffAllNat=1),"",MAX(F148:F151)/MAX(E148:E151)))</f>
        <v>0</v>
      </c>
      <c r="H147" s="2146" t="s">
        <v>2280</v>
      </c>
      <c r="I147" s="2212" t="s">
        <v>246</v>
      </c>
    </row>
    <row r="148" spans="1:9" ht="15" customHeight="1">
      <c r="A148" s="2336"/>
      <c r="B148" s="2336"/>
      <c r="C148" s="63" t="str">
        <f>F!C250</f>
        <v>&lt;1% (flat -- almost no noticeable slope) or all the area within 30 m of the AA edge is other wetlands.</v>
      </c>
      <c r="D148" s="245">
        <f>F!D250</f>
        <v>0</v>
      </c>
      <c r="E148" s="591">
        <v>0</v>
      </c>
      <c r="F148" s="370">
        <f>D148*E148</f>
        <v>0</v>
      </c>
      <c r="G148" s="578"/>
      <c r="H148" s="2146"/>
      <c r="I148" s="2213"/>
    </row>
    <row r="149" spans="1:9" ht="15" customHeight="1">
      <c r="A149" s="2336"/>
      <c r="B149" s="2336"/>
      <c r="C149" s="82" t="str">
        <f>F!C251</f>
        <v>2-5%</v>
      </c>
      <c r="D149" s="245">
        <f>F!D251</f>
        <v>0</v>
      </c>
      <c r="E149" s="591">
        <v>1</v>
      </c>
      <c r="F149" s="370">
        <f>D149*E149</f>
        <v>0</v>
      </c>
      <c r="G149" s="579"/>
      <c r="H149" s="2146"/>
      <c r="I149" s="2213"/>
    </row>
    <row r="150" spans="1:9" ht="15" customHeight="1">
      <c r="A150" s="2336"/>
      <c r="B150" s="2336"/>
      <c r="C150" s="82" t="str">
        <f>F!C252</f>
        <v>5-30%</v>
      </c>
      <c r="D150" s="261">
        <f>F!D252</f>
        <v>0</v>
      </c>
      <c r="E150" s="591">
        <v>2</v>
      </c>
      <c r="F150" s="370">
        <f>D150*E150</f>
        <v>0</v>
      </c>
      <c r="G150" s="579"/>
      <c r="H150" s="2146"/>
      <c r="I150" s="2213"/>
    </row>
    <row r="151" spans="1:9" ht="15" customHeight="1" thickBot="1">
      <c r="A151" s="2337"/>
      <c r="B151" s="2337"/>
      <c r="C151" s="1654" t="str">
        <f>F!C253</f>
        <v>&gt;30%</v>
      </c>
      <c r="D151" s="336">
        <f>F!D253</f>
        <v>0</v>
      </c>
      <c r="E151" s="592">
        <v>3</v>
      </c>
      <c r="F151" s="581">
        <f>D151*E151</f>
        <v>0</v>
      </c>
      <c r="G151" s="582"/>
      <c r="H151" s="2149"/>
      <c r="I151" s="2377"/>
    </row>
    <row r="152" spans="1:9" ht="33" customHeight="1" thickBot="1">
      <c r="A152" s="613" t="str">
        <f>S!A81</f>
        <v>S6</v>
      </c>
      <c r="B152" s="146" t="str">
        <f>S!B94</f>
        <v>Accelerated Inputs of Nutrients</v>
      </c>
      <c r="C152" s="435" t="str">
        <f>S!E93</f>
        <v>Final Score=</v>
      </c>
      <c r="D152" s="607">
        <f>S!F106</f>
        <v>0</v>
      </c>
      <c r="E152" s="590"/>
      <c r="F152" s="597"/>
      <c r="G152" s="575">
        <f>D152</f>
        <v>0</v>
      </c>
      <c r="H152" s="81" t="s">
        <v>113</v>
      </c>
      <c r="I152" s="123" t="s">
        <v>497</v>
      </c>
    </row>
    <row r="153" spans="1:9" ht="21" customHeight="1" thickBot="1">
      <c r="A153" s="2486"/>
      <c r="B153" s="2486"/>
      <c r="C153" s="2486"/>
      <c r="D153" s="2486"/>
      <c r="E153" s="2486"/>
      <c r="F153" s="2486"/>
      <c r="G153" s="2486"/>
      <c r="H153" s="2486"/>
    </row>
    <row r="154" spans="1:9" ht="21" customHeight="1">
      <c r="A154" s="2487"/>
      <c r="B154" s="2487"/>
      <c r="C154" s="2488"/>
      <c r="D154" s="2402" t="s">
        <v>1308</v>
      </c>
      <c r="E154" s="2403"/>
      <c r="F154" s="2403"/>
      <c r="G154" s="1905">
        <f>_GDD3</f>
        <v>0</v>
      </c>
      <c r="H154" s="1897" t="s">
        <v>2818</v>
      </c>
      <c r="I154" s="1898" t="s">
        <v>2721</v>
      </c>
    </row>
    <row r="155" spans="1:9" ht="21" customHeight="1">
      <c r="A155" s="2487"/>
      <c r="B155" s="2487"/>
      <c r="C155" s="2488"/>
      <c r="D155" s="2484" t="s">
        <v>1319</v>
      </c>
      <c r="E155" s="2485"/>
      <c r="F155" s="2485"/>
      <c r="G155" s="1904">
        <f>AVERAGE(Gradient3, FlowDist3,AVERAGE(Girreg3,Gcover3,CApctB3))</f>
        <v>0</v>
      </c>
      <c r="H155" s="1902" t="s">
        <v>2689</v>
      </c>
      <c r="I155" s="1899" t="s">
        <v>2722</v>
      </c>
    </row>
    <row r="156" spans="1:9" ht="21" customHeight="1">
      <c r="A156" s="2487"/>
      <c r="B156" s="2487"/>
      <c r="C156" s="2488"/>
      <c r="D156" s="2484" t="s">
        <v>1320</v>
      </c>
      <c r="E156" s="2485"/>
      <c r="F156" s="2485"/>
      <c r="G156" s="1904">
        <f>IF((AllSat1=1),"", IF((NoPonded=1),"",AVERAGE(VegWabs3, MAX(ThruFlo3,AqPlantCov3, Interspers3))))</f>
        <v>0</v>
      </c>
      <c r="H156" s="1858" t="s">
        <v>2690</v>
      </c>
      <c r="I156" s="1899" t="s">
        <v>2723</v>
      </c>
    </row>
    <row r="157" spans="1:9" ht="21" customHeight="1">
      <c r="A157" s="2487"/>
      <c r="B157" s="2487"/>
      <c r="C157" s="2488"/>
      <c r="D157" s="2484" t="s">
        <v>200</v>
      </c>
      <c r="E157" s="2485"/>
      <c r="F157" s="2485"/>
      <c r="G157" s="1904">
        <f>AVERAGE(OutDura3,Gradient3,Constric3,FlowDist3,Lake3a)</f>
        <v>0</v>
      </c>
      <c r="H157" s="1858" t="s">
        <v>2691</v>
      </c>
      <c r="I157" s="1899" t="s">
        <v>2724</v>
      </c>
    </row>
    <row r="158" spans="1:9" ht="21" customHeight="1">
      <c r="A158" s="2487"/>
      <c r="B158" s="2487"/>
      <c r="C158" s="2488"/>
      <c r="D158" s="2484" t="s">
        <v>1321</v>
      </c>
      <c r="E158" s="2485"/>
      <c r="F158" s="2485"/>
      <c r="G158" s="1904">
        <f>AVERAGE(SoilTex3, Stain3,CalcFen3)</f>
        <v>0</v>
      </c>
      <c r="H158" s="1858" t="s">
        <v>2692</v>
      </c>
      <c r="I158" s="1899" t="s">
        <v>2725</v>
      </c>
    </row>
    <row r="159" spans="1:9" ht="21" customHeight="1" thickBot="1">
      <c r="A159" s="2487"/>
      <c r="B159" s="2487"/>
      <c r="C159" s="2488"/>
      <c r="D159" s="2400" t="s">
        <v>1322</v>
      </c>
      <c r="E159" s="2401"/>
      <c r="F159" s="2401"/>
      <c r="G159" s="1697">
        <f>AVERAGE(SatPct3,Persis3,DomDepth3,Fluctu3,Algae3)</f>
        <v>0</v>
      </c>
      <c r="H159" s="1900" t="s">
        <v>1140</v>
      </c>
      <c r="I159" s="1901" t="s">
        <v>2726</v>
      </c>
    </row>
    <row r="160" spans="1:9" ht="21" customHeight="1" thickBot="1">
      <c r="A160" s="2487"/>
      <c r="B160" s="2487"/>
      <c r="C160" s="2487"/>
      <c r="D160" s="2487"/>
      <c r="E160" s="2487"/>
      <c r="F160" s="2487"/>
      <c r="G160" s="2487"/>
      <c r="H160" s="2487"/>
    </row>
    <row r="161" spans="1:9" ht="30" customHeight="1" thickBot="1">
      <c r="A161" s="2488"/>
      <c r="B161" s="2503"/>
      <c r="C161" s="2331" t="s">
        <v>107</v>
      </c>
      <c r="D161" s="2332"/>
      <c r="E161" s="2333"/>
      <c r="F161" s="1591" t="s">
        <v>75</v>
      </c>
      <c r="G161" s="1589">
        <f>10*(IF((AllSat1=1), AVERAGE(IntercepDry3,Adsorb3,FreezeDura3), IF((NoOutlet3=1),1, (3*AVERAGE(Adsorb3, Desorb3) + 2*Connec3 + AVERAGE(IntercepDry3, IntercepWet3) + FreezeDura3)/ 7)))</f>
        <v>0</v>
      </c>
      <c r="H161" s="2363" t="s">
        <v>2700</v>
      </c>
      <c r="I161" s="2364"/>
    </row>
    <row r="162" spans="1:9" ht="30" customHeight="1" thickBot="1">
      <c r="A162" s="2488"/>
      <c r="B162" s="2503"/>
      <c r="C162" s="2331" t="s">
        <v>2408</v>
      </c>
      <c r="D162" s="2332"/>
      <c r="E162" s="2333"/>
      <c r="F162" s="1949" t="s">
        <v>2888</v>
      </c>
      <c r="G162" s="1590">
        <f>10*((MAX(Pload3,PsampUp3,PsampDown3,AVERAGE(Inflo3,AVERAGE(BuffSlope3,ErodScore3, CApct3,Transport3,Groundw3,ImpervCA3,NatCApct3)))))</f>
        <v>10</v>
      </c>
      <c r="H162" s="2363" t="s">
        <v>2693</v>
      </c>
      <c r="I162" s="2364"/>
    </row>
    <row r="163" spans="1:9" ht="21" customHeight="1" thickBot="1">
      <c r="A163" s="2463"/>
      <c r="B163" s="2463"/>
      <c r="C163" s="2463"/>
      <c r="D163" s="2463"/>
      <c r="E163" s="2463"/>
      <c r="F163" s="2463"/>
      <c r="G163" s="2463"/>
      <c r="H163" s="2463"/>
    </row>
    <row r="164" spans="1:9" ht="21" customHeight="1" thickBot="1">
      <c r="B164" s="62"/>
      <c r="D164" s="62"/>
      <c r="E164" s="62"/>
      <c r="F164" s="62"/>
      <c r="G164" s="63"/>
      <c r="H164" s="2501" t="s">
        <v>806</v>
      </c>
      <c r="I164" s="2502"/>
    </row>
    <row r="165" spans="1:9" ht="27" customHeight="1">
      <c r="B165" s="62"/>
      <c r="D165" s="62"/>
      <c r="E165" s="62"/>
      <c r="F165" s="62"/>
      <c r="G165" s="63"/>
      <c r="H165" s="2497" t="s">
        <v>843</v>
      </c>
      <c r="I165" s="2498"/>
    </row>
    <row r="166" spans="1:9" ht="27" customHeight="1">
      <c r="B166" s="62"/>
      <c r="D166" s="62"/>
      <c r="E166" s="62"/>
      <c r="F166" s="62"/>
      <c r="G166" s="63"/>
      <c r="H166" s="2499" t="s">
        <v>844</v>
      </c>
      <c r="I166" s="2500"/>
    </row>
    <row r="167" spans="1:9" ht="27" customHeight="1">
      <c r="B167" s="62"/>
      <c r="D167" s="62"/>
      <c r="E167" s="62"/>
      <c r="F167" s="62"/>
      <c r="G167" s="63"/>
      <c r="H167" s="2499" t="s">
        <v>825</v>
      </c>
      <c r="I167" s="2500"/>
    </row>
    <row r="168" spans="1:9" ht="27" customHeight="1">
      <c r="B168" s="62"/>
      <c r="D168" s="62"/>
      <c r="E168" s="62"/>
      <c r="F168" s="62"/>
      <c r="G168" s="63"/>
      <c r="H168" s="2499" t="s">
        <v>1879</v>
      </c>
      <c r="I168" s="2500"/>
    </row>
    <row r="169" spans="1:9" ht="27" customHeight="1">
      <c r="B169" s="62"/>
      <c r="D169" s="62"/>
      <c r="E169" s="62"/>
      <c r="F169" s="62"/>
      <c r="G169" s="63"/>
      <c r="H169" s="2499" t="s">
        <v>845</v>
      </c>
      <c r="I169" s="2500"/>
    </row>
    <row r="170" spans="1:9" ht="27" customHeight="1">
      <c r="B170" s="62"/>
      <c r="D170" s="62"/>
      <c r="E170" s="62"/>
      <c r="F170" s="62"/>
      <c r="G170" s="63"/>
      <c r="H170" s="2367" t="s">
        <v>1650</v>
      </c>
      <c r="I170" s="2368"/>
    </row>
    <row r="171" spans="1:9" ht="42" customHeight="1">
      <c r="B171" s="62"/>
      <c r="D171" s="62"/>
      <c r="E171" s="62"/>
      <c r="F171" s="62"/>
      <c r="G171" s="63"/>
      <c r="H171" s="2504" t="s">
        <v>846</v>
      </c>
      <c r="I171" s="2505"/>
    </row>
    <row r="172" spans="1:9" ht="27" customHeight="1">
      <c r="B172" s="62"/>
      <c r="D172" s="62"/>
      <c r="E172" s="62"/>
      <c r="F172" s="62"/>
      <c r="G172" s="63"/>
      <c r="H172" s="2504" t="s">
        <v>847</v>
      </c>
      <c r="I172" s="2505"/>
    </row>
    <row r="173" spans="1:9" ht="42" customHeight="1">
      <c r="B173" s="62"/>
      <c r="D173" s="62"/>
      <c r="E173" s="62"/>
      <c r="F173" s="62"/>
      <c r="G173" s="63"/>
      <c r="H173" s="2508" t="s">
        <v>1647</v>
      </c>
      <c r="I173" s="2509"/>
    </row>
    <row r="174" spans="1:9" ht="27" customHeight="1">
      <c r="B174" s="62"/>
      <c r="D174" s="62"/>
      <c r="E174" s="62"/>
      <c r="F174" s="62"/>
      <c r="G174" s="63"/>
      <c r="H174" s="2499" t="s">
        <v>830</v>
      </c>
      <c r="I174" s="2500"/>
    </row>
    <row r="175" spans="1:9" ht="27" customHeight="1">
      <c r="B175" s="62"/>
      <c r="D175" s="62"/>
      <c r="E175" s="62"/>
      <c r="F175" s="62"/>
      <c r="G175" s="63"/>
      <c r="H175" s="2499" t="s">
        <v>848</v>
      </c>
      <c r="I175" s="2500"/>
    </row>
    <row r="176" spans="1:9" ht="27" customHeight="1">
      <c r="B176" s="62"/>
      <c r="D176" s="62"/>
      <c r="E176" s="62"/>
      <c r="F176" s="62"/>
      <c r="G176" s="63"/>
      <c r="H176" s="2499" t="s">
        <v>849</v>
      </c>
      <c r="I176" s="2500"/>
    </row>
    <row r="177" spans="2:9" ht="27" customHeight="1">
      <c r="B177" s="62"/>
      <c r="D177" s="62"/>
      <c r="E177" s="62"/>
      <c r="F177" s="62"/>
      <c r="G177" s="63"/>
      <c r="H177" s="2499" t="s">
        <v>834</v>
      </c>
      <c r="I177" s="2500"/>
    </row>
    <row r="178" spans="2:9" ht="42" customHeight="1">
      <c r="B178" s="62"/>
      <c r="D178" s="62"/>
      <c r="E178" s="62"/>
      <c r="F178" s="62"/>
      <c r="G178" s="63"/>
      <c r="H178" s="2499" t="s">
        <v>850</v>
      </c>
      <c r="I178" s="2500"/>
    </row>
    <row r="179" spans="2:9" ht="42" customHeight="1">
      <c r="B179" s="62"/>
      <c r="D179" s="62"/>
      <c r="E179" s="62"/>
      <c r="F179" s="62"/>
      <c r="G179" s="63"/>
      <c r="H179" s="2499" t="s">
        <v>851</v>
      </c>
      <c r="I179" s="2500"/>
    </row>
    <row r="180" spans="2:9" ht="27" customHeight="1">
      <c r="B180" s="62"/>
      <c r="D180" s="62"/>
      <c r="E180" s="62"/>
      <c r="F180" s="62"/>
      <c r="G180" s="63"/>
      <c r="H180" s="2499" t="s">
        <v>1880</v>
      </c>
      <c r="I180" s="2500"/>
    </row>
    <row r="181" spans="2:9" ht="27" customHeight="1">
      <c r="B181" s="62"/>
      <c r="D181" s="62"/>
      <c r="E181" s="62"/>
      <c r="F181" s="62"/>
      <c r="G181" s="63"/>
      <c r="H181" s="2499" t="s">
        <v>1881</v>
      </c>
      <c r="I181" s="2500"/>
    </row>
    <row r="182" spans="2:9" ht="27" customHeight="1">
      <c r="H182" s="2499" t="s">
        <v>852</v>
      </c>
      <c r="I182" s="2500"/>
    </row>
    <row r="183" spans="2:9" ht="27" customHeight="1">
      <c r="H183" s="2504" t="s">
        <v>853</v>
      </c>
      <c r="I183" s="2505"/>
    </row>
    <row r="184" spans="2:9" ht="42" customHeight="1">
      <c r="B184" s="62"/>
      <c r="D184" s="62"/>
      <c r="E184" s="62"/>
      <c r="F184" s="62"/>
      <c r="G184" s="63"/>
      <c r="H184" s="2499" t="s">
        <v>854</v>
      </c>
      <c r="I184" s="2500"/>
    </row>
    <row r="185" spans="2:9" ht="42" customHeight="1">
      <c r="B185" s="62"/>
      <c r="D185" s="62"/>
      <c r="E185" s="62"/>
      <c r="F185" s="62"/>
      <c r="G185" s="63"/>
      <c r="H185" s="2499" t="s">
        <v>1385</v>
      </c>
      <c r="I185" s="2500"/>
    </row>
    <row r="186" spans="2:9" ht="27" customHeight="1" thickBot="1">
      <c r="B186" s="62"/>
      <c r="D186" s="62"/>
      <c r="E186" s="62"/>
      <c r="F186" s="62"/>
      <c r="G186" s="63"/>
      <c r="H186" s="2506" t="s">
        <v>840</v>
      </c>
      <c r="I186" s="2507"/>
    </row>
    <row r="187" spans="2:9" ht="42" customHeight="1">
      <c r="B187" s="62"/>
      <c r="D187" s="62"/>
      <c r="E187" s="62"/>
      <c r="F187" s="62"/>
      <c r="G187" s="63"/>
    </row>
    <row r="188" spans="2:9" ht="42" customHeight="1">
      <c r="B188" s="62"/>
      <c r="D188" s="62"/>
      <c r="E188" s="62"/>
      <c r="F188" s="62"/>
      <c r="G188" s="63"/>
    </row>
    <row r="189" spans="2:9" ht="42" customHeight="1">
      <c r="B189" s="62"/>
      <c r="D189" s="62"/>
      <c r="E189" s="62"/>
      <c r="F189" s="62"/>
      <c r="G189" s="63"/>
    </row>
    <row r="195" spans="1:11">
      <c r="J195" s="66"/>
    </row>
    <row r="196" spans="1:11">
      <c r="J196" s="64"/>
      <c r="K196" s="187"/>
    </row>
    <row r="197" spans="1:11">
      <c r="I197" s="4"/>
      <c r="J197" s="64"/>
      <c r="K197" s="187"/>
    </row>
    <row r="198" spans="1:11">
      <c r="I198" s="4"/>
      <c r="J198" s="77"/>
      <c r="K198" s="187"/>
    </row>
    <row r="199" spans="1:11">
      <c r="I199" s="4"/>
      <c r="J199" s="77"/>
      <c r="K199" s="187"/>
    </row>
    <row r="200" spans="1:11">
      <c r="I200" s="4"/>
      <c r="J200" s="77"/>
      <c r="K200" s="187"/>
    </row>
    <row r="201" spans="1:11">
      <c r="I201" s="4"/>
      <c r="J201" s="77"/>
      <c r="K201" s="187"/>
    </row>
    <row r="202" spans="1:11">
      <c r="I202" s="4"/>
      <c r="J202" s="77"/>
      <c r="K202" s="187"/>
    </row>
    <row r="203" spans="1:11">
      <c r="I203" s="4"/>
      <c r="J203" s="64"/>
      <c r="K203" s="187"/>
    </row>
    <row r="204" spans="1:11">
      <c r="I204" s="4"/>
      <c r="J204" s="77"/>
      <c r="K204" s="187"/>
    </row>
    <row r="205" spans="1:11" s="63" customFormat="1">
      <c r="A205" s="62"/>
      <c r="B205" s="76"/>
      <c r="C205" s="62"/>
      <c r="D205" s="608"/>
      <c r="E205" s="608"/>
      <c r="F205" s="608"/>
      <c r="G205" s="609"/>
      <c r="H205" s="7"/>
      <c r="I205" s="4"/>
      <c r="K205" s="187"/>
    </row>
    <row r="206" spans="1:11" s="63" customFormat="1">
      <c r="A206" s="62"/>
      <c r="B206" s="76"/>
      <c r="C206" s="62"/>
      <c r="D206" s="608"/>
      <c r="E206" s="608"/>
      <c r="F206" s="608"/>
      <c r="G206" s="609"/>
      <c r="H206" s="7"/>
      <c r="I206" s="4"/>
      <c r="K206" s="187"/>
    </row>
    <row r="207" spans="1:11">
      <c r="I207" s="4"/>
    </row>
  </sheetData>
  <sheetProtection password="C74A" sheet="1" objects="1" scenarios="1" formatCells="0" formatColumns="0" formatRows="0"/>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148">
    <mergeCell ref="H172:I172"/>
    <mergeCell ref="H173:I173"/>
    <mergeCell ref="H174:I174"/>
    <mergeCell ref="H175:I175"/>
    <mergeCell ref="H176:I176"/>
    <mergeCell ref="H167:I167"/>
    <mergeCell ref="H168:I168"/>
    <mergeCell ref="H169:I169"/>
    <mergeCell ref="H170:I170"/>
    <mergeCell ref="H171:I171"/>
    <mergeCell ref="H182:I182"/>
    <mergeCell ref="H183:I183"/>
    <mergeCell ref="H184:I184"/>
    <mergeCell ref="H185:I185"/>
    <mergeCell ref="H186:I186"/>
    <mergeCell ref="H177:I177"/>
    <mergeCell ref="H178:I178"/>
    <mergeCell ref="H179:I179"/>
    <mergeCell ref="H180:I180"/>
    <mergeCell ref="H181:I181"/>
    <mergeCell ref="H165:I165"/>
    <mergeCell ref="H166:I166"/>
    <mergeCell ref="I141:I146"/>
    <mergeCell ref="I147:I151"/>
    <mergeCell ref="I118:I122"/>
    <mergeCell ref="I123:I126"/>
    <mergeCell ref="I127:I130"/>
    <mergeCell ref="I132:I136"/>
    <mergeCell ref="I137:I140"/>
    <mergeCell ref="H118:H122"/>
    <mergeCell ref="H161:I161"/>
    <mergeCell ref="H162:I162"/>
    <mergeCell ref="H164:I164"/>
    <mergeCell ref="A163:H163"/>
    <mergeCell ref="C162:E162"/>
    <mergeCell ref="D159:F159"/>
    <mergeCell ref="A141:A146"/>
    <mergeCell ref="C161:E161"/>
    <mergeCell ref="D158:F158"/>
    <mergeCell ref="A160:H160"/>
    <mergeCell ref="A161:B162"/>
    <mergeCell ref="H147:H151"/>
    <mergeCell ref="H141:H146"/>
    <mergeCell ref="D154:F154"/>
    <mergeCell ref="I86:I89"/>
    <mergeCell ref="I90:I95"/>
    <mergeCell ref="I96:I99"/>
    <mergeCell ref="I108:I112"/>
    <mergeCell ref="I113:I117"/>
    <mergeCell ref="I56:I61"/>
    <mergeCell ref="I62:I68"/>
    <mergeCell ref="I69:I74"/>
    <mergeCell ref="I75:I78"/>
    <mergeCell ref="I80:I85"/>
    <mergeCell ref="I100:I104"/>
    <mergeCell ref="H137:H140"/>
    <mergeCell ref="H127:H130"/>
    <mergeCell ref="B137:B140"/>
    <mergeCell ref="A137:A140"/>
    <mergeCell ref="H132:H136"/>
    <mergeCell ref="B132:B136"/>
    <mergeCell ref="A132:A136"/>
    <mergeCell ref="A123:A126"/>
    <mergeCell ref="B123:B126"/>
    <mergeCell ref="A90:A95"/>
    <mergeCell ref="A96:A99"/>
    <mergeCell ref="H90:H95"/>
    <mergeCell ref="H86:H89"/>
    <mergeCell ref="A118:A122"/>
    <mergeCell ref="B118:B122"/>
    <mergeCell ref="A113:A117"/>
    <mergeCell ref="H113:H117"/>
    <mergeCell ref="B127:B130"/>
    <mergeCell ref="A127:A130"/>
    <mergeCell ref="H123:H126"/>
    <mergeCell ref="B113:B117"/>
    <mergeCell ref="I15:I21"/>
    <mergeCell ref="I22:I26"/>
    <mergeCell ref="I27:I30"/>
    <mergeCell ref="I31:I36"/>
    <mergeCell ref="I38:I44"/>
    <mergeCell ref="I45:I50"/>
    <mergeCell ref="I51:I55"/>
    <mergeCell ref="D157:F157"/>
    <mergeCell ref="A147:A151"/>
    <mergeCell ref="B147:B151"/>
    <mergeCell ref="B141:B146"/>
    <mergeCell ref="D155:F155"/>
    <mergeCell ref="D156:F156"/>
    <mergeCell ref="A153:H153"/>
    <mergeCell ref="A154:C159"/>
    <mergeCell ref="H22:H26"/>
    <mergeCell ref="H27:H30"/>
    <mergeCell ref="H31:H36"/>
    <mergeCell ref="B108:B112"/>
    <mergeCell ref="H108:H112"/>
    <mergeCell ref="A108:A112"/>
    <mergeCell ref="H96:H99"/>
    <mergeCell ref="B96:B99"/>
    <mergeCell ref="B86:B89"/>
    <mergeCell ref="H80:H85"/>
    <mergeCell ref="H100:H104"/>
    <mergeCell ref="A80:A85"/>
    <mergeCell ref="B80:B85"/>
    <mergeCell ref="B100:B104"/>
    <mergeCell ref="A100:A104"/>
    <mergeCell ref="B45:B50"/>
    <mergeCell ref="A38:A44"/>
    <mergeCell ref="B15:B21"/>
    <mergeCell ref="A15:A21"/>
    <mergeCell ref="A22:A26"/>
    <mergeCell ref="A31:A36"/>
    <mergeCell ref="A56:A61"/>
    <mergeCell ref="H62:H68"/>
    <mergeCell ref="B62:B68"/>
    <mergeCell ref="A62:A68"/>
    <mergeCell ref="B90:B95"/>
    <mergeCell ref="A69:A74"/>
    <mergeCell ref="A86:A89"/>
    <mergeCell ref="B56:B61"/>
    <mergeCell ref="H15:H21"/>
    <mergeCell ref="H69:H74"/>
    <mergeCell ref="H38:H44"/>
    <mergeCell ref="H45:H50"/>
    <mergeCell ref="A1:B1"/>
    <mergeCell ref="H75:H78"/>
    <mergeCell ref="A75:A78"/>
    <mergeCell ref="B75:B78"/>
    <mergeCell ref="H8:H14"/>
    <mergeCell ref="A8:A14"/>
    <mergeCell ref="H56:H61"/>
    <mergeCell ref="H51:H55"/>
    <mergeCell ref="A3:A7"/>
    <mergeCell ref="B38:B44"/>
    <mergeCell ref="B31:B36"/>
    <mergeCell ref="A27:A30"/>
    <mergeCell ref="B27:B30"/>
    <mergeCell ref="B22:B26"/>
    <mergeCell ref="B51:B55"/>
    <mergeCell ref="A45:A50"/>
    <mergeCell ref="B69:B74"/>
    <mergeCell ref="B3:B7"/>
    <mergeCell ref="A51:A55"/>
    <mergeCell ref="H3:H7"/>
    <mergeCell ref="B8:B14"/>
    <mergeCell ref="E1:I1"/>
    <mergeCell ref="I3:I7"/>
    <mergeCell ref="I8:I14"/>
  </mergeCells>
  <phoneticPr fontId="2" type="noConversion"/>
  <pageMargins left="0.75" right="0.75" top="1" bottom="1" header="0.5" footer="0.5"/>
  <pageSetup orientation="portrait" r:id="rId2"/>
  <headerFooter alignWithMargins="0"/>
</worksheet>
</file>

<file path=xl/worksheets/sheet11.xml><?xml version="1.0" encoding="utf-8"?>
<worksheet xmlns="http://schemas.openxmlformats.org/spreadsheetml/2006/main" xmlns:r="http://schemas.openxmlformats.org/officeDocument/2006/relationships">
  <sheetPr codeName="Sheet9"/>
  <dimension ref="A1:AF277"/>
  <sheetViews>
    <sheetView zoomScaleNormal="100" workbookViewId="0">
      <selection sqref="A1:B1"/>
    </sheetView>
  </sheetViews>
  <sheetFormatPr defaultColWidth="9.33203125" defaultRowHeight="13.8"/>
  <cols>
    <col min="1" max="1" width="5.77734375" style="33" customWidth="1"/>
    <col min="2" max="2" width="18.77734375" style="7" customWidth="1"/>
    <col min="3" max="3" width="69.77734375" style="7" customWidth="1"/>
    <col min="4" max="6" width="6.77734375" style="647" customWidth="1"/>
    <col min="7" max="7" width="9.77734375" style="648" customWidth="1"/>
    <col min="8" max="8" width="69.77734375" style="8" customWidth="1"/>
    <col min="9" max="9" width="11.77734375" style="7" customWidth="1"/>
    <col min="10" max="16384" width="9.33203125" style="7"/>
  </cols>
  <sheetData>
    <row r="1" spans="1:9" s="130" customFormat="1" ht="69" customHeight="1" thickBot="1">
      <c r="A1" s="2418" t="s">
        <v>1759</v>
      </c>
      <c r="B1" s="2419"/>
      <c r="C1" s="124" t="s">
        <v>1815</v>
      </c>
      <c r="D1" s="149" t="s">
        <v>1235</v>
      </c>
      <c r="E1" s="2477"/>
      <c r="F1" s="2478"/>
      <c r="G1" s="2478"/>
      <c r="H1" s="2478"/>
      <c r="I1" s="2478"/>
    </row>
    <row r="2" spans="1:9" s="138" customFormat="1" ht="36" customHeight="1" thickBot="1">
      <c r="A2" s="1555" t="s">
        <v>168</v>
      </c>
      <c r="B2" s="1555" t="s">
        <v>1357</v>
      </c>
      <c r="C2" s="1596" t="s">
        <v>1354</v>
      </c>
      <c r="D2" s="1613" t="s">
        <v>64</v>
      </c>
      <c r="E2" s="1576" t="s">
        <v>1383</v>
      </c>
      <c r="F2" s="1577" t="s">
        <v>1384</v>
      </c>
      <c r="G2" s="1578" t="s">
        <v>1293</v>
      </c>
      <c r="H2" s="1579" t="s">
        <v>1294</v>
      </c>
      <c r="I2" s="1648" t="s">
        <v>2622</v>
      </c>
    </row>
    <row r="3" spans="1:9" ht="21" customHeight="1" thickBot="1">
      <c r="A3" s="2150" t="str">
        <f>OF!A81</f>
        <v>OF15</v>
      </c>
      <c r="B3" s="2218" t="str">
        <f>OF!B81</f>
        <v>Upland Edge Contact</v>
      </c>
      <c r="C3" s="436" t="str">
        <f>OF!C81</f>
        <v>Select one:</v>
      </c>
      <c r="D3" s="365"/>
      <c r="E3" s="365"/>
      <c r="F3" s="366"/>
      <c r="G3" s="537">
        <f>MAX(F4:F6)/MAX(E4:E6)</f>
        <v>0</v>
      </c>
      <c r="H3" s="2218" t="s">
        <v>720</v>
      </c>
      <c r="I3" s="2212" t="s">
        <v>516</v>
      </c>
    </row>
    <row r="4" spans="1:9" ht="27" customHeight="1">
      <c r="A4" s="2151"/>
      <c r="B4" s="2211"/>
      <c r="C4" s="30" t="str">
        <f>OF!C82</f>
        <v>The AA has no upland edge (or upland is &lt;1% of perimeter). The AA is entirely contiguous with other wetlands or water.</v>
      </c>
      <c r="D4" s="256">
        <f>OF!D82</f>
        <v>0</v>
      </c>
      <c r="E4" s="361">
        <v>0</v>
      </c>
      <c r="F4" s="361">
        <f>D4*E4</f>
        <v>0</v>
      </c>
      <c r="G4" s="629"/>
      <c r="H4" s="2211"/>
      <c r="I4" s="2213"/>
    </row>
    <row r="5" spans="1:9" ht="27" customHeight="1">
      <c r="A5" s="2151"/>
      <c r="B5" s="2211"/>
      <c r="C5" s="6" t="str">
        <f>OF!C85</f>
        <v>50-75% of the AA's perimeter abuts upland. The rest adjoins other wetlands or water that is mostly wider than the AA.</v>
      </c>
      <c r="D5" s="247">
        <f>OF!D85</f>
        <v>0</v>
      </c>
      <c r="E5" s="361">
        <v>2</v>
      </c>
      <c r="F5" s="361">
        <f>D5*E5</f>
        <v>0</v>
      </c>
      <c r="G5" s="630"/>
      <c r="H5" s="2211"/>
      <c r="I5" s="2213"/>
    </row>
    <row r="6" spans="1:9" ht="27" customHeight="1" thickBot="1">
      <c r="A6" s="2151"/>
      <c r="B6" s="2211"/>
      <c r="C6" s="437" t="str">
        <f>OF!C86</f>
        <v>More than 75% of the AA's perimeter abuts upland. Any remainder adjoins other wetlands or water that is mostly wider than the AA.  This will be true for most assessments done with WESP-AC.</v>
      </c>
      <c r="D6" s="254">
        <f>OF!D86</f>
        <v>0</v>
      </c>
      <c r="E6" s="364">
        <v>1</v>
      </c>
      <c r="F6" s="364">
        <f>D6*E6</f>
        <v>0</v>
      </c>
      <c r="G6" s="639"/>
      <c r="H6" s="2211"/>
      <c r="I6" s="2377"/>
    </row>
    <row r="7" spans="1:9" ht="99" customHeight="1" thickBot="1">
      <c r="A7" s="2512" t="str">
        <f>OF!A89</f>
        <v>OF18</v>
      </c>
      <c r="B7" s="2150" t="str">
        <f>OF!B89</f>
        <v>Relative Elevation in Watershed</v>
      </c>
      <c r="C7" s="5" t="str">
        <f>OF!C89</f>
        <v>To view watersheds, open Google Earth and then the NB_Watersheds.kmz file that accompanies this calculator. Determine the AA's position in its watershed as follows: 
1) If the AA is on a channel wider than 10 m, or has both inlet &amp; outlet and is closer to the watershed's outlet than to its upper end, check "lower 1/3.” 
2) If the AA is the source of a headwater stream, or lacks an outlet and is close to the watershed's outer margin, then check "upper 1/3.”  For all other conditions, check "middle 1/3".</v>
      </c>
      <c r="D7" s="376"/>
      <c r="E7" s="365"/>
      <c r="F7" s="365"/>
      <c r="G7" s="537">
        <f>MAX(F8:F10)/MAX(E8:E10)</f>
        <v>0</v>
      </c>
      <c r="H7" s="2148" t="s">
        <v>2244</v>
      </c>
      <c r="I7" s="2212" t="s">
        <v>1602</v>
      </c>
    </row>
    <row r="8" spans="1:9" ht="15" customHeight="1">
      <c r="A8" s="2510"/>
      <c r="B8" s="2510"/>
      <c r="C8" s="1463" t="str">
        <f>OF!C90</f>
        <v>in the upper one-third of its watershed.</v>
      </c>
      <c r="D8" s="247">
        <f>OF!D90</f>
        <v>0</v>
      </c>
      <c r="E8" s="361">
        <v>3</v>
      </c>
      <c r="F8" s="370">
        <f>D8*E8</f>
        <v>0</v>
      </c>
      <c r="G8" s="630"/>
      <c r="H8" s="2146"/>
      <c r="I8" s="2213"/>
    </row>
    <row r="9" spans="1:9" ht="15" customHeight="1">
      <c r="A9" s="2510"/>
      <c r="B9" s="2510"/>
      <c r="C9" s="1394" t="str">
        <f>OF!C91</f>
        <v>in the middle one-third of its watershed.</v>
      </c>
      <c r="D9" s="247">
        <f>OF!D91</f>
        <v>0</v>
      </c>
      <c r="E9" s="361">
        <v>2</v>
      </c>
      <c r="F9" s="370">
        <f>D9*E9</f>
        <v>0</v>
      </c>
      <c r="G9" s="630"/>
      <c r="H9" s="2146"/>
      <c r="I9" s="2213"/>
    </row>
    <row r="10" spans="1:9" ht="15" customHeight="1" thickBot="1">
      <c r="A10" s="2511"/>
      <c r="B10" s="2511"/>
      <c r="C10" s="1464" t="str">
        <f>OF!C92</f>
        <v>in the lower one-third of its watershed.</v>
      </c>
      <c r="D10" s="248">
        <f>OF!D92</f>
        <v>0</v>
      </c>
      <c r="E10" s="362">
        <v>1</v>
      </c>
      <c r="F10" s="581">
        <f>D10*E10</f>
        <v>0</v>
      </c>
      <c r="G10" s="631"/>
      <c r="H10" s="2149"/>
      <c r="I10" s="2377"/>
    </row>
    <row r="11" spans="1:9" ht="30" customHeight="1" thickBot="1">
      <c r="A11" s="2181" t="str">
        <f>OF!A105</f>
        <v>OF23</v>
      </c>
      <c r="B11" s="2318" t="str">
        <f>OF!B105</f>
        <v>Contributing Area (CA) Percentage</v>
      </c>
      <c r="C11" s="443" t="str">
        <f>OF!C105</f>
        <v>Determine the approximate bounds of this AA's contributing area (follow the detailed directions in the Manual). Relative to the extent of that contributing area (CA), the AA comprises:</v>
      </c>
      <c r="D11" s="365"/>
      <c r="E11" s="632"/>
      <c r="F11" s="365"/>
      <c r="G11" s="537">
        <f>MAX(F12:F15)/MAX(E12:E15)</f>
        <v>0</v>
      </c>
      <c r="H11" s="2148" t="s">
        <v>1268</v>
      </c>
      <c r="I11" s="2212" t="s">
        <v>1182</v>
      </c>
    </row>
    <row r="12" spans="1:9" ht="27" customHeight="1">
      <c r="A12" s="2180"/>
      <c r="B12" s="2319"/>
      <c r="C12" s="445" t="str">
        <f>OF!C106</f>
        <v>&lt;1% of its CA  (includes most wetlands, especially those located low in watersheds, such as ones on major river floodplains or the marine shoreline).</v>
      </c>
      <c r="D12" s="255">
        <f>OF!D106</f>
        <v>0</v>
      </c>
      <c r="E12" s="361">
        <v>0</v>
      </c>
      <c r="F12" s="364">
        <f>D12*E12</f>
        <v>0</v>
      </c>
      <c r="G12" s="630"/>
      <c r="H12" s="2146"/>
      <c r="I12" s="2213"/>
    </row>
    <row r="13" spans="1:9" ht="15" customHeight="1">
      <c r="A13" s="2180"/>
      <c r="B13" s="2319"/>
      <c r="C13" s="446" t="str">
        <f>OF!C107</f>
        <v>1 to 10% of its CA.</v>
      </c>
      <c r="D13" s="78">
        <f>OF!D107</f>
        <v>0</v>
      </c>
      <c r="E13" s="361">
        <v>1</v>
      </c>
      <c r="F13" s="364">
        <f>D13*E13</f>
        <v>0</v>
      </c>
      <c r="G13" s="630"/>
      <c r="H13" s="2146"/>
      <c r="I13" s="2213"/>
    </row>
    <row r="14" spans="1:9" ht="15" customHeight="1">
      <c r="A14" s="2180"/>
      <c r="B14" s="2319"/>
      <c r="C14" s="446" t="str">
        <f>OF!C108</f>
        <v>10 to 100% of its CA.</v>
      </c>
      <c r="D14" s="78">
        <f>OF!D108</f>
        <v>0</v>
      </c>
      <c r="E14" s="361">
        <v>2</v>
      </c>
      <c r="F14" s="364">
        <f>D14*E14</f>
        <v>0</v>
      </c>
      <c r="G14" s="630"/>
      <c r="H14" s="2146"/>
      <c r="I14" s="2213"/>
    </row>
    <row r="15" spans="1:9" ht="27" customHeight="1" thickBot="1">
      <c r="A15" s="2187"/>
      <c r="B15" s="2322"/>
      <c r="C15" s="444" t="str">
        <f>OF!C109</f>
        <v>Wetland has essentially no CA, e.g., isolated by dikes with no input channels, or is in terrain so flat that a CA can't be delineated. SKIP TO OF27 (Internal Gradient).</v>
      </c>
      <c r="D15" s="193">
        <f>OF!D109</f>
        <v>0</v>
      </c>
      <c r="E15" s="362">
        <v>3</v>
      </c>
      <c r="F15" s="362">
        <f>D15*E15</f>
        <v>0</v>
      </c>
      <c r="G15" s="631"/>
      <c r="H15" s="2149"/>
      <c r="I15" s="2377"/>
    </row>
    <row r="16" spans="1:9" ht="21" customHeight="1" thickBot="1">
      <c r="A16" s="2181" t="str">
        <f>OF!A118</f>
        <v>OF26</v>
      </c>
      <c r="B16" s="2318" t="str">
        <f>OF!B118</f>
        <v>Aspect</v>
      </c>
      <c r="C16" s="443" t="str">
        <f>OF!C118</f>
        <v>The overland flow direction of most surface water (in streams or runoff) that enters the AA is:</v>
      </c>
      <c r="D16" s="365"/>
      <c r="E16" s="365"/>
      <c r="F16" s="366"/>
      <c r="G16" s="537">
        <f>IF((NoCA=1),"", MAX(F17:F19)/MAX(E17:E19))</f>
        <v>0</v>
      </c>
      <c r="H16" s="2148" t="s">
        <v>739</v>
      </c>
      <c r="I16" s="2212" t="s">
        <v>277</v>
      </c>
    </row>
    <row r="17" spans="1:9" ht="15" customHeight="1">
      <c r="A17" s="2180"/>
      <c r="B17" s="2319"/>
      <c r="C17" s="445" t="str">
        <f>OF!C119</f>
        <v>Northward (N, NE). north-facing contributing area.</v>
      </c>
      <c r="D17" s="255">
        <f>OF!D119</f>
        <v>0</v>
      </c>
      <c r="E17" s="361">
        <v>0</v>
      </c>
      <c r="F17" s="364">
        <f>D17*E17</f>
        <v>0</v>
      </c>
      <c r="G17" s="629"/>
      <c r="H17" s="2146"/>
      <c r="I17" s="2213"/>
    </row>
    <row r="18" spans="1:9" ht="15" customHeight="1">
      <c r="A18" s="2180"/>
      <c r="B18" s="2319"/>
      <c r="C18" s="446" t="str">
        <f>OF!C120</f>
        <v>Southward (S, SW). south-facing contributing area.</v>
      </c>
      <c r="D18" s="78">
        <f>OF!D120</f>
        <v>0</v>
      </c>
      <c r="E18" s="361">
        <v>2</v>
      </c>
      <c r="F18" s="364">
        <f>D18*E18</f>
        <v>0</v>
      </c>
      <c r="G18" s="630"/>
      <c r="H18" s="2146"/>
      <c r="I18" s="2213"/>
    </row>
    <row r="19" spans="1:9" ht="15" customHeight="1" thickBot="1">
      <c r="A19" s="2187"/>
      <c r="B19" s="2322"/>
      <c r="C19" s="353" t="str">
        <f>OF!C121</f>
        <v>other (E, SE, W, NW), or no detectable uphill slope or input channel (flat).</v>
      </c>
      <c r="D19" s="193">
        <f>OF!D121</f>
        <v>0</v>
      </c>
      <c r="E19" s="362">
        <v>1</v>
      </c>
      <c r="F19" s="362">
        <f>D19*E19</f>
        <v>0</v>
      </c>
      <c r="G19" s="631"/>
      <c r="H19" s="2149"/>
      <c r="I19" s="2377"/>
    </row>
    <row r="20" spans="1:9" ht="21" customHeight="1" thickBot="1">
      <c r="A20" s="2181" t="str">
        <f>OF!A122</f>
        <v>OF27</v>
      </c>
      <c r="B20" s="2148" t="str">
        <f>OF!B122</f>
        <v>Internal Flow Distance (Path Length)</v>
      </c>
      <c r="C20" s="123" t="str">
        <f>OF!C122</f>
        <v xml:space="preserve">The horizontal flow distance from the wetland's inlet to outlet is: </v>
      </c>
      <c r="D20" s="365"/>
      <c r="E20" s="365"/>
      <c r="F20" s="366"/>
      <c r="G20" s="577">
        <f>MAX(F21:F26)/MAX(E21:E26)</f>
        <v>0</v>
      </c>
      <c r="H20" s="2212" t="s">
        <v>1170</v>
      </c>
      <c r="I20" s="2212" t="s">
        <v>1183</v>
      </c>
    </row>
    <row r="21" spans="1:9" ht="15" customHeight="1">
      <c r="A21" s="2180"/>
      <c r="B21" s="2146"/>
      <c r="C21" s="440" t="str">
        <f>OF!C123</f>
        <v>&lt;10 m</v>
      </c>
      <c r="D21" s="255">
        <f>OF!D123</f>
        <v>0</v>
      </c>
      <c r="E21" s="361">
        <v>1</v>
      </c>
      <c r="F21" s="361">
        <f t="shared" ref="F21:F26" si="0">D21*E21</f>
        <v>0</v>
      </c>
      <c r="G21" s="630"/>
      <c r="H21" s="2213"/>
      <c r="I21" s="2213"/>
    </row>
    <row r="22" spans="1:9" ht="15" customHeight="1">
      <c r="A22" s="2180"/>
      <c r="B22" s="2146"/>
      <c r="C22" s="401" t="str">
        <f>OF!C124</f>
        <v>10 - 50 m</v>
      </c>
      <c r="D22" s="78">
        <f>OF!D124</f>
        <v>0</v>
      </c>
      <c r="E22" s="361">
        <v>2</v>
      </c>
      <c r="F22" s="361">
        <f t="shared" si="0"/>
        <v>0</v>
      </c>
      <c r="G22" s="630"/>
      <c r="H22" s="2213"/>
      <c r="I22" s="2213"/>
    </row>
    <row r="23" spans="1:9" ht="15" customHeight="1">
      <c r="A23" s="2180"/>
      <c r="B23" s="2146"/>
      <c r="C23" s="401" t="str">
        <f>OF!C125</f>
        <v>50 - 100 m</v>
      </c>
      <c r="D23" s="78">
        <f>OF!D125</f>
        <v>0</v>
      </c>
      <c r="E23" s="361">
        <v>3</v>
      </c>
      <c r="F23" s="361">
        <f t="shared" si="0"/>
        <v>0</v>
      </c>
      <c r="G23" s="630"/>
      <c r="H23" s="2213"/>
      <c r="I23" s="2213"/>
    </row>
    <row r="24" spans="1:9" ht="15" customHeight="1">
      <c r="A24" s="2180"/>
      <c r="B24" s="2146"/>
      <c r="C24" s="401" t="str">
        <f>OF!C126</f>
        <v>100 - 1000 m</v>
      </c>
      <c r="D24" s="78">
        <f>OF!D126</f>
        <v>0</v>
      </c>
      <c r="E24" s="361">
        <v>4</v>
      </c>
      <c r="F24" s="361">
        <f t="shared" si="0"/>
        <v>0</v>
      </c>
      <c r="G24" s="630"/>
      <c r="H24" s="2213"/>
      <c r="I24" s="2213"/>
    </row>
    <row r="25" spans="1:9" ht="15" customHeight="1">
      <c r="A25" s="2180"/>
      <c r="B25" s="2146"/>
      <c r="C25" s="401" t="str">
        <f>OF!C127</f>
        <v>1- 2 km</v>
      </c>
      <c r="D25" s="78">
        <f>OF!D127</f>
        <v>0</v>
      </c>
      <c r="E25" s="361">
        <v>5</v>
      </c>
      <c r="F25" s="361">
        <f t="shared" si="0"/>
        <v>0</v>
      </c>
      <c r="G25" s="630"/>
      <c r="H25" s="2213"/>
      <c r="I25" s="2213"/>
    </row>
    <row r="26" spans="1:9" ht="15" customHeight="1" thickBot="1">
      <c r="A26" s="2187"/>
      <c r="B26" s="2149"/>
      <c r="C26" s="441" t="str">
        <f>OF!C128</f>
        <v>&gt;2 km, or wetland lacks an outlet.</v>
      </c>
      <c r="D26" s="193">
        <f>OF!D128</f>
        <v>0</v>
      </c>
      <c r="E26" s="362">
        <v>6</v>
      </c>
      <c r="F26" s="362">
        <f t="shared" si="0"/>
        <v>0</v>
      </c>
      <c r="G26" s="631"/>
      <c r="H26" s="2377"/>
      <c r="I26" s="2377"/>
    </row>
    <row r="27" spans="1:9" ht="30" customHeight="1" thickBot="1">
      <c r="A27" s="2343" t="str">
        <f>OF!A129</f>
        <v>OF28</v>
      </c>
      <c r="B27" s="2340" t="str">
        <f>OF!B129</f>
        <v>Growing Degree Days</v>
      </c>
      <c r="C27" s="561" t="str">
        <f>OF!C129</f>
        <v>According to Figure A-1 in Appendix A of the Manual, the mean annual Growing Degree Days (GDD) in the vicinity of the AA is approximately:</v>
      </c>
      <c r="D27" s="360"/>
      <c r="E27" s="367"/>
      <c r="F27" s="368"/>
      <c r="G27" s="584">
        <f>MAX(F28:F33)/MAX(E28:E33)</f>
        <v>0</v>
      </c>
      <c r="H27" s="2218" t="s">
        <v>2243</v>
      </c>
      <c r="I27" s="2212" t="s">
        <v>1184</v>
      </c>
    </row>
    <row r="28" spans="1:9" ht="15" customHeight="1">
      <c r="A28" s="2329"/>
      <c r="B28" s="2341"/>
      <c r="C28" s="170" t="str">
        <f>OF!C130</f>
        <v>800-1000 days</v>
      </c>
      <c r="D28" s="261">
        <f>OF!D130</f>
        <v>0</v>
      </c>
      <c r="E28" s="369">
        <v>0</v>
      </c>
      <c r="F28" s="370">
        <f t="shared" ref="F28:F33" si="1">D28*E28</f>
        <v>0</v>
      </c>
      <c r="G28" s="578"/>
      <c r="H28" s="2211"/>
      <c r="I28" s="2213"/>
    </row>
    <row r="29" spans="1:9" ht="15" customHeight="1">
      <c r="A29" s="2329"/>
      <c r="B29" s="2341"/>
      <c r="C29" s="82" t="str">
        <f>OF!C131</f>
        <v>1000-1200</v>
      </c>
      <c r="D29" s="245">
        <f>OF!D131</f>
        <v>0</v>
      </c>
      <c r="E29" s="369">
        <v>1</v>
      </c>
      <c r="F29" s="370">
        <f t="shared" si="1"/>
        <v>0</v>
      </c>
      <c r="G29" s="578"/>
      <c r="H29" s="2211"/>
      <c r="I29" s="2213"/>
    </row>
    <row r="30" spans="1:9" ht="15" customHeight="1">
      <c r="A30" s="2329"/>
      <c r="B30" s="2341"/>
      <c r="C30" s="82" t="str">
        <f>OF!C132</f>
        <v>1200-1400</v>
      </c>
      <c r="D30" s="245">
        <f>OF!D132</f>
        <v>0</v>
      </c>
      <c r="E30" s="369">
        <v>2</v>
      </c>
      <c r="F30" s="370">
        <f t="shared" si="1"/>
        <v>0</v>
      </c>
      <c r="G30" s="578"/>
      <c r="H30" s="2211"/>
      <c r="I30" s="2213"/>
    </row>
    <row r="31" spans="1:9" ht="15" customHeight="1">
      <c r="A31" s="2329"/>
      <c r="B31" s="2341"/>
      <c r="C31" s="82" t="str">
        <f>OF!C133</f>
        <v>1400-1600</v>
      </c>
      <c r="D31" s="245">
        <f>OF!D133</f>
        <v>0</v>
      </c>
      <c r="E31" s="369">
        <v>3</v>
      </c>
      <c r="F31" s="370">
        <f t="shared" si="1"/>
        <v>0</v>
      </c>
      <c r="G31" s="578"/>
      <c r="H31" s="2211"/>
      <c r="I31" s="2213"/>
    </row>
    <row r="32" spans="1:9" ht="15" customHeight="1">
      <c r="A32" s="2329"/>
      <c r="B32" s="2341"/>
      <c r="C32" s="82" t="str">
        <f>OF!C134</f>
        <v>1600-1800</v>
      </c>
      <c r="D32" s="245">
        <f>OF!D134</f>
        <v>0</v>
      </c>
      <c r="E32" s="369">
        <v>4</v>
      </c>
      <c r="F32" s="370">
        <f t="shared" si="1"/>
        <v>0</v>
      </c>
      <c r="G32" s="579"/>
      <c r="H32" s="2211"/>
      <c r="I32" s="2213"/>
    </row>
    <row r="33" spans="1:9" ht="15" customHeight="1" thickBot="1">
      <c r="A33" s="2330"/>
      <c r="B33" s="2342"/>
      <c r="C33" s="438" t="str">
        <f>OF!C135</f>
        <v>&gt;1800 days</v>
      </c>
      <c r="D33" s="246">
        <f>OF!D135</f>
        <v>0</v>
      </c>
      <c r="E33" s="580">
        <v>5</v>
      </c>
      <c r="F33" s="581">
        <f t="shared" si="1"/>
        <v>0</v>
      </c>
      <c r="G33" s="582"/>
      <c r="H33" s="2420"/>
      <c r="I33" s="2377"/>
    </row>
    <row r="34" spans="1:9" s="8" customFormat="1" ht="21" customHeight="1" thickBot="1">
      <c r="A34" s="2389" t="str">
        <f>F!A4</f>
        <v>F1</v>
      </c>
      <c r="B34" s="2148" t="str">
        <f>F!B4</f>
        <v>Wetland Type</v>
      </c>
      <c r="C34" s="404" t="str">
        <f>F!C4</f>
        <v>The vegetated part of the Assessment Area (AA) is mostly a (select ONE):</v>
      </c>
      <c r="D34" s="365"/>
      <c r="E34" s="633"/>
      <c r="F34" s="634"/>
      <c r="G34" s="538">
        <f>MAX(F35:F38)/MAX(E35:E38)</f>
        <v>0</v>
      </c>
      <c r="H34" s="2146" t="s">
        <v>1940</v>
      </c>
      <c r="I34" s="2148" t="s">
        <v>498</v>
      </c>
    </row>
    <row r="35" spans="1:9" s="8" customFormat="1" ht="57" customHeight="1">
      <c r="A35" s="2390"/>
      <c r="B35" s="2146"/>
      <c r="C35" s="625"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35" s="279">
        <f>F!D5</f>
        <v>0</v>
      </c>
      <c r="E35" s="635">
        <v>2</v>
      </c>
      <c r="F35" s="361">
        <f>D35*E35</f>
        <v>0</v>
      </c>
      <c r="G35" s="515"/>
      <c r="H35" s="2146"/>
      <c r="I35" s="2146"/>
    </row>
    <row r="36" spans="1:9" s="8" customFormat="1" ht="57" customHeight="1">
      <c r="A36" s="2390"/>
      <c r="B36" s="2146"/>
      <c r="C36" s="407"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36" s="280">
        <f>F!D6</f>
        <v>0</v>
      </c>
      <c r="E36" s="635">
        <v>0</v>
      </c>
      <c r="F36" s="361">
        <f>D36*E36</f>
        <v>0</v>
      </c>
      <c r="G36" s="509"/>
      <c r="H36" s="2146"/>
      <c r="I36" s="2146"/>
    </row>
    <row r="37" spans="1:9" s="8" customFormat="1" ht="69">
      <c r="A37" s="2390"/>
      <c r="B37" s="2146"/>
      <c r="C37" s="407"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37" s="280">
        <f>F!D7</f>
        <v>0</v>
      </c>
      <c r="E37" s="635">
        <v>1</v>
      </c>
      <c r="F37" s="361">
        <f>D37*E37</f>
        <v>0</v>
      </c>
      <c r="G37" s="509"/>
      <c r="H37" s="2146"/>
      <c r="I37" s="2146"/>
    </row>
    <row r="38" spans="1:9" s="8" customFormat="1" ht="69" customHeight="1" thickBot="1">
      <c r="A38" s="2391"/>
      <c r="B38" s="2146"/>
      <c r="C38" s="626"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38" s="281">
        <f>F!D8</f>
        <v>0</v>
      </c>
      <c r="E38" s="1187">
        <v>3</v>
      </c>
      <c r="F38" s="364">
        <f>D38*E38</f>
        <v>0</v>
      </c>
      <c r="G38" s="510"/>
      <c r="H38" s="2146"/>
      <c r="I38" s="2149"/>
    </row>
    <row r="39" spans="1:9" s="8" customFormat="1" ht="45" customHeight="1" thickBot="1">
      <c r="A39" s="81" t="str">
        <f>F!A14</f>
        <v>F3</v>
      </c>
      <c r="B39" s="81" t="str">
        <f>F!B14</f>
        <v>Woody Height &amp; Form Diversity</v>
      </c>
      <c r="C39" s="1659" t="str">
        <f>F!C14</f>
        <v xml:space="preserve">Following EACH row below, indicate with a number code (6 if &gt;95%, 5 if 75-95%, 4 if 50-75%, 3 if 25-50%, 2 if 5-25%, 1 if &lt;5%, 0 if none) the percentage of the vegetated AA occupied by that feature. If ALL are marked 0 or 1, SKIP to F9 (N fixers). </v>
      </c>
      <c r="D39" s="289">
        <f>MAX(F!D16,D10)</f>
        <v>0</v>
      </c>
      <c r="E39" s="1188"/>
      <c r="F39" s="384"/>
      <c r="G39" s="537">
        <f>D39/6</f>
        <v>0</v>
      </c>
      <c r="H39" s="81" t="s">
        <v>1626</v>
      </c>
      <c r="I39" s="81" t="s">
        <v>2075</v>
      </c>
    </row>
    <row r="40" spans="1:9" ht="30" customHeight="1" thickBot="1">
      <c r="A40" s="2213" t="str">
        <f>F!A30</f>
        <v>F5</v>
      </c>
      <c r="B40" s="2213" t="str">
        <f>F!B30</f>
        <v>Height Class Interspersion</v>
      </c>
      <c r="C40" s="448" t="str">
        <f>F!C30</f>
        <v>In aerial ("duck's eye") view, the following best represents the distribution pattern of vegetation taller than 1 m  VS. shorter than 1 m:</v>
      </c>
      <c r="D40" s="360"/>
      <c r="E40" s="360"/>
      <c r="F40" s="363"/>
      <c r="G40" s="538" t="str">
        <f>IF((SUM(F!D15:D18)=0),"", MAX(F41:F44)/MAX(E41:E44))</f>
        <v/>
      </c>
      <c r="H40" s="2158" t="s">
        <v>1883</v>
      </c>
      <c r="I40" s="2212" t="s">
        <v>505</v>
      </c>
    </row>
    <row r="41" spans="1:9" ht="41.4">
      <c r="A41" s="2213"/>
      <c r="B41" s="2213"/>
      <c r="C41" s="1503" t="str">
        <f>F!C31</f>
        <v xml:space="preserve">Taller vegetation (&gt;1m height) comprises 30-70% of the vegetated part of the AA and shorter vegetation (&lt;1m height) is scattered widely amid the taller. OR Shorter vegetation comprises 30-70% of the vegetated part of the AA, AND taller vegetation is scattered widely amid the shorter. </v>
      </c>
      <c r="D41" s="1570">
        <f>F!D31</f>
        <v>0</v>
      </c>
      <c r="E41" s="361">
        <v>3</v>
      </c>
      <c r="F41" s="364">
        <f>D41*E41</f>
        <v>0</v>
      </c>
      <c r="G41" s="629"/>
      <c r="H41" s="2159"/>
      <c r="I41" s="2213"/>
    </row>
    <row r="42" spans="1:9" ht="57" customHeight="1">
      <c r="A42" s="2213"/>
      <c r="B42" s="2213"/>
      <c r="C42" s="1471" t="str">
        <f>F!C32</f>
        <v xml:space="preserve">Taller vegetation comprises 30-70% of the vegetated part of the AA and shorter vegetation is mainly segregated in zones or proportionately large clumps, not scattered widely amid the taller. OR Shorter vegetation comprises 30-70% of the vegetated part of the AA and taller vegetation is mainly in zones or proportionately large clumps, not scattered widely amid the taller. </v>
      </c>
      <c r="D42" s="78">
        <f>F!D32</f>
        <v>0</v>
      </c>
      <c r="E42" s="377">
        <v>4</v>
      </c>
      <c r="F42" s="364">
        <f>D42*E42</f>
        <v>0</v>
      </c>
      <c r="G42" s="630"/>
      <c r="H42" s="2159"/>
      <c r="I42" s="2213"/>
    </row>
    <row r="43" spans="1:9" ht="41.4">
      <c r="A43" s="2213"/>
      <c r="B43" s="2213"/>
      <c r="C43" s="1470" t="str">
        <f>F!C33</f>
        <v xml:space="preserve">Taller vegetation comprises &gt;70% of the vegetated part of the AA and shorter vegetation is scattered widely amid the taller. OR Shorter vegetation comprises &gt;70% of the vegetated part of the AA, AND taller vegetation (if any) is scattered widely amid the shorter. </v>
      </c>
      <c r="D43" s="1570">
        <f>F!D33</f>
        <v>0</v>
      </c>
      <c r="E43" s="361">
        <v>2</v>
      </c>
      <c r="F43" s="364">
        <f>D43*E43</f>
        <v>0</v>
      </c>
      <c r="G43" s="630"/>
      <c r="H43" s="2159"/>
      <c r="I43" s="2213"/>
    </row>
    <row r="44" spans="1:9" ht="57" customHeight="1" thickBot="1">
      <c r="A44" s="2213"/>
      <c r="B44" s="2213"/>
      <c r="C44" s="1184" t="str">
        <f>F!C34</f>
        <v xml:space="preserve">Taller vegetation comprises &gt;70% of the vegetated part of the AA and shorter vegetation is absent or is mainly segregated in zones or proportionately large clumps, not scattered widely amid the taller. OR Shorter vegetation comprises &gt;70% of the vegetated part of the AA and taller vegetation is absent or is mainly in zones or proportionately large clumps, not scattered widely amid the taller. </v>
      </c>
      <c r="D44" s="1658">
        <f>F!D34</f>
        <v>0</v>
      </c>
      <c r="E44" s="362">
        <v>1</v>
      </c>
      <c r="F44" s="364">
        <f>D44*E44</f>
        <v>0</v>
      </c>
      <c r="G44" s="630"/>
      <c r="H44" s="2159"/>
      <c r="I44" s="2377"/>
    </row>
    <row r="45" spans="1:9" ht="30" customHeight="1" thickBot="1">
      <c r="A45" s="2182" t="str">
        <f>F!A57</f>
        <v>F11</v>
      </c>
      <c r="B45" s="2209" t="str">
        <f>F!B57</f>
        <v>% Bare Ground &amp; Thatch</v>
      </c>
      <c r="C45" s="439" t="str">
        <f>F!C57</f>
        <v>Consider the parts of the AA that lack surface water at the driest time of the growing season. Viewed from directly above the ground layer, the predominant condition in those areas at that time is:</v>
      </c>
      <c r="D45" s="365"/>
      <c r="E45" s="365"/>
      <c r="F45" s="366"/>
      <c r="G45" s="537">
        <f>MAX(F46:F49)/MAX(E46:E49)</f>
        <v>0</v>
      </c>
      <c r="H45" s="2148" t="s">
        <v>1943</v>
      </c>
      <c r="I45" s="2212" t="s">
        <v>511</v>
      </c>
    </row>
    <row r="46" spans="1:9" ht="42" customHeight="1">
      <c r="A46" s="2183"/>
      <c r="B46" s="2208"/>
      <c r="C46" s="440" t="str">
        <f>F!C58</f>
        <v>Little or no (&lt;5%) bare ground is visible between erect stems or under canopy anywhere in the vegetated AA. Ground is extensively blanketed by dense thatch, moss, lichens, graminoids with great stem densities, or plants with ground-hugging foliage. </v>
      </c>
      <c r="D46" s="255">
        <f>F!D58</f>
        <v>0</v>
      </c>
      <c r="E46" s="361">
        <v>3</v>
      </c>
      <c r="F46" s="361">
        <f>D46*E46</f>
        <v>0</v>
      </c>
      <c r="G46" s="629"/>
      <c r="H46" s="2146"/>
      <c r="I46" s="2213"/>
    </row>
    <row r="47" spans="1:9" ht="27" customHeight="1">
      <c r="A47" s="2183"/>
      <c r="B47" s="2208"/>
      <c r="C47" s="401" t="str">
        <f>F!C59</f>
        <v>Slightly bare ground (5-20% bare between plants) is visible in places, but those areas comprise less than 5% of the unflooded parts of the AA.</v>
      </c>
      <c r="D47" s="78">
        <f>F!D59</f>
        <v>0</v>
      </c>
      <c r="E47" s="361">
        <v>2</v>
      </c>
      <c r="F47" s="361">
        <f>D47*E47</f>
        <v>0</v>
      </c>
      <c r="G47" s="630"/>
      <c r="H47" s="2146"/>
      <c r="I47" s="2213"/>
    </row>
    <row r="48" spans="1:9" ht="27" customHeight="1">
      <c r="A48" s="2183"/>
      <c r="B48" s="2208"/>
      <c r="C48" s="401" t="str">
        <f>F!C60</f>
        <v>Much bare ground (20-50% bare between plants) is visible in places, and those areas comprise more than 5% of the unflooded parts of the AA. </v>
      </c>
      <c r="D48" s="78">
        <f>F!D60</f>
        <v>0</v>
      </c>
      <c r="E48" s="361">
        <v>1</v>
      </c>
      <c r="F48" s="361">
        <f>D48*E48</f>
        <v>0</v>
      </c>
      <c r="G48" s="630"/>
      <c r="H48" s="2146"/>
      <c r="I48" s="2213"/>
    </row>
    <row r="49" spans="1:9" ht="15" customHeight="1" thickBot="1">
      <c r="A49" s="2184"/>
      <c r="B49" s="2210"/>
      <c r="C49" s="441" t="str">
        <f>F!C61</f>
        <v>Other conditions.</v>
      </c>
      <c r="D49" s="193">
        <f>F!D61</f>
        <v>0</v>
      </c>
      <c r="E49" s="362">
        <v>0</v>
      </c>
      <c r="F49" s="362">
        <f>D49*E49</f>
        <v>0</v>
      </c>
      <c r="G49" s="631"/>
      <c r="H49" s="2149"/>
      <c r="I49" s="2377"/>
    </row>
    <row r="50" spans="1:9" ht="60" customHeight="1" thickBot="1">
      <c r="A50" s="2182" t="str">
        <f>F!A63</f>
        <v>F12</v>
      </c>
      <c r="B50" s="2209" t="str">
        <f>F!B63</f>
        <v xml:space="preserve">Ground Irregularity </v>
      </c>
      <c r="C50" s="439"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50" s="365"/>
      <c r="E50" s="365"/>
      <c r="F50" s="366"/>
      <c r="G50" s="537">
        <f>MAX(F51:F53)/MAX(E51:E53)</f>
        <v>0</v>
      </c>
      <c r="H50" s="2218" t="s">
        <v>730</v>
      </c>
      <c r="I50" s="2212" t="s">
        <v>512</v>
      </c>
    </row>
    <row r="51" spans="1:9" ht="15" customHeight="1">
      <c r="A51" s="2183"/>
      <c r="B51" s="2208"/>
      <c r="C51" s="440" t="str">
        <f>F!C64</f>
        <v>Few or none (minimal microtopography; &lt;1% has such features).</v>
      </c>
      <c r="D51" s="255">
        <f>F!D64</f>
        <v>0</v>
      </c>
      <c r="E51" s="361">
        <v>0</v>
      </c>
      <c r="F51" s="361">
        <f>D51*E51</f>
        <v>0</v>
      </c>
      <c r="G51" s="629"/>
      <c r="H51" s="2211"/>
      <c r="I51" s="2213"/>
    </row>
    <row r="52" spans="1:9" ht="15" customHeight="1">
      <c r="A52" s="2183"/>
      <c r="B52" s="2208"/>
      <c r="C52" s="401" t="str">
        <f>F!C65</f>
        <v>Intermediate.</v>
      </c>
      <c r="D52" s="78">
        <f>F!D65</f>
        <v>0</v>
      </c>
      <c r="E52" s="361">
        <v>2</v>
      </c>
      <c r="F52" s="361">
        <f>D52*E52</f>
        <v>0</v>
      </c>
      <c r="G52" s="630"/>
      <c r="H52" s="2211"/>
      <c r="I52" s="2213"/>
    </row>
    <row r="53" spans="1:9" ht="15" customHeight="1" thickBot="1">
      <c r="A53" s="2184"/>
      <c r="B53" s="2210"/>
      <c r="C53" s="441" t="str">
        <f>F!C66</f>
        <v>Several (extensive micro-topography).</v>
      </c>
      <c r="D53" s="193">
        <f>F!D66</f>
        <v>0</v>
      </c>
      <c r="E53" s="362">
        <v>3</v>
      </c>
      <c r="F53" s="362">
        <f>D53*E53</f>
        <v>0</v>
      </c>
      <c r="G53" s="631"/>
      <c r="H53" s="2420"/>
      <c r="I53" s="2377"/>
    </row>
    <row r="54" spans="1:9" ht="21" customHeight="1" thickBot="1">
      <c r="A54" s="2316" t="str">
        <f>F!A67</f>
        <v>F13</v>
      </c>
      <c r="B54" s="2218" t="str">
        <f>F!B67</f>
        <v>Upland Inclusions</v>
      </c>
      <c r="C54" s="436" t="str">
        <f>F!C67</f>
        <v>Within the AA, inclusions of upland that individually are &gt;100 sq.m. are:</v>
      </c>
      <c r="D54" s="365"/>
      <c r="E54" s="365"/>
      <c r="F54" s="366"/>
      <c r="G54" s="537">
        <f>IF((D55=1),"", MAX(F55:F57)/MAX(E55:E57))</f>
        <v>0</v>
      </c>
      <c r="H54" s="2218" t="s">
        <v>731</v>
      </c>
      <c r="I54" s="2212" t="s">
        <v>513</v>
      </c>
    </row>
    <row r="55" spans="1:9" ht="15" customHeight="1">
      <c r="A55" s="2183"/>
      <c r="B55" s="2208"/>
      <c r="C55" s="30" t="str">
        <f>F!C68</f>
        <v>Few or none.</v>
      </c>
      <c r="D55" s="256">
        <f>F!D68</f>
        <v>0</v>
      </c>
      <c r="E55" s="361">
        <v>0</v>
      </c>
      <c r="F55" s="361">
        <f>D55*E55</f>
        <v>0</v>
      </c>
      <c r="G55" s="629"/>
      <c r="H55" s="2211"/>
      <c r="I55" s="2213"/>
    </row>
    <row r="56" spans="1:9" ht="15" customHeight="1">
      <c r="A56" s="2183"/>
      <c r="B56" s="2208"/>
      <c r="C56" s="1214" t="str">
        <f>F!C69</f>
        <v>Intermediate (1 - 10% of vegetated part of the AA).</v>
      </c>
      <c r="D56" s="247">
        <f>F!D69</f>
        <v>0</v>
      </c>
      <c r="E56" s="361">
        <v>1</v>
      </c>
      <c r="F56" s="361">
        <f>D56*E56</f>
        <v>0</v>
      </c>
      <c r="G56" s="643"/>
      <c r="H56" s="2211"/>
      <c r="I56" s="2213"/>
    </row>
    <row r="57" spans="1:9" ht="15" customHeight="1" thickBot="1">
      <c r="A57" s="2184"/>
      <c r="B57" s="2210"/>
      <c r="C57" s="194" t="str">
        <f>F!C70</f>
        <v>Many (e.g., wetland-upland "mosaic", &gt;10% of the vegetated AA).</v>
      </c>
      <c r="D57" s="248">
        <f>F!D70</f>
        <v>0</v>
      </c>
      <c r="E57" s="362">
        <v>2</v>
      </c>
      <c r="F57" s="362">
        <f>D57*E57</f>
        <v>0</v>
      </c>
      <c r="G57" s="631"/>
      <c r="H57" s="2420"/>
      <c r="I57" s="2377"/>
    </row>
    <row r="58" spans="1:9" ht="45" customHeight="1" thickBot="1">
      <c r="A58" s="2522" t="str">
        <f>F!A71</f>
        <v>F14</v>
      </c>
      <c r="B58" s="2208" t="str">
        <f>F!B71</f>
        <v>Soil Texture</v>
      </c>
      <c r="C58" s="448" t="str">
        <f>F!C71</f>
        <v xml:space="preserve">In parts of the AA that lack persistent water, the texture of soil in the uppermost layer is mostly:  [To determine this, use a trowel to check in at least 3 widely spaced locations, and use the soil texture key (Figure A-7 in the Manual. ] </v>
      </c>
      <c r="D58" s="360"/>
      <c r="E58" s="360"/>
      <c r="F58" s="363"/>
      <c r="G58" s="538">
        <f>MAX(F59:F63)/MAX(E59:E63)</f>
        <v>0</v>
      </c>
      <c r="H58" s="2211" t="s">
        <v>1648</v>
      </c>
      <c r="I58" s="2212" t="s">
        <v>514</v>
      </c>
    </row>
    <row r="59" spans="1:9" ht="15" customHeight="1">
      <c r="A59" s="2522"/>
      <c r="B59" s="2208"/>
      <c r="C59" s="440" t="str">
        <f>F!C72</f>
        <v>Loamy: includes loam, sandy loam.</v>
      </c>
      <c r="D59" s="255">
        <f>F!D72</f>
        <v>0</v>
      </c>
      <c r="E59" s="361">
        <v>4</v>
      </c>
      <c r="F59" s="361">
        <f>D59*E59</f>
        <v>0</v>
      </c>
      <c r="G59" s="629"/>
      <c r="H59" s="2211"/>
      <c r="I59" s="2213"/>
    </row>
    <row r="60" spans="1:9" ht="27" customHeight="1">
      <c r="A60" s="2522"/>
      <c r="B60" s="2208"/>
      <c r="C60" s="401" t="str">
        <f>F!C73</f>
        <v>Fines: includes silt, clay, clay loam, silty clay, silty clay loam, sandy clay, sandy clay loam.</v>
      </c>
      <c r="D60" s="78">
        <f>F!D73</f>
        <v>0</v>
      </c>
      <c r="E60" s="361">
        <v>3</v>
      </c>
      <c r="F60" s="361">
        <f>D60*E60</f>
        <v>0</v>
      </c>
      <c r="G60" s="630"/>
      <c r="H60" s="2211"/>
      <c r="I60" s="2213"/>
    </row>
    <row r="61" spans="1:9" ht="15" customHeight="1">
      <c r="A61" s="2522"/>
      <c r="B61" s="2208"/>
      <c r="C61" s="401" t="str">
        <f>F!C74</f>
        <v>Peat, to 40 cm depth or greater.</v>
      </c>
      <c r="D61" s="78">
        <f>F!D74</f>
        <v>0</v>
      </c>
      <c r="E61" s="361">
        <v>2</v>
      </c>
      <c r="F61" s="361">
        <f>D61*E61</f>
        <v>0</v>
      </c>
      <c r="G61" s="630"/>
      <c r="H61" s="2211"/>
      <c r="I61" s="2213"/>
    </row>
    <row r="62" spans="1:9" ht="15" customHeight="1">
      <c r="A62" s="2522"/>
      <c r="B62" s="2208"/>
      <c r="C62" s="401" t="str">
        <f>F!C75</f>
        <v xml:space="preserve">Peat or organic &lt;40 cm deep. </v>
      </c>
      <c r="D62" s="78">
        <f>F!D75</f>
        <v>0</v>
      </c>
      <c r="E62" s="361">
        <v>3</v>
      </c>
      <c r="F62" s="361">
        <f>D62*E62</f>
        <v>0</v>
      </c>
      <c r="G62" s="639"/>
      <c r="H62" s="2211"/>
      <c r="I62" s="2213"/>
    </row>
    <row r="63" spans="1:9" ht="27" customHeight="1" thickBot="1">
      <c r="A63" s="2522"/>
      <c r="B63" s="2208"/>
      <c r="C63" s="447" t="str">
        <f>F!C76</f>
        <v>Coarse: includes sand, loamy sand, gravel, cobble, stones, boulders, fluvents, fluvaquents, riverwash.</v>
      </c>
      <c r="D63" s="402">
        <f>F!D76</f>
        <v>0</v>
      </c>
      <c r="E63" s="364">
        <v>1</v>
      </c>
      <c r="F63" s="364">
        <f>D63*E63</f>
        <v>0</v>
      </c>
      <c r="G63" s="639"/>
      <c r="H63" s="2211"/>
      <c r="I63" s="2377"/>
    </row>
    <row r="64" spans="1:9" s="8" customFormat="1" ht="30" customHeight="1" thickBot="1">
      <c r="A64" s="2181" t="str">
        <f>F!A115</f>
        <v>F24</v>
      </c>
      <c r="B64" s="2148" t="str">
        <f>F!B115</f>
        <v>% of AA Without Surface Water</v>
      </c>
      <c r="C64" s="123" t="str">
        <f>F!C115</f>
        <v>The percentage of the AA that never contains surface water during an average year (that is, except perhaps for a few hours after snowmelt or rainstorms), but which is still a wetland, is:</v>
      </c>
      <c r="D64" s="365" t="s">
        <v>1050</v>
      </c>
      <c r="E64" s="1229"/>
      <c r="F64" s="636"/>
      <c r="G64" s="537">
        <f>MAX(F65:F70)/MAX(E65:E70)</f>
        <v>0</v>
      </c>
      <c r="H64" s="2148" t="s">
        <v>801</v>
      </c>
      <c r="I64" s="2148" t="s">
        <v>1141</v>
      </c>
    </row>
    <row r="65" spans="1:9" s="8" customFormat="1" ht="27" customHeight="1">
      <c r="A65" s="2180"/>
      <c r="B65" s="2146"/>
      <c r="C65" s="440" t="str">
        <f>F!C116</f>
        <v xml:space="preserve">&lt;1% AND &lt;0.01 hectare (about 10 m on a side) never has surface water. In other words, all or nearly all of the AA is covered by water permanently or at least seasonally.  </v>
      </c>
      <c r="D65" s="255">
        <f>F!D116</f>
        <v>0</v>
      </c>
      <c r="E65" s="385">
        <v>5</v>
      </c>
      <c r="F65" s="361">
        <f t="shared" ref="F65:F70" si="2">D65*E65</f>
        <v>0</v>
      </c>
      <c r="G65" s="630"/>
      <c r="H65" s="2146"/>
      <c r="I65" s="2146"/>
    </row>
    <row r="66" spans="1:9" s="8" customFormat="1" ht="15" customHeight="1">
      <c r="A66" s="2180"/>
      <c r="B66" s="2146"/>
      <c r="C66" s="440" t="str">
        <f>F!C117</f>
        <v>1-25% of the AA,  or &lt;1% but &gt;0.01 ha, never contains surface water.</v>
      </c>
      <c r="D66" s="255">
        <f>F!D117</f>
        <v>0</v>
      </c>
      <c r="E66" s="385">
        <v>6</v>
      </c>
      <c r="F66" s="361">
        <f t="shared" si="2"/>
        <v>0</v>
      </c>
      <c r="G66" s="630"/>
      <c r="H66" s="2146"/>
      <c r="I66" s="2146"/>
    </row>
    <row r="67" spans="1:9" s="8" customFormat="1" ht="15" customHeight="1">
      <c r="A67" s="2180"/>
      <c r="B67" s="2146"/>
      <c r="C67" s="440" t="str">
        <f>F!C118</f>
        <v>25-50% of the AA never contains surface water.</v>
      </c>
      <c r="D67" s="255">
        <f>F!D118</f>
        <v>0</v>
      </c>
      <c r="E67" s="385">
        <v>4</v>
      </c>
      <c r="F67" s="361">
        <f t="shared" si="2"/>
        <v>0</v>
      </c>
      <c r="G67" s="630"/>
      <c r="H67" s="2146"/>
      <c r="I67" s="2146"/>
    </row>
    <row r="68" spans="1:9" s="8" customFormat="1" ht="15" customHeight="1">
      <c r="A68" s="2180"/>
      <c r="B68" s="2146"/>
      <c r="C68" s="440" t="str">
        <f>F!C119</f>
        <v>50-75% of the AA never contains surface water.</v>
      </c>
      <c r="D68" s="255">
        <f>F!D119</f>
        <v>0</v>
      </c>
      <c r="E68" s="385">
        <v>3</v>
      </c>
      <c r="F68" s="361">
        <f t="shared" si="2"/>
        <v>0</v>
      </c>
      <c r="G68" s="630"/>
      <c r="H68" s="2146"/>
      <c r="I68" s="2146"/>
    </row>
    <row r="69" spans="1:9" s="8" customFormat="1" ht="15" customHeight="1">
      <c r="A69" s="2180"/>
      <c r="B69" s="2146"/>
      <c r="C69" s="440" t="str">
        <f>F!C120</f>
        <v>75-99% of the AA never contains surface water.</v>
      </c>
      <c r="D69" s="255">
        <f>F!D120</f>
        <v>0</v>
      </c>
      <c r="E69" s="385">
        <v>2</v>
      </c>
      <c r="F69" s="361">
        <f t="shared" si="2"/>
        <v>0</v>
      </c>
      <c r="G69" s="630"/>
      <c r="H69" s="2146"/>
      <c r="I69" s="2146"/>
    </row>
    <row r="70" spans="1:9" s="8" customFormat="1" ht="27" customHeight="1" thickBot="1">
      <c r="A70" s="2187"/>
      <c r="B70" s="2149"/>
      <c r="C70" s="627" t="str">
        <f>F!C121</f>
        <v>100%. True for many bogs, meadow marshes, swamps that lack vernal pools.  Enter "1" and SKIP to F42 (Channel Connection).</v>
      </c>
      <c r="D70" s="655">
        <f>F!D121</f>
        <v>0</v>
      </c>
      <c r="E70" s="389">
        <v>1</v>
      </c>
      <c r="F70" s="362">
        <f t="shared" si="2"/>
        <v>0</v>
      </c>
      <c r="G70" s="631"/>
      <c r="H70" s="2149"/>
      <c r="I70" s="2149"/>
    </row>
    <row r="71" spans="1:9" ht="45" customHeight="1" thickBot="1">
      <c r="A71" s="2150" t="str">
        <f>F!A122</f>
        <v>F25</v>
      </c>
      <c r="B71" s="2148" t="str">
        <f>F!B122</f>
        <v>% of AA with Persistent Surface Water</v>
      </c>
      <c r="C71" s="436"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1" s="365"/>
      <c r="E71" s="365"/>
      <c r="F71" s="366"/>
      <c r="G71" s="537">
        <f>IF((AllSat1&gt;0),"", MAX(F72:F76)/MAX(E72:E76))</f>
        <v>0</v>
      </c>
      <c r="H71" s="2218" t="s">
        <v>2282</v>
      </c>
      <c r="I71" s="2212" t="s">
        <v>500</v>
      </c>
    </row>
    <row r="72" spans="1:9" ht="27" customHeight="1">
      <c r="A72" s="2151"/>
      <c r="B72" s="2146"/>
      <c r="C72" s="437" t="str">
        <f>F!C123</f>
        <v>none. The AA dries up completely (no water in channels either) or never has surface water during most years.</v>
      </c>
      <c r="D72" s="254">
        <f>F!D123</f>
        <v>0</v>
      </c>
      <c r="E72" s="360">
        <v>0</v>
      </c>
      <c r="F72" s="361">
        <f>D72*E72</f>
        <v>0</v>
      </c>
      <c r="G72" s="630"/>
      <c r="H72" s="2211"/>
      <c r="I72" s="2213"/>
    </row>
    <row r="73" spans="1:9" ht="15" customHeight="1">
      <c r="A73" s="2151"/>
      <c r="B73" s="2146"/>
      <c r="C73" s="437" t="str">
        <f>F!C124</f>
        <v>1-20% of the AA.</v>
      </c>
      <c r="D73" s="254">
        <f>F!D124</f>
        <v>0</v>
      </c>
      <c r="E73" s="637">
        <v>1</v>
      </c>
      <c r="F73" s="361">
        <f>D73*E73</f>
        <v>0</v>
      </c>
      <c r="G73" s="629"/>
      <c r="H73" s="2211"/>
      <c r="I73" s="2213"/>
    </row>
    <row r="74" spans="1:9" ht="15" customHeight="1">
      <c r="A74" s="2151"/>
      <c r="B74" s="2146"/>
      <c r="C74" s="437" t="str">
        <f>F!C125</f>
        <v>20-50% of the AA.</v>
      </c>
      <c r="D74" s="254">
        <f>F!D125</f>
        <v>0</v>
      </c>
      <c r="E74" s="637">
        <v>3</v>
      </c>
      <c r="F74" s="361">
        <f>D74*E74</f>
        <v>0</v>
      </c>
      <c r="G74" s="630"/>
      <c r="H74" s="2211"/>
      <c r="I74" s="2213"/>
    </row>
    <row r="75" spans="1:9" ht="15" customHeight="1">
      <c r="A75" s="2151"/>
      <c r="B75" s="2146"/>
      <c r="C75" s="437" t="str">
        <f>F!C126</f>
        <v>50-95% of the AA.</v>
      </c>
      <c r="D75" s="254">
        <f>F!D126</f>
        <v>0</v>
      </c>
      <c r="E75" s="637">
        <v>4</v>
      </c>
      <c r="F75" s="361">
        <f>D75*E75</f>
        <v>0</v>
      </c>
      <c r="G75" s="630"/>
      <c r="H75" s="2211"/>
      <c r="I75" s="2213"/>
    </row>
    <row r="76" spans="1:9" ht="15" customHeight="1" thickBot="1">
      <c r="A76" s="2152"/>
      <c r="B76" s="2149"/>
      <c r="C76" s="194" t="str">
        <f>F!C127</f>
        <v>&gt;95% of the AA. True for many fringe wetlands.</v>
      </c>
      <c r="D76" s="248">
        <f>F!D127</f>
        <v>0</v>
      </c>
      <c r="E76" s="640">
        <v>2</v>
      </c>
      <c r="F76" s="362">
        <f>D76*E76</f>
        <v>0</v>
      </c>
      <c r="G76" s="631"/>
      <c r="H76" s="2420"/>
      <c r="I76" s="2377"/>
    </row>
    <row r="77" spans="1:9" s="8" customFormat="1" ht="39" customHeight="1" thickBot="1">
      <c r="A77" s="2181" t="str">
        <f>F!A134</f>
        <v>F27</v>
      </c>
      <c r="B77" s="2212" t="str">
        <f>F!B134</f>
        <v>% of AA that is Flooded Only Seasonally</v>
      </c>
      <c r="C77" s="439" t="str">
        <f>F!C134</f>
        <v>The percentage of the AA that is covered by unfrozen surface water only during the wettest time of the year during most years is:</v>
      </c>
      <c r="D77" s="365"/>
      <c r="E77" s="365"/>
      <c r="F77" s="366"/>
      <c r="G77" s="537">
        <f>IF((AllSat1&gt;0),"",MAX(F78:F82)/MAX(E78:E82))</f>
        <v>0</v>
      </c>
      <c r="H77" s="2218" t="s">
        <v>2283</v>
      </c>
      <c r="I77" s="2148" t="s">
        <v>499</v>
      </c>
    </row>
    <row r="78" spans="1:9" s="8" customFormat="1" ht="15" customHeight="1">
      <c r="A78" s="2180"/>
      <c r="B78" s="2213"/>
      <c r="C78" s="403" t="str">
        <f>F!C135</f>
        <v xml:space="preserve">None, or &lt;0.01 hectare and &lt;1% of the AA. </v>
      </c>
      <c r="D78" s="354">
        <f>F!D135</f>
        <v>0</v>
      </c>
      <c r="E78" s="637">
        <v>0</v>
      </c>
      <c r="F78" s="361">
        <f>D78*E78</f>
        <v>0</v>
      </c>
      <c r="G78" s="629"/>
      <c r="H78" s="2211"/>
      <c r="I78" s="2146"/>
    </row>
    <row r="79" spans="1:9" s="8" customFormat="1" ht="15" customHeight="1">
      <c r="A79" s="2180"/>
      <c r="B79" s="2213"/>
      <c r="C79" s="437" t="str">
        <f>F!C136</f>
        <v>1-20% of the AA, or &lt;1% but &gt;0.01 ha.</v>
      </c>
      <c r="D79" s="254">
        <f>F!D136</f>
        <v>0</v>
      </c>
      <c r="E79" s="637">
        <v>1</v>
      </c>
      <c r="F79" s="361">
        <f>D79*E79</f>
        <v>0</v>
      </c>
      <c r="G79" s="630"/>
      <c r="H79" s="2211"/>
      <c r="I79" s="2146"/>
    </row>
    <row r="80" spans="1:9" s="8" customFormat="1" ht="15" customHeight="1">
      <c r="A80" s="2180"/>
      <c r="B80" s="2213"/>
      <c r="C80" s="437" t="str">
        <f>F!C137</f>
        <v>20-50% of the AA.</v>
      </c>
      <c r="D80" s="254">
        <f>F!D137</f>
        <v>0</v>
      </c>
      <c r="E80" s="637">
        <v>2</v>
      </c>
      <c r="F80" s="361">
        <f>D80*E80</f>
        <v>0</v>
      </c>
      <c r="G80" s="630"/>
      <c r="H80" s="2211"/>
      <c r="I80" s="2146"/>
    </row>
    <row r="81" spans="1:9" s="8" customFormat="1" ht="15" customHeight="1">
      <c r="A81" s="2180"/>
      <c r="B81" s="2213"/>
      <c r="C81" s="437" t="str">
        <f>F!C138</f>
        <v>50-95% of the AA.</v>
      </c>
      <c r="D81" s="254">
        <f>F!D138</f>
        <v>0</v>
      </c>
      <c r="E81" s="637">
        <v>4</v>
      </c>
      <c r="F81" s="361">
        <f>D81*E81</f>
        <v>0</v>
      </c>
      <c r="G81" s="630"/>
      <c r="H81" s="2211"/>
      <c r="I81" s="2146"/>
    </row>
    <row r="82" spans="1:9" ht="15" customHeight="1" thickBot="1">
      <c r="A82" s="2187"/>
      <c r="B82" s="2377"/>
      <c r="C82" s="194" t="str">
        <f>F!C139</f>
        <v xml:space="preserve">&gt;95% of the AA. </v>
      </c>
      <c r="D82" s="248">
        <f>F!D139</f>
        <v>0</v>
      </c>
      <c r="E82" s="640">
        <v>3</v>
      </c>
      <c r="F82" s="362">
        <f>D82*E82</f>
        <v>0</v>
      </c>
      <c r="G82" s="631"/>
      <c r="H82" s="2420"/>
      <c r="I82" s="2149"/>
    </row>
    <row r="83" spans="1:9" s="8" customFormat="1" ht="30" customHeight="1" thickBot="1">
      <c r="A83" s="2428" t="str">
        <f>F!A140</f>
        <v>F28</v>
      </c>
      <c r="B83" s="2541" t="str">
        <f>F!B140</f>
        <v>Annual Water Fluctuation Range</v>
      </c>
      <c r="C83" s="448" t="str">
        <f>F!C140</f>
        <v>The annual fluctuation in surface water level within most of the parts of the AA that contain surface water is:</v>
      </c>
      <c r="D83" s="365"/>
      <c r="E83" s="360"/>
      <c r="F83" s="363"/>
      <c r="G83" s="641">
        <f>IF((AllSat1&gt;0),"", IF((NoSeasonal=1),"",MAX(F84:F87)/MAX(E84:E87)))</f>
        <v>0</v>
      </c>
      <c r="H83" s="2211" t="s">
        <v>2284</v>
      </c>
      <c r="I83" s="2148" t="s">
        <v>502</v>
      </c>
    </row>
    <row r="84" spans="1:9" s="8" customFormat="1" ht="15" customHeight="1">
      <c r="A84" s="2535"/>
      <c r="B84" s="2542"/>
      <c r="C84" s="440" t="str">
        <f>F!C141</f>
        <v>&lt;10 cm change (stable or nearly so).</v>
      </c>
      <c r="D84" s="255">
        <f>F!D141</f>
        <v>0</v>
      </c>
      <c r="E84" s="637">
        <v>0</v>
      </c>
      <c r="F84" s="361">
        <f>D84*E84</f>
        <v>0</v>
      </c>
      <c r="G84" s="629"/>
      <c r="H84" s="2211"/>
      <c r="I84" s="2146"/>
    </row>
    <row r="85" spans="1:9" s="8" customFormat="1" ht="15" customHeight="1">
      <c r="A85" s="2535"/>
      <c r="B85" s="2542"/>
      <c r="C85" s="401" t="str">
        <f>F!C142</f>
        <v>10 cm - 50 cm change.</v>
      </c>
      <c r="D85" s="78">
        <f>F!D142</f>
        <v>0</v>
      </c>
      <c r="E85" s="637">
        <v>2</v>
      </c>
      <c r="F85" s="361">
        <f>D85*E85</f>
        <v>0</v>
      </c>
      <c r="G85" s="630"/>
      <c r="H85" s="2211"/>
      <c r="I85" s="2146"/>
    </row>
    <row r="86" spans="1:9" s="8" customFormat="1" ht="15" customHeight="1">
      <c r="A86" s="2535"/>
      <c r="B86" s="2542"/>
      <c r="C86" s="401" t="str">
        <f>F!C143</f>
        <v>0.5 - 1 m change.</v>
      </c>
      <c r="D86" s="78">
        <f>F!D143</f>
        <v>0</v>
      </c>
      <c r="E86" s="637">
        <v>3</v>
      </c>
      <c r="F86" s="361">
        <f>D86*E86</f>
        <v>0</v>
      </c>
      <c r="G86" s="630"/>
      <c r="H86" s="2211"/>
      <c r="I86" s="2146"/>
    </row>
    <row r="87" spans="1:9" s="8" customFormat="1" ht="15" customHeight="1" thickBot="1">
      <c r="A87" s="2513"/>
      <c r="B87" s="2543"/>
      <c r="C87" s="447" t="str">
        <f>F!C144</f>
        <v>1-2 m change.</v>
      </c>
      <c r="D87" s="402">
        <f>F!D144</f>
        <v>0</v>
      </c>
      <c r="E87" s="638">
        <v>4</v>
      </c>
      <c r="F87" s="364">
        <f>D87*E87</f>
        <v>0</v>
      </c>
      <c r="G87" s="639"/>
      <c r="H87" s="2211"/>
      <c r="I87" s="2146"/>
    </row>
    <row r="88" spans="1:9" ht="30" customHeight="1" thickBot="1">
      <c r="A88" s="2150" t="str">
        <f>F!A157</f>
        <v>F31</v>
      </c>
      <c r="B88" s="2148" t="str">
        <f>F!B157</f>
        <v>% of Water That Is Ponded (not Flowing)</v>
      </c>
      <c r="C88" s="439" t="str">
        <f>F!C157</f>
        <v>During most times when surface water is present, the percentage that is ponded (stagnant, or flows so slowly that fine sediment is not held in suspension) is:</v>
      </c>
      <c r="D88" s="365"/>
      <c r="E88" s="751"/>
      <c r="F88" s="366"/>
      <c r="G88" s="537">
        <f>IF((AllSat1&gt;0),"", MAX(F89:F93)/MAX(E89:E93))</f>
        <v>0</v>
      </c>
      <c r="H88" s="2148" t="s">
        <v>2281</v>
      </c>
      <c r="I88" s="2212" t="s">
        <v>1226</v>
      </c>
    </row>
    <row r="89" spans="1:9" ht="27" customHeight="1">
      <c r="A89" s="2151"/>
      <c r="B89" s="2146"/>
      <c r="C89" s="440" t="str">
        <f>F!C158</f>
        <v>&lt;5% of the water, or it occupies &lt;100 sq.m cumulatively. Nearly all the surface water is flowing. SKIP to F34.</v>
      </c>
      <c r="D89" s="649">
        <f>F!D158</f>
        <v>0</v>
      </c>
      <c r="E89" s="637">
        <v>0</v>
      </c>
      <c r="F89" s="361">
        <f>D89*E89</f>
        <v>0</v>
      </c>
      <c r="G89" s="630"/>
      <c r="H89" s="2146"/>
      <c r="I89" s="2213"/>
    </row>
    <row r="90" spans="1:9" ht="15" customHeight="1">
      <c r="A90" s="2151"/>
      <c r="B90" s="2146"/>
      <c r="C90" s="1077" t="str">
        <f>F!C159</f>
        <v>5-30% of the water.</v>
      </c>
      <c r="D90" s="650">
        <f>F!D159</f>
        <v>0</v>
      </c>
      <c r="E90" s="637">
        <v>1</v>
      </c>
      <c r="F90" s="361">
        <f>D90*E90</f>
        <v>0</v>
      </c>
      <c r="G90" s="630"/>
      <c r="H90" s="2146"/>
      <c r="I90" s="2213"/>
    </row>
    <row r="91" spans="1:9" ht="15" customHeight="1">
      <c r="A91" s="2151"/>
      <c r="B91" s="2146"/>
      <c r="C91" s="1077" t="str">
        <f>F!C160</f>
        <v>30-70% of the water.</v>
      </c>
      <c r="D91" s="650">
        <f>F!D160</f>
        <v>0</v>
      </c>
      <c r="E91" s="637">
        <v>2</v>
      </c>
      <c r="F91" s="361">
        <f>D91*E91</f>
        <v>0</v>
      </c>
      <c r="G91" s="630"/>
      <c r="H91" s="2146"/>
      <c r="I91" s="2213"/>
    </row>
    <row r="92" spans="1:9" ht="15" customHeight="1">
      <c r="A92" s="2151"/>
      <c r="B92" s="2146"/>
      <c r="C92" s="1077" t="str">
        <f>F!C161</f>
        <v>70-95% of the water.</v>
      </c>
      <c r="D92" s="650">
        <f>F!D161</f>
        <v>0</v>
      </c>
      <c r="E92" s="637">
        <v>3</v>
      </c>
      <c r="F92" s="361">
        <f>D92*E92</f>
        <v>0</v>
      </c>
      <c r="G92" s="630"/>
      <c r="H92" s="2146"/>
      <c r="I92" s="2213"/>
    </row>
    <row r="93" spans="1:9" ht="15" customHeight="1" thickBot="1">
      <c r="A93" s="2152"/>
      <c r="B93" s="2149"/>
      <c r="C93" s="441" t="str">
        <f>F!C162</f>
        <v>&gt;95% of the water.</v>
      </c>
      <c r="D93" s="1128">
        <f>F!D162</f>
        <v>0</v>
      </c>
      <c r="E93" s="640">
        <v>4</v>
      </c>
      <c r="F93" s="362">
        <f>D93*E93</f>
        <v>0</v>
      </c>
      <c r="G93" s="631"/>
      <c r="H93" s="2149"/>
      <c r="I93" s="2377"/>
    </row>
    <row r="94" spans="1:9" ht="30" customHeight="1" thickBot="1">
      <c r="A94" s="2516" t="str">
        <f>F!A164</f>
        <v>F33</v>
      </c>
      <c r="B94" s="2213" t="str">
        <f>F!B164</f>
        <v xml:space="preserve">% of Ponded Water that is Open </v>
      </c>
      <c r="C94" s="1564" t="str">
        <f>F!C164</f>
        <v>In ducks-eye aerial view, the percentage of the ponded water that is open (lacking emergent vegetation during most of the growing season, and unhidden by a forest or shrub canopy) is:</v>
      </c>
      <c r="D94" s="379"/>
      <c r="E94" s="360"/>
      <c r="F94" s="363"/>
      <c r="G94" s="538">
        <f>IF((AllSat1&gt;0),"",IF((TooSmall=1),"",IF((NoPonded=1),"",MAX(F95:F100)/MAX(E95:E100))))</f>
        <v>0</v>
      </c>
      <c r="H94" s="2146" t="s">
        <v>2285</v>
      </c>
      <c r="I94" s="2213" t="s">
        <v>501</v>
      </c>
    </row>
    <row r="95" spans="1:9" ht="27" customHeight="1">
      <c r="A95" s="2516"/>
      <c r="B95" s="2213"/>
      <c r="C95" s="490" t="str">
        <f>F!C165</f>
        <v>None, or &lt;1% of the AA and largest pool occupies &lt;0.01 hectares. Enter "1" and SKIP to F41 (Floating Algae &amp; Duckweed).</v>
      </c>
      <c r="D95" s="402">
        <f>F!D165</f>
        <v>0</v>
      </c>
      <c r="E95" s="361">
        <v>5</v>
      </c>
      <c r="F95" s="361">
        <f t="shared" ref="F95:F100" si="3">D95*E95</f>
        <v>0</v>
      </c>
      <c r="G95" s="629"/>
      <c r="H95" s="2146"/>
      <c r="I95" s="2213"/>
    </row>
    <row r="96" spans="1:9" ht="15" customHeight="1">
      <c r="A96" s="2516"/>
      <c r="B96" s="2213"/>
      <c r="C96" s="447" t="str">
        <f>F!C166</f>
        <v>1-4% of the ponded water. Enter "1" and SKIP to F40 (Floating Algae &amp; Duckweed).</v>
      </c>
      <c r="D96" s="402">
        <f>F!D166</f>
        <v>0</v>
      </c>
      <c r="E96" s="361">
        <v>4</v>
      </c>
      <c r="F96" s="361">
        <f t="shared" si="3"/>
        <v>0</v>
      </c>
      <c r="G96" s="630"/>
      <c r="H96" s="2146"/>
      <c r="I96" s="2213"/>
    </row>
    <row r="97" spans="1:9" ht="15" customHeight="1">
      <c r="A97" s="2516"/>
      <c r="B97" s="2213"/>
      <c r="C97" s="447" t="str">
        <f>F!C167</f>
        <v>5-30% of the ponded water.</v>
      </c>
      <c r="D97" s="402">
        <f>F!D167</f>
        <v>0</v>
      </c>
      <c r="E97" s="361">
        <v>3</v>
      </c>
      <c r="F97" s="361">
        <f t="shared" si="3"/>
        <v>0</v>
      </c>
      <c r="G97" s="630"/>
      <c r="H97" s="2146"/>
      <c r="I97" s="2213"/>
    </row>
    <row r="98" spans="1:9" ht="15" customHeight="1">
      <c r="A98" s="2516"/>
      <c r="B98" s="2213"/>
      <c r="C98" s="447" t="str">
        <f>F!C168</f>
        <v>30-70% of the ponded water.</v>
      </c>
      <c r="D98" s="402">
        <f>F!D168</f>
        <v>0</v>
      </c>
      <c r="E98" s="361">
        <v>2</v>
      </c>
      <c r="F98" s="361">
        <f t="shared" si="3"/>
        <v>0</v>
      </c>
      <c r="G98" s="630"/>
      <c r="H98" s="2146"/>
      <c r="I98" s="2213"/>
    </row>
    <row r="99" spans="1:9" ht="15" customHeight="1">
      <c r="A99" s="2516"/>
      <c r="B99" s="2213"/>
      <c r="C99" s="447" t="str">
        <f>F!C169</f>
        <v>70-99% of the ponded water.</v>
      </c>
      <c r="D99" s="402">
        <f>F!D169</f>
        <v>0</v>
      </c>
      <c r="E99" s="361">
        <v>1</v>
      </c>
      <c r="F99" s="361">
        <f t="shared" si="3"/>
        <v>0</v>
      </c>
      <c r="G99" s="630"/>
      <c r="H99" s="2146"/>
      <c r="I99" s="2213"/>
    </row>
    <row r="100" spans="1:9" ht="15" customHeight="1" thickBot="1">
      <c r="A100" s="2517"/>
      <c r="B100" s="2377"/>
      <c r="C100" s="447" t="str">
        <f>F!C170</f>
        <v xml:space="preserve">100% of the ponded water. </v>
      </c>
      <c r="D100" s="402">
        <f>F!D170</f>
        <v>0</v>
      </c>
      <c r="E100" s="362">
        <v>0</v>
      </c>
      <c r="F100" s="362">
        <f t="shared" si="3"/>
        <v>0</v>
      </c>
      <c r="G100" s="631"/>
      <c r="H100" s="2149"/>
      <c r="I100" s="2377"/>
    </row>
    <row r="101" spans="1:9" ht="30" customHeight="1" thickBot="1">
      <c r="A101" s="2421" t="str">
        <f>F!A171</f>
        <v>F34</v>
      </c>
      <c r="B101" s="2523" t="str">
        <f>F!B171</f>
        <v>Width of Vegetated Zone within Wetland</v>
      </c>
      <c r="C101" s="439" t="str">
        <f>F!C171</f>
        <v>At the time during the growing season when the AA's water level is lowest, the average width of vegetated area in the AA that separates adjoining uplands from open water within the AA is:</v>
      </c>
      <c r="D101" s="636"/>
      <c r="E101" s="365"/>
      <c r="F101" s="366"/>
      <c r="G101" s="537">
        <f>IF((AllSat1&gt;0),"",IF((TooSmall=1),"",IF((NoOpenPonded=1),"",MAX(F102:F107)/MAX(E102:E107))))</f>
        <v>0</v>
      </c>
      <c r="H101" s="2514" t="s">
        <v>2286</v>
      </c>
      <c r="I101" s="2212" t="s">
        <v>504</v>
      </c>
    </row>
    <row r="102" spans="1:9" ht="21" customHeight="1">
      <c r="A102" s="2422"/>
      <c r="B102" s="2524"/>
      <c r="C102" s="440" t="str">
        <f>F!C172</f>
        <v>&lt;1 m</v>
      </c>
      <c r="D102" s="78">
        <f>F!D172</f>
        <v>0</v>
      </c>
      <c r="E102" s="361">
        <v>0</v>
      </c>
      <c r="F102" s="361">
        <f t="shared" ref="F102:F107" si="4">D102*E102</f>
        <v>0</v>
      </c>
      <c r="G102" s="629"/>
      <c r="H102" s="2159"/>
      <c r="I102" s="2213"/>
    </row>
    <row r="103" spans="1:9" ht="21" customHeight="1">
      <c r="A103" s="2422"/>
      <c r="B103" s="2524"/>
      <c r="C103" s="1077" t="str">
        <f>F!C173</f>
        <v>1 - 9 m</v>
      </c>
      <c r="D103" s="78">
        <f>F!D173</f>
        <v>0</v>
      </c>
      <c r="E103" s="361">
        <v>1</v>
      </c>
      <c r="F103" s="361">
        <f t="shared" si="4"/>
        <v>0</v>
      </c>
      <c r="G103" s="630"/>
      <c r="H103" s="2159"/>
      <c r="I103" s="2213"/>
    </row>
    <row r="104" spans="1:9" ht="21" customHeight="1">
      <c r="A104" s="2422"/>
      <c r="B104" s="2524"/>
      <c r="C104" s="1077" t="str">
        <f>F!C174</f>
        <v>10 - 29 m</v>
      </c>
      <c r="D104" s="78">
        <f>F!D174</f>
        <v>0</v>
      </c>
      <c r="E104" s="361">
        <v>2</v>
      </c>
      <c r="F104" s="361">
        <f t="shared" si="4"/>
        <v>0</v>
      </c>
      <c r="G104" s="630"/>
      <c r="H104" s="2159"/>
      <c r="I104" s="2213"/>
    </row>
    <row r="105" spans="1:9" ht="21" customHeight="1">
      <c r="A105" s="2422"/>
      <c r="B105" s="2524"/>
      <c r="C105" s="1077" t="str">
        <f>F!C175</f>
        <v>30 - 49 m</v>
      </c>
      <c r="D105" s="78">
        <f>F!D175</f>
        <v>0</v>
      </c>
      <c r="E105" s="361">
        <v>3</v>
      </c>
      <c r="F105" s="361">
        <f t="shared" si="4"/>
        <v>0</v>
      </c>
      <c r="G105" s="630"/>
      <c r="H105" s="2159"/>
      <c r="I105" s="2213"/>
    </row>
    <row r="106" spans="1:9" ht="21" customHeight="1">
      <c r="A106" s="2422"/>
      <c r="B106" s="2524"/>
      <c r="C106" s="1077" t="str">
        <f>F!C176</f>
        <v>50 - 100 m</v>
      </c>
      <c r="D106" s="78">
        <f>F!D176</f>
        <v>0</v>
      </c>
      <c r="E106" s="364">
        <v>4</v>
      </c>
      <c r="F106" s="364">
        <f t="shared" si="4"/>
        <v>0</v>
      </c>
      <c r="G106" s="639"/>
      <c r="H106" s="2160"/>
      <c r="I106" s="2213"/>
    </row>
    <row r="107" spans="1:9" ht="21" customHeight="1" thickBot="1">
      <c r="A107" s="2423"/>
      <c r="B107" s="2525"/>
      <c r="C107" s="1077" t="str">
        <f>F!C177</f>
        <v>&gt; 100 m</v>
      </c>
      <c r="D107" s="78">
        <f>F!D177</f>
        <v>0</v>
      </c>
      <c r="E107" s="362">
        <v>5</v>
      </c>
      <c r="F107" s="362">
        <f t="shared" si="4"/>
        <v>0</v>
      </c>
      <c r="G107" s="631"/>
      <c r="H107" s="2515"/>
      <c r="I107" s="2377"/>
    </row>
    <row r="108" spans="1:9" ht="33" customHeight="1" thickBot="1">
      <c r="A108" s="2155" t="str">
        <f>F!A189</f>
        <v>F37</v>
      </c>
      <c r="B108" s="2518" t="str">
        <f>F!B189</f>
        <v>Interspersion of Robust Emergents &amp; Open Water</v>
      </c>
      <c r="C108" s="443" t="str">
        <f>F!C189</f>
        <v>During most of the part of the growing season when water is present, the spatial pattern of robust herbaceous vegetation (e.g., cattail, tall bulrush, buckbean) is mostly:</v>
      </c>
      <c r="D108" s="365"/>
      <c r="E108" s="365"/>
      <c r="F108" s="366"/>
      <c r="G108" s="537">
        <f>IF((AllSat1&gt;0),"",IF((TooSmall=1),"",IF((NoOpenPonded=1),"",IF((AllOpenPond=1),"",MAX(F109:F111)/MAX(E109:E111)))))</f>
        <v>0</v>
      </c>
      <c r="H108" s="2148" t="s">
        <v>2287</v>
      </c>
      <c r="I108" s="2212" t="s">
        <v>503</v>
      </c>
    </row>
    <row r="109" spans="1:9" ht="18" customHeight="1">
      <c r="A109" s="2151"/>
      <c r="B109" s="2159"/>
      <c r="C109" s="445" t="str">
        <f>F!C190</f>
        <v>Scattered. More than 30% of such vegetation forms small islands or corridors surrounded by water.</v>
      </c>
      <c r="D109" s="255">
        <f>F!D190</f>
        <v>0</v>
      </c>
      <c r="E109" s="361">
        <v>3</v>
      </c>
      <c r="F109" s="361">
        <f>D109*E109</f>
        <v>0</v>
      </c>
      <c r="G109" s="386"/>
      <c r="H109" s="2146"/>
      <c r="I109" s="2213"/>
    </row>
    <row r="110" spans="1:9" ht="18" customHeight="1">
      <c r="A110" s="2151"/>
      <c r="B110" s="2159"/>
      <c r="C110" s="446" t="str">
        <f>F!C191</f>
        <v>Intermediate.</v>
      </c>
      <c r="D110" s="78">
        <f>F!D191</f>
        <v>0</v>
      </c>
      <c r="E110" s="361">
        <v>2</v>
      </c>
      <c r="F110" s="361">
        <f>D110*E110</f>
        <v>0</v>
      </c>
      <c r="G110" s="386"/>
      <c r="H110" s="2146"/>
      <c r="I110" s="2213"/>
    </row>
    <row r="111" spans="1:9" ht="30" customHeight="1" thickBot="1">
      <c r="A111" s="2152"/>
      <c r="B111" s="2515"/>
      <c r="C111" s="444" t="str">
        <f>F!C192</f>
        <v>Clumped. More than 70% of such vegetation is in bands along the wetland perimeter or is clumped at one or a few sides of the surface water area.</v>
      </c>
      <c r="D111" s="193">
        <f>F!D192</f>
        <v>0</v>
      </c>
      <c r="E111" s="362">
        <v>1</v>
      </c>
      <c r="F111" s="362">
        <f>D111*E111</f>
        <v>0</v>
      </c>
      <c r="G111" s="390"/>
      <c r="H111" s="2149"/>
      <c r="I111" s="2377"/>
    </row>
    <row r="112" spans="1:9" ht="30" customHeight="1" thickBot="1">
      <c r="A112" s="2388" t="str">
        <f>F!A200</f>
        <v>F42</v>
      </c>
      <c r="B112" s="2208" t="str">
        <f>F!B200</f>
        <v>Channel Connection &amp; Outflow Duration</v>
      </c>
      <c r="C112" s="448" t="str">
        <f>F!C200</f>
        <v>The most persistent surface water connection (outlet channel or pipe, ditch, or overbank water exchange) between the AA and the closest larger water body located downslope is:</v>
      </c>
      <c r="D112" s="365"/>
      <c r="E112" s="360"/>
      <c r="F112" s="363"/>
      <c r="G112" s="538">
        <f>MAX(F113:F117)/MAX(E113:E117)</f>
        <v>0</v>
      </c>
      <c r="H112" s="2146" t="s">
        <v>2289</v>
      </c>
      <c r="I112" s="2212" t="s">
        <v>508</v>
      </c>
    </row>
    <row r="113" spans="1:9" ht="15" customHeight="1">
      <c r="A113" s="2388"/>
      <c r="B113" s="2208"/>
      <c r="C113" s="440" t="str">
        <f>F!C201</f>
        <v>persistent (&gt;9 months/year, regardless of whether frozen or not).</v>
      </c>
      <c r="D113" s="255">
        <f>F!D201</f>
        <v>0</v>
      </c>
      <c r="E113" s="361">
        <v>1</v>
      </c>
      <c r="F113" s="361">
        <f>D113*E113</f>
        <v>0</v>
      </c>
      <c r="G113" s="629"/>
      <c r="H113" s="2146"/>
      <c r="I113" s="2213"/>
    </row>
    <row r="114" spans="1:9" ht="15" customHeight="1">
      <c r="A114" s="2388"/>
      <c r="B114" s="2208"/>
      <c r="C114" s="401" t="str">
        <f>F!C202</f>
        <v>seasonal (14 days to 9 months/year, not necessarily consecutive, including times when frozen).</v>
      </c>
      <c r="D114" s="78">
        <f>F!D202</f>
        <v>0</v>
      </c>
      <c r="E114" s="361">
        <v>2</v>
      </c>
      <c r="F114" s="361">
        <f>D114*E114</f>
        <v>0</v>
      </c>
      <c r="G114" s="630"/>
      <c r="H114" s="2146"/>
      <c r="I114" s="2213"/>
    </row>
    <row r="115" spans="1:9" ht="15" customHeight="1">
      <c r="A115" s="2388"/>
      <c r="B115" s="2208"/>
      <c r="C115" s="401" t="str">
        <f>F!C203</f>
        <v>temporary (&lt;14 days, not necessarily consecutive, but must be unfrozen).</v>
      </c>
      <c r="D115" s="78">
        <f>F!D203</f>
        <v>0</v>
      </c>
      <c r="E115" s="361">
        <v>3</v>
      </c>
      <c r="F115" s="361">
        <f>D115*E115</f>
        <v>0</v>
      </c>
      <c r="G115" s="630"/>
      <c r="H115" s="2146"/>
      <c r="I115" s="2213"/>
    </row>
    <row r="116" spans="1:9" ht="27" customHeight="1">
      <c r="A116" s="2388"/>
      <c r="B116" s="2208"/>
      <c r="C116" s="401" t="str">
        <f>F!C204</f>
        <v>none -- but maps show a stream or other water body that is downslope from the AA and within a distance that is less than the AA's length. SKIP to F44 (Tributary Channel).</v>
      </c>
      <c r="D116" s="78">
        <f>F!D204</f>
        <v>0</v>
      </c>
      <c r="E116" s="377">
        <v>6</v>
      </c>
      <c r="F116" s="361">
        <f>D116*E116</f>
        <v>0</v>
      </c>
      <c r="G116" s="639"/>
      <c r="H116" s="2146"/>
      <c r="I116" s="2213"/>
    </row>
    <row r="117" spans="1:9" ht="42" customHeight="1" thickBot="1">
      <c r="A117" s="2388"/>
      <c r="B117" s="2208"/>
      <c r="C117" s="447" t="str">
        <f>F!C205</f>
        <v>no surface water flows out of the wetland except possibly during extreme events (&lt;once per 10 years). Or, water flows only into a wetland, ditch, or lake that lacks an outlet. SKIP to F47 (pH Measurement).</v>
      </c>
      <c r="D117" s="402">
        <f>F!D205</f>
        <v>0</v>
      </c>
      <c r="E117" s="530">
        <v>6</v>
      </c>
      <c r="F117" s="364">
        <f>D117*E117</f>
        <v>0</v>
      </c>
      <c r="G117" s="639"/>
      <c r="H117" s="2146"/>
      <c r="I117" s="2377"/>
    </row>
    <row r="118" spans="1:9" ht="30" customHeight="1" thickBot="1">
      <c r="A118" s="2181" t="str">
        <f>F!A206</f>
        <v>F43</v>
      </c>
      <c r="B118" s="2212" t="str">
        <f>F!B206</f>
        <v xml:space="preserve">Outflow Confinement </v>
      </c>
      <c r="C118" s="439" t="str">
        <f>F!C206</f>
        <v>During major runoff events, in the places where surface water exits the AA or connected waters nearby, the water:</v>
      </c>
      <c r="D118" s="365"/>
      <c r="E118" s="365"/>
      <c r="F118" s="366"/>
      <c r="G118" s="537">
        <f>IF((OutNone=1),"",MAX(F119:F121)/MAX(E119:E121))</f>
        <v>0</v>
      </c>
      <c r="H118" s="2218" t="s">
        <v>2288</v>
      </c>
      <c r="I118" s="2212" t="s">
        <v>509</v>
      </c>
    </row>
    <row r="119" spans="1:9" ht="42" customHeight="1">
      <c r="A119" s="2180"/>
      <c r="B119" s="2213"/>
      <c r="C119" s="440" t="str">
        <f>F!C207</f>
        <v>mostly passes through a pipe, culvert, narrowly breached dike, berm, beaver dam, or other partial obstruction (other than natural topography) that does not appear to drain the wetland artificially during most of the growing season.</v>
      </c>
      <c r="D119" s="255">
        <f>F!D207</f>
        <v>0</v>
      </c>
      <c r="E119" s="361">
        <v>2</v>
      </c>
      <c r="F119" s="361">
        <f>D119*E119</f>
        <v>0</v>
      </c>
      <c r="G119" s="629"/>
      <c r="H119" s="2211"/>
      <c r="I119" s="2213"/>
    </row>
    <row r="120" spans="1:9" ht="27" customHeight="1">
      <c r="A120" s="2180"/>
      <c r="B120" s="2213"/>
      <c r="C120" s="401" t="str">
        <f>F!C208</f>
        <v>leaves through natural exits (channels or diffuse outflow), not mainly through artificial or temporary features.</v>
      </c>
      <c r="D120" s="78">
        <f>F!D208</f>
        <v>0</v>
      </c>
      <c r="E120" s="361">
        <v>1</v>
      </c>
      <c r="F120" s="361">
        <f>D120*E120</f>
        <v>0</v>
      </c>
      <c r="G120" s="643"/>
      <c r="H120" s="2211"/>
      <c r="I120" s="2213"/>
    </row>
    <row r="121" spans="1:9" ht="27" customHeight="1" thickBot="1">
      <c r="A121" s="2180"/>
      <c r="B121" s="2213"/>
      <c r="C121" s="447" t="str">
        <f>F!C209</f>
        <v>exported more quickly than usual due to ditches or pipes within the AA (or connected to its outlet or within 10 m of the AA's edge) which drain the wetland artificially, or water is pumped out of the AA.</v>
      </c>
      <c r="D121" s="549">
        <f>F!D209</f>
        <v>0</v>
      </c>
      <c r="E121" s="364">
        <v>0</v>
      </c>
      <c r="F121" s="364">
        <f>D121*E121</f>
        <v>0</v>
      </c>
      <c r="G121" s="639"/>
      <c r="H121" s="2420"/>
      <c r="I121" s="2377"/>
    </row>
    <row r="122" spans="1:9" ht="30" customHeight="1" thickBot="1">
      <c r="A122" s="2181" t="str">
        <f>F!A212</f>
        <v>F46</v>
      </c>
      <c r="B122" s="2209" t="str">
        <f>F!B212</f>
        <v>Throughflow Resistance</v>
      </c>
      <c r="C122" s="439" t="str">
        <f>F!C212</f>
        <v>During its travel through the AA at the time of peak annual flow, water arriving in channels: [select only the ONE encountered by most of the incoming water].</v>
      </c>
      <c r="D122" s="365"/>
      <c r="E122" s="365"/>
      <c r="F122" s="366"/>
      <c r="G122" s="537">
        <f>IF(AND(Inflows=0,OutNone=1,OutNone1=1),"",MAX(F123:F127)/MAX(E123:E127))</f>
        <v>0</v>
      </c>
      <c r="H122" s="2218" t="s">
        <v>1941</v>
      </c>
      <c r="I122" s="2212" t="s">
        <v>510</v>
      </c>
    </row>
    <row r="123" spans="1:9" ht="42" customHeight="1">
      <c r="A123" s="2180"/>
      <c r="B123" s="2208"/>
      <c r="C123" s="44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123" s="255">
        <f>F!D213</f>
        <v>0</v>
      </c>
      <c r="E123" s="361">
        <v>0</v>
      </c>
      <c r="F123" s="361">
        <f>D123*E123</f>
        <v>0</v>
      </c>
      <c r="G123" s="629"/>
      <c r="H123" s="2211"/>
      <c r="I123" s="2213"/>
    </row>
    <row r="124" spans="1:9" ht="15" customHeight="1">
      <c r="A124" s="2180"/>
      <c r="B124" s="2208"/>
      <c r="C124" s="401" t="str">
        <f>F!C214</f>
        <v>bumps into herbaceous vegetation but mostly remains in fairly straight channels.</v>
      </c>
      <c r="D124" s="78">
        <f>F!D214</f>
        <v>0</v>
      </c>
      <c r="E124" s="361">
        <v>1</v>
      </c>
      <c r="F124" s="361">
        <f>D124*E124</f>
        <v>0</v>
      </c>
      <c r="G124" s="630"/>
      <c r="H124" s="2211"/>
      <c r="I124" s="2213"/>
    </row>
    <row r="125" spans="1:9" ht="27" customHeight="1">
      <c r="A125" s="2180"/>
      <c r="B125" s="2208"/>
      <c r="C125" s="401" t="str">
        <f>F!C215</f>
        <v>bumps into herbaceous vegetation and mostly spreads throughout, or is in widely meandering, multi-branched, or braided channels.</v>
      </c>
      <c r="D125" s="78">
        <f>F!D215</f>
        <v>0</v>
      </c>
      <c r="E125" s="361">
        <v>2</v>
      </c>
      <c r="F125" s="361">
        <f>D125*E125</f>
        <v>0</v>
      </c>
      <c r="G125" s="630"/>
      <c r="H125" s="2211"/>
      <c r="I125" s="2213"/>
    </row>
    <row r="126" spans="1:9" ht="15" customHeight="1">
      <c r="A126" s="2180"/>
      <c r="B126" s="2208"/>
      <c r="C126" s="401" t="str">
        <f>F!C216</f>
        <v>bumps into tree trunks and/or shrub stems but mostly remains in fairly straight channels.</v>
      </c>
      <c r="D126" s="78">
        <f>F!D216</f>
        <v>0</v>
      </c>
      <c r="E126" s="361">
        <v>3</v>
      </c>
      <c r="F126" s="361">
        <f>D126*E126</f>
        <v>0</v>
      </c>
      <c r="G126" s="630"/>
      <c r="H126" s="2211"/>
      <c r="I126" s="2213"/>
    </row>
    <row r="127" spans="1:9" ht="27" customHeight="1" thickBot="1">
      <c r="A127" s="2187"/>
      <c r="B127" s="2210"/>
      <c r="C127" s="441" t="str">
        <f>F!C217</f>
        <v>bumps into tree trunks and/or shrub stems and follows a fairly indirect path from entrance to exit (meandering, multi-branched, or braided).</v>
      </c>
      <c r="D127" s="193">
        <f>F!D217</f>
        <v>0</v>
      </c>
      <c r="E127" s="362">
        <v>4</v>
      </c>
      <c r="F127" s="362">
        <f>D127*E127</f>
        <v>0</v>
      </c>
      <c r="G127" s="631"/>
      <c r="H127" s="2420"/>
      <c r="I127" s="2377"/>
    </row>
    <row r="128" spans="1:9" ht="27" customHeight="1" thickBot="1">
      <c r="A128" s="2383" t="str">
        <f>F!A218</f>
        <v>F47</v>
      </c>
      <c r="B128" s="2212" t="str">
        <f>F!B218</f>
        <v>pH Measurement</v>
      </c>
      <c r="C128" s="439" t="str">
        <f>F!C218</f>
        <v>The pH in most of the AA's surface water:</v>
      </c>
      <c r="D128" s="1361"/>
      <c r="E128" s="365"/>
      <c r="F128" s="365"/>
      <c r="G128" s="537">
        <f>IF((D129=1),"", IF((D130=1),0, IF((D131&lt;6),D131/10, IF((D131&gt;8.5),1-(D131/10)))))</f>
        <v>0</v>
      </c>
      <c r="H128" s="2148" t="s">
        <v>2030</v>
      </c>
      <c r="I128" s="2212" t="s">
        <v>1965</v>
      </c>
    </row>
    <row r="129" spans="1:9" ht="21" customHeight="1">
      <c r="A129" s="2490"/>
      <c r="B129" s="2213"/>
      <c r="C129" s="740" t="str">
        <f>F!C219</f>
        <v>was not measured because no surface water could be found during this visit. Enter "1".</v>
      </c>
      <c r="D129" s="78">
        <f>F!D219</f>
        <v>0</v>
      </c>
      <c r="E129" s="361"/>
      <c r="F129" s="361"/>
      <c r="G129" s="630"/>
      <c r="H129" s="2146"/>
      <c r="I129" s="2213"/>
    </row>
    <row r="130" spans="1:9" ht="30" customHeight="1">
      <c r="A130" s="2490"/>
      <c r="B130" s="2213"/>
      <c r="C130" s="1077" t="str">
        <f>F!C220</f>
        <v xml:space="preserve">was not measured but surface water is present and is darkly tea-coloured.  Or if no surface water, then mosses and plants that indicate peatland (e.g., Labrador tea) are prevalent. Enter "1". </v>
      </c>
      <c r="D130" s="649">
        <f>F!D220</f>
        <v>0</v>
      </c>
      <c r="E130" s="361"/>
      <c r="F130" s="361"/>
      <c r="G130" s="630"/>
      <c r="H130" s="2146"/>
      <c r="I130" s="2213"/>
    </row>
    <row r="131" spans="1:9" ht="21" customHeight="1" thickBot="1">
      <c r="A131" s="2540"/>
      <c r="B131" s="2377"/>
      <c r="C131" s="627" t="str">
        <f>F!C221</f>
        <v>was measured, and is:  [enter the reading in the column to the right]:</v>
      </c>
      <c r="D131" s="627">
        <f>F!D221</f>
        <v>0</v>
      </c>
      <c r="E131" s="362"/>
      <c r="F131" s="362"/>
      <c r="G131" s="631"/>
      <c r="H131" s="2149"/>
      <c r="I131" s="2377"/>
    </row>
    <row r="132" spans="1:9" ht="21" customHeight="1" thickBot="1">
      <c r="A132" s="2151" t="str">
        <f>F!A231</f>
        <v>F50</v>
      </c>
      <c r="B132" s="2146" t="str">
        <f>F!B231</f>
        <v>Groundwater Strength of Evidence</v>
      </c>
      <c r="C132" s="1201" t="str">
        <f>F!C231</f>
        <v xml:space="preserve">Select first applicable choice. </v>
      </c>
      <c r="D132" s="360"/>
      <c r="E132" s="360"/>
      <c r="F132" s="363"/>
      <c r="G132" s="538">
        <f>MAX(F133:F135)/MAX(E133:E135)</f>
        <v>0</v>
      </c>
      <c r="H132" s="2211" t="s">
        <v>1882</v>
      </c>
      <c r="I132" s="2212" t="s">
        <v>507</v>
      </c>
    </row>
    <row r="133" spans="1:9" ht="42" customHeight="1">
      <c r="A133" s="2151"/>
      <c r="B133" s="2146"/>
      <c r="C133" s="403" t="str">
        <f>F!C232</f>
        <v>Groundwater monitoring has demonstrated that groundwater primarily discharges to the wetland for longer periods during the year than periods when the wetland recharges the groundwater. Or, springs are known to be present within the AA.</v>
      </c>
      <c r="D133" s="354">
        <f>F!D232</f>
        <v>0</v>
      </c>
      <c r="E133" s="361">
        <v>3</v>
      </c>
      <c r="F133" s="361">
        <f>D133*E133</f>
        <v>0</v>
      </c>
      <c r="G133" s="629"/>
      <c r="H133" s="2211"/>
      <c r="I133" s="2213"/>
    </row>
    <row r="134" spans="1:9" ht="42" customHeight="1">
      <c r="A134" s="2151"/>
      <c r="B134" s="2146"/>
      <c r="C134" s="437" t="str">
        <f>F!C233</f>
        <v>The upper end of the AA is located very close to the base of (but mostly not ON) a natural slope much steeper (usually &gt;15%) than that within the AA and longer than 100 m AND if surface water was measured, its pH (Q47) is &gt;5.5.</v>
      </c>
      <c r="D134" s="254">
        <f>F!D233</f>
        <v>0</v>
      </c>
      <c r="E134" s="361">
        <v>2</v>
      </c>
      <c r="F134" s="361">
        <f>D134*E134</f>
        <v>0</v>
      </c>
      <c r="G134" s="630"/>
      <c r="H134" s="2211"/>
      <c r="I134" s="2213"/>
    </row>
    <row r="135" spans="1:9" ht="27" customHeight="1" thickBot="1">
      <c r="A135" s="2152"/>
      <c r="B135" s="2149"/>
      <c r="C135" s="194" t="str">
        <f>F!C234</f>
        <v>Neither of above is true, although some groundwater may discharge to or flow through the AA. Or groundwater influx is unknown.</v>
      </c>
      <c r="D135" s="248">
        <f>F!D234</f>
        <v>0</v>
      </c>
      <c r="E135" s="362">
        <v>0</v>
      </c>
      <c r="F135" s="362">
        <f>D135*E135</f>
        <v>0</v>
      </c>
      <c r="G135" s="631"/>
      <c r="H135" s="2420"/>
      <c r="I135" s="2377"/>
    </row>
    <row r="136" spans="1:9" ht="21" customHeight="1" thickBot="1">
      <c r="A136" s="2182" t="str">
        <f>F!A235</f>
        <v>F51</v>
      </c>
      <c r="B136" s="2209" t="str">
        <f>F!B235</f>
        <v>Internal Gradient</v>
      </c>
      <c r="C136" s="439" t="str">
        <f>F!C235</f>
        <v>The gradient along most of the flow path within the AA is:</v>
      </c>
      <c r="D136" s="376"/>
      <c r="E136" s="365"/>
      <c r="F136" s="366"/>
      <c r="G136" s="537">
        <f>MAX(F137:F140)/MAX(E137:E140)</f>
        <v>0</v>
      </c>
      <c r="H136" s="2218" t="s">
        <v>732</v>
      </c>
      <c r="I136" s="2212" t="s">
        <v>515</v>
      </c>
    </row>
    <row r="137" spans="1:9" ht="15" customHeight="1">
      <c r="A137" s="2183"/>
      <c r="B137" s="2208"/>
      <c r="C137" s="440" t="str">
        <f>F!C236</f>
        <v>&lt;2% or the AA has no surface water outlet (not even seasonally)</v>
      </c>
      <c r="D137" s="78">
        <f>F!D236</f>
        <v>0</v>
      </c>
      <c r="E137" s="361">
        <v>4</v>
      </c>
      <c r="F137" s="361">
        <f>D137*E137</f>
        <v>0</v>
      </c>
      <c r="G137" s="629"/>
      <c r="H137" s="2208"/>
      <c r="I137" s="2213"/>
    </row>
    <row r="138" spans="1:9" ht="15" customHeight="1">
      <c r="A138" s="2183"/>
      <c r="B138" s="2208"/>
      <c r="C138" s="1077" t="str">
        <f>F!C237</f>
        <v>2-5%</v>
      </c>
      <c r="D138" s="78">
        <f>F!D237</f>
        <v>0</v>
      </c>
      <c r="E138" s="361">
        <v>2</v>
      </c>
      <c r="F138" s="361">
        <f>D138*E138</f>
        <v>0</v>
      </c>
      <c r="G138" s="630"/>
      <c r="H138" s="2208"/>
      <c r="I138" s="2213"/>
    </row>
    <row r="139" spans="1:9" ht="15" customHeight="1">
      <c r="A139" s="2183"/>
      <c r="B139" s="2208"/>
      <c r="C139" s="1077" t="str">
        <f>F!C238</f>
        <v>6-10%</v>
      </c>
      <c r="D139" s="78">
        <f>F!D238</f>
        <v>0</v>
      </c>
      <c r="E139" s="361">
        <v>1</v>
      </c>
      <c r="F139" s="361">
        <f>D139*E139</f>
        <v>0</v>
      </c>
      <c r="G139" s="630"/>
      <c r="H139" s="2208"/>
      <c r="I139" s="2213"/>
    </row>
    <row r="140" spans="1:9" ht="15" customHeight="1" thickBot="1">
      <c r="A140" s="2184"/>
      <c r="B140" s="2210"/>
      <c r="C140" s="447" t="str">
        <f>F!C239</f>
        <v>&gt;10%</v>
      </c>
      <c r="D140" s="78">
        <f>F!D239</f>
        <v>0</v>
      </c>
      <c r="E140" s="362">
        <v>0</v>
      </c>
      <c r="F140" s="362">
        <f>D140*E140</f>
        <v>0</v>
      </c>
      <c r="G140" s="631"/>
      <c r="H140" s="2210"/>
      <c r="I140" s="2377"/>
    </row>
    <row r="141" spans="1:9" ht="30" customHeight="1" thickBot="1">
      <c r="A141" s="2537" t="str">
        <f>F!A255</f>
        <v>F56</v>
      </c>
      <c r="B141" s="2519" t="str">
        <f>F!B255</f>
        <v>New Wetland</v>
      </c>
      <c r="C141" s="1664" t="str">
        <f>F!C255</f>
        <v>The AA is (or is within, or contains) a "new" wetland resulting from human actions (e.g., excavation, impoundment) or debris flows, or other factors affecting what once was upland (non-hydric) soil.</v>
      </c>
      <c r="D141" s="1368"/>
      <c r="E141" s="636"/>
      <c r="F141" s="644"/>
      <c r="G141" s="537">
        <f>IF((D147=1),"",MAX(F142:F146)/MAX(E142:E146))</f>
        <v>0</v>
      </c>
      <c r="H141" s="2218" t="s">
        <v>1942</v>
      </c>
      <c r="I141" s="2212" t="s">
        <v>517</v>
      </c>
    </row>
    <row r="142" spans="1:9" ht="15" customHeight="1">
      <c r="A142" s="2538"/>
      <c r="B142" s="2520"/>
      <c r="C142" s="1665" t="str">
        <f>F!C256</f>
        <v>No.</v>
      </c>
      <c r="D142" s="1086">
        <f>F!D256</f>
        <v>0</v>
      </c>
      <c r="E142" s="530">
        <v>5</v>
      </c>
      <c r="F142" s="361">
        <f>D142*E142</f>
        <v>0</v>
      </c>
      <c r="G142" s="643"/>
      <c r="H142" s="2211"/>
      <c r="I142" s="2213"/>
    </row>
    <row r="143" spans="1:9" ht="15" customHeight="1">
      <c r="A143" s="2538"/>
      <c r="B143" s="2520"/>
      <c r="C143" s="1666" t="str">
        <f>F!C257</f>
        <v xml:space="preserve">yes, and created 20 - 100 years ago. </v>
      </c>
      <c r="D143" s="1086">
        <f>F!D257</f>
        <v>0</v>
      </c>
      <c r="E143" s="530">
        <v>2</v>
      </c>
      <c r="F143" s="361">
        <f>D143*E143</f>
        <v>0</v>
      </c>
      <c r="G143" s="639"/>
      <c r="H143" s="2211"/>
      <c r="I143" s="2213"/>
    </row>
    <row r="144" spans="1:9" ht="15" customHeight="1">
      <c r="A144" s="2538"/>
      <c r="B144" s="2520"/>
      <c r="C144" s="1666" t="str">
        <f>F!C258</f>
        <v>yes, and created 3-20 years ago.</v>
      </c>
      <c r="D144" s="1086">
        <f>F!D258</f>
        <v>0</v>
      </c>
      <c r="E144" s="530">
        <v>1</v>
      </c>
      <c r="F144" s="361">
        <f>D144*E144</f>
        <v>0</v>
      </c>
      <c r="G144" s="639"/>
      <c r="H144" s="2211"/>
      <c r="I144" s="2213"/>
    </row>
    <row r="145" spans="1:11" ht="15" customHeight="1">
      <c r="A145" s="2538"/>
      <c r="B145" s="2520"/>
      <c r="C145" s="1666" t="str">
        <f>F!C259</f>
        <v>yes, and created within last 3 years.</v>
      </c>
      <c r="D145" s="1086">
        <f>F!D259</f>
        <v>0</v>
      </c>
      <c r="E145" s="530">
        <v>0</v>
      </c>
      <c r="F145" s="361">
        <f>D145*E145</f>
        <v>0</v>
      </c>
      <c r="G145" s="639"/>
      <c r="H145" s="2211"/>
      <c r="I145" s="2213"/>
    </row>
    <row r="146" spans="1:11" ht="15" customHeight="1">
      <c r="A146" s="2538"/>
      <c r="B146" s="2520"/>
      <c r="C146" s="1666" t="str">
        <f>F!C260</f>
        <v>yes, but time of origin unknown.</v>
      </c>
      <c r="D146" s="1086">
        <f>F!D260</f>
        <v>0</v>
      </c>
      <c r="E146" s="530">
        <v>1</v>
      </c>
      <c r="F146" s="361">
        <f>D146*E146</f>
        <v>0</v>
      </c>
      <c r="G146" s="639"/>
      <c r="H146" s="2211"/>
      <c r="I146" s="2213"/>
    </row>
    <row r="147" spans="1:11" ht="15" customHeight="1" thickBot="1">
      <c r="A147" s="2539"/>
      <c r="B147" s="2521"/>
      <c r="C147" s="1667" t="str">
        <f>F!C261</f>
        <v>unknown if new within 20 years or not.</v>
      </c>
      <c r="D147" s="1372">
        <f>F!D261</f>
        <v>0</v>
      </c>
      <c r="E147" s="378"/>
      <c r="F147" s="362"/>
      <c r="G147" s="631"/>
      <c r="H147" s="2420"/>
      <c r="I147" s="2377"/>
    </row>
    <row r="148" spans="1:11" ht="60" customHeight="1" thickBot="1">
      <c r="A148" s="1565" t="str">
        <f>S!A125</f>
        <v>S9</v>
      </c>
      <c r="B148" s="1564" t="str">
        <f>S!B125</f>
        <v>Soil or Sediment Alteration Within the Assessment Area</v>
      </c>
      <c r="C148" s="627" t="str">
        <f>S!E142</f>
        <v>Final Score=</v>
      </c>
      <c r="D148" s="1369">
        <f>S!F142</f>
        <v>0</v>
      </c>
      <c r="E148" s="375"/>
      <c r="F148" s="1364"/>
      <c r="G148" s="538" t="str">
        <f>IF((D148=0),"",1-D148)</f>
        <v/>
      </c>
      <c r="H148" s="1571" t="s">
        <v>721</v>
      </c>
      <c r="I148" s="1564" t="s">
        <v>518</v>
      </c>
    </row>
    <row r="149" spans="1:11" s="138" customFormat="1" ht="36" customHeight="1" thickBot="1">
      <c r="A149" s="1582" t="s">
        <v>168</v>
      </c>
      <c r="B149" s="1582" t="s">
        <v>2407</v>
      </c>
      <c r="C149" s="1584" t="s">
        <v>1354</v>
      </c>
      <c r="D149" s="1583" t="s">
        <v>64</v>
      </c>
      <c r="E149" s="1746" t="s">
        <v>1383</v>
      </c>
      <c r="F149" s="1706" t="s">
        <v>1384</v>
      </c>
      <c r="G149" s="1747" t="s">
        <v>1293</v>
      </c>
      <c r="H149" s="1582" t="s">
        <v>1294</v>
      </c>
      <c r="I149" s="1582" t="s">
        <v>2622</v>
      </c>
      <c r="K149" s="163"/>
    </row>
    <row r="150" spans="1:11" ht="30" customHeight="1" thickBot="1">
      <c r="A150" s="2513" t="str">
        <f>OF!A45</f>
        <v>OF9</v>
      </c>
      <c r="B150" s="2320" t="str">
        <f>OF!B45</f>
        <v>Distance by Road to Nearest Population Center</v>
      </c>
      <c r="C150" s="439" t="str">
        <f>OF!C45</f>
        <v>Measured along the maintained road nearest the AA, the distance to the nearest population center is:</v>
      </c>
      <c r="D150" s="365"/>
      <c r="E150" s="361"/>
      <c r="F150" s="361"/>
      <c r="G150" s="527">
        <f>MAX(F151:F155)/MAX(E151:E155)</f>
        <v>0</v>
      </c>
      <c r="H150" s="2148" t="s">
        <v>1933</v>
      </c>
      <c r="I150" s="2546" t="s">
        <v>522</v>
      </c>
    </row>
    <row r="151" spans="1:11" ht="15" customHeight="1">
      <c r="A151" s="2388"/>
      <c r="B151" s="2213"/>
      <c r="C151" s="440" t="str">
        <f>OF!C46</f>
        <v>&lt;100 m</v>
      </c>
      <c r="D151" s="255">
        <f>OF!D46</f>
        <v>0</v>
      </c>
      <c r="E151" s="360">
        <v>5</v>
      </c>
      <c r="F151" s="361">
        <f>D151*E151</f>
        <v>0</v>
      </c>
      <c r="G151" s="629"/>
      <c r="H151" s="2146"/>
      <c r="I151" s="2547"/>
    </row>
    <row r="152" spans="1:11" ht="15" customHeight="1">
      <c r="A152" s="2388"/>
      <c r="B152" s="2213"/>
      <c r="C152" s="401" t="str">
        <f>OF!C47</f>
        <v>100 - 500 m</v>
      </c>
      <c r="D152" s="78">
        <f>OF!D47</f>
        <v>0</v>
      </c>
      <c r="E152" s="360">
        <v>3</v>
      </c>
      <c r="F152" s="361">
        <f>D152*E152</f>
        <v>0</v>
      </c>
      <c r="G152" s="629"/>
      <c r="H152" s="2146"/>
      <c r="I152" s="2547"/>
    </row>
    <row r="153" spans="1:11" ht="15" customHeight="1">
      <c r="A153" s="2388"/>
      <c r="B153" s="2213"/>
      <c r="C153" s="401" t="str">
        <f>OF!C48</f>
        <v>0.5- 1 km</v>
      </c>
      <c r="D153" s="78">
        <f>OF!D48</f>
        <v>0</v>
      </c>
      <c r="E153" s="360">
        <v>2</v>
      </c>
      <c r="F153" s="361">
        <f>D153*E153</f>
        <v>0</v>
      </c>
      <c r="G153" s="629"/>
      <c r="H153" s="2146"/>
      <c r="I153" s="2547"/>
    </row>
    <row r="154" spans="1:11" ht="15" customHeight="1">
      <c r="A154" s="2388"/>
      <c r="B154" s="2213"/>
      <c r="C154" s="401" t="str">
        <f>OF!C49</f>
        <v>1 - 5 km</v>
      </c>
      <c r="D154" s="78">
        <f>OF!D49</f>
        <v>0</v>
      </c>
      <c r="E154" s="360">
        <v>1</v>
      </c>
      <c r="F154" s="361">
        <f>D154*E154</f>
        <v>0</v>
      </c>
      <c r="G154" s="629"/>
      <c r="H154" s="2146"/>
      <c r="I154" s="2547"/>
    </row>
    <row r="155" spans="1:11" ht="15" customHeight="1" thickBot="1">
      <c r="A155" s="2388"/>
      <c r="B155" s="2213"/>
      <c r="C155" s="447" t="str">
        <f>OF!C50</f>
        <v>&gt;5 km</v>
      </c>
      <c r="D155" s="402">
        <f>OF!D50</f>
        <v>0</v>
      </c>
      <c r="E155" s="364">
        <v>0</v>
      </c>
      <c r="F155" s="364">
        <f>D155*E155</f>
        <v>0</v>
      </c>
      <c r="G155" s="639"/>
      <c r="H155" s="2146"/>
      <c r="I155" s="2548"/>
    </row>
    <row r="156" spans="1:11" ht="21" customHeight="1" thickBot="1">
      <c r="A156" s="2212" t="str">
        <f>OF!A51</f>
        <v>OF10</v>
      </c>
      <c r="B156" s="2212" t="str">
        <f>OF!B51</f>
        <v>Distance to Nearest Maintained Road</v>
      </c>
      <c r="C156" s="123" t="str">
        <f>OF!C51</f>
        <v>From the center of the AA, the distance to the nearest maintained public road (dirt or paved) is:</v>
      </c>
      <c r="D156" s="376"/>
      <c r="E156" s="365"/>
      <c r="F156" s="365"/>
      <c r="G156" s="527">
        <f>MAX(F157:F162)/MAX(E157:E162)</f>
        <v>0</v>
      </c>
      <c r="H156" s="2148" t="s">
        <v>1932</v>
      </c>
      <c r="I156" s="2212" t="s">
        <v>1934</v>
      </c>
    </row>
    <row r="157" spans="1:11" ht="15" customHeight="1">
      <c r="A157" s="2213"/>
      <c r="B157" s="2213"/>
      <c r="C157" s="1660" t="str">
        <f>OF!C52</f>
        <v>&lt;10 m</v>
      </c>
      <c r="D157" s="650">
        <f>OF!D52</f>
        <v>0</v>
      </c>
      <c r="E157" s="360">
        <v>5</v>
      </c>
      <c r="F157" s="361">
        <f t="shared" ref="F157:F162" si="5">D157*E157</f>
        <v>0</v>
      </c>
      <c r="G157" s="630"/>
      <c r="H157" s="2146"/>
      <c r="I157" s="2213"/>
    </row>
    <row r="158" spans="1:11" ht="15" customHeight="1">
      <c r="A158" s="2213"/>
      <c r="B158" s="2213"/>
      <c r="C158" s="1470" t="str">
        <f>OF!C53</f>
        <v>10 - 25 m</v>
      </c>
      <c r="D158" s="650">
        <f>OF!D53</f>
        <v>0</v>
      </c>
      <c r="E158" s="360">
        <v>4</v>
      </c>
      <c r="F158" s="361">
        <f t="shared" si="5"/>
        <v>0</v>
      </c>
      <c r="G158" s="630"/>
      <c r="H158" s="2146"/>
      <c r="I158" s="2213"/>
    </row>
    <row r="159" spans="1:11" ht="15" customHeight="1">
      <c r="A159" s="2213"/>
      <c r="B159" s="2213"/>
      <c r="C159" s="1470" t="str">
        <f>OF!C54</f>
        <v>25 - 50 m</v>
      </c>
      <c r="D159" s="650">
        <f>OF!D54</f>
        <v>0</v>
      </c>
      <c r="E159" s="360">
        <v>3</v>
      </c>
      <c r="F159" s="361">
        <f t="shared" si="5"/>
        <v>0</v>
      </c>
      <c r="G159" s="630"/>
      <c r="H159" s="2146"/>
      <c r="I159" s="2213"/>
    </row>
    <row r="160" spans="1:11" ht="15" customHeight="1">
      <c r="A160" s="2213"/>
      <c r="B160" s="2213"/>
      <c r="C160" s="1470" t="str">
        <f>OF!C55</f>
        <v>50 - 100 m</v>
      </c>
      <c r="D160" s="650">
        <f>OF!D55</f>
        <v>0</v>
      </c>
      <c r="E160" s="360">
        <v>2</v>
      </c>
      <c r="F160" s="361">
        <f t="shared" si="5"/>
        <v>0</v>
      </c>
      <c r="G160" s="630"/>
      <c r="H160" s="2146"/>
      <c r="I160" s="2213"/>
    </row>
    <row r="161" spans="1:9" ht="15" customHeight="1">
      <c r="A161" s="2213"/>
      <c r="B161" s="2213"/>
      <c r="C161" s="1470" t="str">
        <f>OF!C56</f>
        <v>100 - 500 m</v>
      </c>
      <c r="D161" s="650">
        <f>OF!D56</f>
        <v>0</v>
      </c>
      <c r="E161" s="364">
        <v>1</v>
      </c>
      <c r="F161" s="364">
        <f t="shared" si="5"/>
        <v>0</v>
      </c>
      <c r="G161" s="630"/>
      <c r="H161" s="2146"/>
      <c r="I161" s="2213"/>
    </row>
    <row r="162" spans="1:9" ht="15" customHeight="1" thickBot="1">
      <c r="A162" s="2377"/>
      <c r="B162" s="2377"/>
      <c r="C162" s="1184" t="str">
        <f>OF!C57</f>
        <v>&gt;500 m</v>
      </c>
      <c r="D162" s="1128">
        <f>OF!D57</f>
        <v>0</v>
      </c>
      <c r="E162" s="362">
        <v>0</v>
      </c>
      <c r="F162" s="362">
        <f t="shared" si="5"/>
        <v>0</v>
      </c>
      <c r="G162" s="631"/>
      <c r="H162" s="2149"/>
      <c r="I162" s="2377"/>
    </row>
    <row r="163" spans="1:9" ht="59.4" customHeight="1" thickBot="1">
      <c r="A163" s="164" t="str">
        <f>OF!A93</f>
        <v>OF19</v>
      </c>
      <c r="B163" s="164" t="str">
        <f>OF!B93</f>
        <v>Water Quality Sensitivity</v>
      </c>
      <c r="C163" s="164" t="str">
        <f>OF!C93</f>
        <v xml:space="preserve">The AA is in an area where research or map analysis (if any) has indicated groundwater may be at higher risk of contamination. Enter 1= yes, 0= no.  In NB: includes but not limited to Designated Protected Watershed or Protected Wellfield.  Go to: http://www.snb.ca/geonb1/e/apps/apps-E.asp </v>
      </c>
      <c r="D163" s="1939">
        <f>OF!D93</f>
        <v>0</v>
      </c>
      <c r="E163" s="384"/>
      <c r="F163" s="384"/>
      <c r="G163" s="747">
        <f>D163</f>
        <v>0</v>
      </c>
      <c r="H163" s="81" t="s">
        <v>723</v>
      </c>
      <c r="I163" s="1923" t="s">
        <v>2869</v>
      </c>
    </row>
    <row r="164" spans="1:9" ht="45" customHeight="1" thickBot="1">
      <c r="A164" s="2213" t="str">
        <f>OF!A95</f>
        <v>OF21</v>
      </c>
      <c r="B164" s="2213" t="str">
        <f>OF!B95</f>
        <v xml:space="preserve">Degraded Water Upstream </v>
      </c>
      <c r="C164" s="1924" t="str">
        <f>OF!C95</f>
        <v xml:space="preserve">Sampling indicates a problem with concentrations of metals, hydrocarbons, nutrients, or other substances (excluding bacteria, high temperatures) being present at levels harmful to aquatic life or humans, and:  </v>
      </c>
      <c r="D164" s="379"/>
      <c r="E164" s="360"/>
      <c r="F164" s="360"/>
      <c r="G164" s="747">
        <f>IF((D168=1),"", IF((D167=1),0, IF((D166=1),0.5, 1)))</f>
        <v>1</v>
      </c>
      <c r="H164" s="2146" t="s">
        <v>1931</v>
      </c>
      <c r="I164" s="2212" t="s">
        <v>1935</v>
      </c>
    </row>
    <row r="165" spans="1:9" ht="15" customHeight="1">
      <c r="A165" s="2213"/>
      <c r="B165" s="2213"/>
      <c r="C165" s="445" t="str">
        <f>OF!C96</f>
        <v>The condition is present within the AA.</v>
      </c>
      <c r="D165" s="78">
        <f>OF!D96</f>
        <v>0</v>
      </c>
      <c r="E165" s="361"/>
      <c r="F165" s="361"/>
      <c r="G165" s="676"/>
      <c r="H165" s="2146"/>
      <c r="I165" s="2213"/>
    </row>
    <row r="166" spans="1:9" ht="27" customHeight="1">
      <c r="A166" s="2213"/>
      <c r="B166" s="2213"/>
      <c r="C166" s="446" t="str">
        <f>OF!C97</f>
        <v>The condition is present in waters within 1 km that flow into the AA, but has not been documented in the AA itself.</v>
      </c>
      <c r="D166" s="78">
        <f>OF!D97</f>
        <v>0</v>
      </c>
      <c r="E166" s="361"/>
      <c r="F166" s="361"/>
      <c r="G166" s="676"/>
      <c r="H166" s="2146"/>
      <c r="I166" s="2213"/>
    </row>
    <row r="167" spans="1:9" ht="27" customHeight="1">
      <c r="A167" s="2213"/>
      <c r="B167" s="2213"/>
      <c r="C167" s="446" t="str">
        <f>OF!C98</f>
        <v>Sampling during both low water periods and times with high runoff (storms, snowmelt) indicates no problems in either the AA or inflowing waters.</v>
      </c>
      <c r="D167" s="78">
        <f>OF!D98</f>
        <v>0</v>
      </c>
      <c r="E167" s="361"/>
      <c r="F167" s="361"/>
      <c r="G167" s="676"/>
      <c r="H167" s="2146"/>
      <c r="I167" s="2213"/>
    </row>
    <row r="168" spans="1:9" ht="27" customHeight="1" thickBot="1">
      <c r="A168" s="2377"/>
      <c r="B168" s="2377"/>
      <c r="C168" s="444" t="str">
        <f>OF!C99</f>
        <v>Data are insufficient (no or inadequate sampling within 1 km, or condition exists only at &gt;1 km upstream). This is the situation for nearly all NB wetlands.</v>
      </c>
      <c r="D168" s="193">
        <f>OF!D99</f>
        <v>0</v>
      </c>
      <c r="E168" s="362"/>
      <c r="F168" s="362"/>
      <c r="G168" s="677"/>
      <c r="H168" s="2149"/>
      <c r="I168" s="2377"/>
    </row>
    <row r="169" spans="1:9" ht="21" customHeight="1" thickBot="1">
      <c r="A169" s="2212" t="str">
        <f>OF!A100</f>
        <v>OF22</v>
      </c>
      <c r="B169" s="2212" t="str">
        <f>OF!B100</f>
        <v xml:space="preserve">Degraded Water Downstream </v>
      </c>
      <c r="C169" s="443" t="str">
        <f>OF!C100</f>
        <v>The problem described above is downslope from the AA, and:</v>
      </c>
      <c r="D169" s="376"/>
      <c r="E169" s="365"/>
      <c r="F169" s="365"/>
      <c r="G169" s="542">
        <f>IF((D173=1),"", IF((D111=1),0, IF((D110=1),0.5, 1)))</f>
        <v>1</v>
      </c>
      <c r="H169" s="2148" t="s">
        <v>166</v>
      </c>
      <c r="I169" s="2212" t="s">
        <v>1936</v>
      </c>
    </row>
    <row r="170" spans="1:9" ht="15" customHeight="1">
      <c r="A170" s="2213"/>
      <c r="B170" s="2213"/>
      <c r="C170" s="445" t="str">
        <f>OF!C101</f>
        <v>The condition is present within 1 km downslope and connected to the AA by a channel.</v>
      </c>
      <c r="D170" s="78">
        <f>OF!D101</f>
        <v>0</v>
      </c>
      <c r="E170" s="361"/>
      <c r="F170" s="361"/>
      <c r="G170" s="676"/>
      <c r="H170" s="2146"/>
      <c r="I170" s="2213"/>
    </row>
    <row r="171" spans="1:9" ht="27" customHeight="1">
      <c r="A171" s="2213"/>
      <c r="B171" s="2213"/>
      <c r="C171" s="446" t="str">
        <f>OF!C102</f>
        <v>The condition is present within 5 km downslope and connected to the AA by a channel, or within 1 km but not connected to the AA by a channel.</v>
      </c>
      <c r="D171" s="78">
        <f>OF!D102</f>
        <v>0</v>
      </c>
      <c r="E171" s="361"/>
      <c r="F171" s="361"/>
      <c r="G171" s="676"/>
      <c r="H171" s="2146"/>
      <c r="I171" s="2213"/>
    </row>
    <row r="172" spans="1:9" ht="27" customHeight="1">
      <c r="A172" s="2213"/>
      <c r="B172" s="2213"/>
      <c r="C172" s="446" t="str">
        <f>OF!C103</f>
        <v>Sampling during both low water periods and times with high runoff (storms, snowmelt) indicates no problems in either the AA or inflowing waters.</v>
      </c>
      <c r="D172" s="78">
        <f>OF!D103</f>
        <v>0</v>
      </c>
      <c r="E172" s="361"/>
      <c r="F172" s="361"/>
      <c r="G172" s="676"/>
      <c r="H172" s="2146"/>
      <c r="I172" s="2213"/>
    </row>
    <row r="173" spans="1:9" ht="27" customHeight="1" thickBot="1">
      <c r="A173" s="2377"/>
      <c r="B173" s="2377"/>
      <c r="C173" s="444" t="str">
        <f>OF!C104</f>
        <v>Data are insufficient (no or inadequate sampling within 1 km, or condition exists only at &gt;1 km upstream). This is the situation for nearly all NB wetlands.</v>
      </c>
      <c r="D173" s="193">
        <f>OF!D104</f>
        <v>0</v>
      </c>
      <c r="E173" s="362"/>
      <c r="F173" s="362"/>
      <c r="G173" s="677"/>
      <c r="H173" s="2149"/>
      <c r="I173" s="2377"/>
    </row>
    <row r="174" spans="1:9" ht="30" customHeight="1" thickBot="1">
      <c r="A174" s="2180" t="str">
        <f>OF!A105</f>
        <v>OF23</v>
      </c>
      <c r="B174" s="2208" t="str">
        <f>OF!B105</f>
        <v>Contributing Area (CA) Percentage</v>
      </c>
      <c r="C174" s="448" t="str">
        <f>OF!C105</f>
        <v>Determine the approximate bounds of this AA's contributing area (follow the detailed directions in the Manual). Relative to the extent of that contributing area (CA), the AA comprises:</v>
      </c>
      <c r="D174" s="379"/>
      <c r="E174" s="360"/>
      <c r="F174" s="363"/>
      <c r="G174" s="542">
        <f>MAX(F175:F178)/MAX(E175:E178)</f>
        <v>0</v>
      </c>
      <c r="H174" s="2211" t="s">
        <v>724</v>
      </c>
      <c r="I174" s="2212" t="s">
        <v>523</v>
      </c>
    </row>
    <row r="175" spans="1:9" ht="27" customHeight="1">
      <c r="A175" s="2180"/>
      <c r="B175" s="2208"/>
      <c r="C175" s="1503" t="str">
        <f>OF!C106</f>
        <v>&lt;1% of its CA  (includes most wetlands, especially those located low in watersheds, such as ones on major river floodplains or the marine shoreline).</v>
      </c>
      <c r="D175" s="649">
        <f>OF!D106</f>
        <v>0</v>
      </c>
      <c r="E175" s="361">
        <v>3</v>
      </c>
      <c r="F175" s="361">
        <f>D175*E175</f>
        <v>0</v>
      </c>
      <c r="G175" s="629"/>
      <c r="H175" s="2211"/>
      <c r="I175" s="2213"/>
    </row>
    <row r="176" spans="1:9" ht="15" customHeight="1">
      <c r="A176" s="2180"/>
      <c r="B176" s="2208"/>
      <c r="C176" s="1454" t="str">
        <f>OF!C107</f>
        <v>1 to 10% of its CA.</v>
      </c>
      <c r="D176" s="650">
        <f>OF!D107</f>
        <v>0</v>
      </c>
      <c r="E176" s="361">
        <v>2</v>
      </c>
      <c r="F176" s="361">
        <f>D176*E176</f>
        <v>0</v>
      </c>
      <c r="G176" s="630"/>
      <c r="H176" s="2211"/>
      <c r="I176" s="2213"/>
    </row>
    <row r="177" spans="1:9" ht="15" customHeight="1">
      <c r="A177" s="2180"/>
      <c r="B177" s="2208"/>
      <c r="C177" s="1454" t="str">
        <f>OF!C108</f>
        <v>10 to 100% of its CA.</v>
      </c>
      <c r="D177" s="650">
        <f>OF!D108</f>
        <v>0</v>
      </c>
      <c r="E177" s="361">
        <v>1</v>
      </c>
      <c r="F177" s="361">
        <f>D177*E177</f>
        <v>0</v>
      </c>
      <c r="G177" s="630"/>
      <c r="H177" s="2211"/>
      <c r="I177" s="2213"/>
    </row>
    <row r="178" spans="1:9" ht="27.6" customHeight="1" thickBot="1">
      <c r="A178" s="2187"/>
      <c r="B178" s="2210"/>
      <c r="C178" s="1184" t="str">
        <f>OF!C109</f>
        <v>Wetland has essentially no CA, e.g., isolated by dikes with no input channels, or is in terrain so flat that a CA can't be delineated. SKIP TO OF27 (Internal Gradient).</v>
      </c>
      <c r="D178" s="1128">
        <f>OF!D109</f>
        <v>0</v>
      </c>
      <c r="E178" s="362">
        <v>0</v>
      </c>
      <c r="F178" s="362">
        <f>D178*E178</f>
        <v>0</v>
      </c>
      <c r="G178" s="631"/>
      <c r="H178" s="2420"/>
      <c r="I178" s="2377"/>
    </row>
    <row r="179" spans="1:9" ht="45" customHeight="1" thickBot="1">
      <c r="A179" s="2388" t="str">
        <f>OF!A110</f>
        <v>OF24</v>
      </c>
      <c r="B179" s="2208" t="str">
        <f>OF!B110</f>
        <v>Unvegetated Surface in the Contributing Area</v>
      </c>
      <c r="C179" s="448" t="str">
        <f>OF!C110</f>
        <v>The proportion of the AA's contributing area (measured to no more than 1000 m upslope) that is comprised of buildings, roads, parking lots, other pavement, exposed bedrock, landslides, and other mostly-bare surface is about :</v>
      </c>
      <c r="D179" s="360"/>
      <c r="E179" s="360"/>
      <c r="F179" s="363"/>
      <c r="G179" s="542">
        <f>IF((NoCA=1),"", MAX(F180:F182)/MAX(E180:E182))</f>
        <v>0</v>
      </c>
      <c r="H179" s="2211" t="s">
        <v>725</v>
      </c>
      <c r="I179" s="2212" t="s">
        <v>524</v>
      </c>
    </row>
    <row r="180" spans="1:9" ht="15" customHeight="1">
      <c r="A180" s="2388"/>
      <c r="B180" s="2208"/>
      <c r="C180" s="440" t="str">
        <f>OF!C111</f>
        <v>&lt;10%</v>
      </c>
      <c r="D180" s="255">
        <f>OF!D111</f>
        <v>0</v>
      </c>
      <c r="E180" s="361">
        <v>0</v>
      </c>
      <c r="F180" s="361">
        <f>D180*E180</f>
        <v>0</v>
      </c>
      <c r="G180" s="629"/>
      <c r="H180" s="2211"/>
      <c r="I180" s="2213"/>
    </row>
    <row r="181" spans="1:9" ht="15" customHeight="1">
      <c r="A181" s="2388"/>
      <c r="B181" s="2208"/>
      <c r="C181" s="401" t="str">
        <f>OF!C112</f>
        <v>10 to 25%</v>
      </c>
      <c r="D181" s="78">
        <f>OF!D112</f>
        <v>0</v>
      </c>
      <c r="E181" s="361">
        <v>1</v>
      </c>
      <c r="F181" s="361">
        <f>D181*E181</f>
        <v>0</v>
      </c>
      <c r="G181" s="630"/>
      <c r="H181" s="2211"/>
      <c r="I181" s="2213"/>
    </row>
    <row r="182" spans="1:9" ht="15" customHeight="1" thickBot="1">
      <c r="A182" s="2388"/>
      <c r="B182" s="2208"/>
      <c r="C182" s="447" t="str">
        <f>OF!C113</f>
        <v>&gt;25%</v>
      </c>
      <c r="D182" s="402">
        <f>OF!D113</f>
        <v>0</v>
      </c>
      <c r="E182" s="364">
        <v>2</v>
      </c>
      <c r="F182" s="364">
        <f>D182*E182</f>
        <v>0</v>
      </c>
      <c r="G182" s="639"/>
      <c r="H182" s="2211"/>
      <c r="I182" s="2377"/>
    </row>
    <row r="183" spans="1:9" ht="126" customHeight="1" thickBot="1">
      <c r="A183" s="2212" t="str">
        <f>OF!A114</f>
        <v>OF25</v>
      </c>
      <c r="B183" s="2209" t="str">
        <f>OF!B114</f>
        <v>Transport From Upslope</v>
      </c>
      <c r="C183" s="439" t="str">
        <f>OF!C114</f>
        <v>A relatively large proportion of the precipitation that falls farther upslope in the CA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83" s="365"/>
      <c r="E183" s="365"/>
      <c r="F183" s="366"/>
      <c r="G183" s="527">
        <f>IF((NoCA=1),"", MAX(F184:F186)/MAX(E184:E186))</f>
        <v>0</v>
      </c>
      <c r="H183" s="2218" t="s">
        <v>726</v>
      </c>
      <c r="I183" s="2212" t="s">
        <v>525</v>
      </c>
    </row>
    <row r="184" spans="1:9" ht="15" customHeight="1">
      <c r="A184" s="2213"/>
      <c r="B184" s="2208"/>
      <c r="C184" s="440" t="str">
        <f>OF!C115</f>
        <v>Mostly true</v>
      </c>
      <c r="D184" s="255">
        <f>OF!D115</f>
        <v>0</v>
      </c>
      <c r="E184" s="361">
        <v>2</v>
      </c>
      <c r="F184" s="361">
        <f>D184*E184</f>
        <v>0</v>
      </c>
      <c r="G184" s="629"/>
      <c r="H184" s="2211"/>
      <c r="I184" s="2213"/>
    </row>
    <row r="185" spans="1:9" ht="15" customHeight="1">
      <c r="A185" s="2213"/>
      <c r="B185" s="2208"/>
      <c r="C185" s="401" t="str">
        <f>OF!C116</f>
        <v>Somewhat true</v>
      </c>
      <c r="D185" s="78">
        <f>OF!D116</f>
        <v>0</v>
      </c>
      <c r="E185" s="361">
        <v>1</v>
      </c>
      <c r="F185" s="361">
        <f>D185*E185</f>
        <v>0</v>
      </c>
      <c r="G185" s="630"/>
      <c r="H185" s="2211"/>
      <c r="I185" s="2213"/>
    </row>
    <row r="186" spans="1:9" ht="15" customHeight="1" thickBot="1">
      <c r="A186" s="2377"/>
      <c r="B186" s="2210"/>
      <c r="C186" s="441" t="str">
        <f>OF!C117</f>
        <v>Mostly untrue</v>
      </c>
      <c r="D186" s="193">
        <f>OF!D117</f>
        <v>0</v>
      </c>
      <c r="E186" s="362">
        <v>0</v>
      </c>
      <c r="F186" s="362">
        <f>D186*E186</f>
        <v>0</v>
      </c>
      <c r="G186" s="631"/>
      <c r="H186" s="2420"/>
      <c r="I186" s="2377"/>
    </row>
    <row r="187" spans="1:9" ht="30" customHeight="1" thickBot="1">
      <c r="A187" s="2212" t="str">
        <f>F!A45</f>
        <v>F9</v>
      </c>
      <c r="B187" s="2213" t="str">
        <f>F!B45</f>
        <v>N Fixers</v>
      </c>
      <c r="C187" s="448" t="str">
        <f>F!C45</f>
        <v>The percentage of the AA's shrub plus ground cover that contains nitrogen-fixing plants (e.g., alder, bayberry, clover, lupine, alfalfa, other legumes) is:</v>
      </c>
      <c r="D187" s="365"/>
      <c r="E187" s="360"/>
      <c r="F187" s="360"/>
      <c r="G187" s="542">
        <f>MAX(F188:F192)/MAX(E188:E192)</f>
        <v>0</v>
      </c>
      <c r="H187" s="2146" t="s">
        <v>1939</v>
      </c>
      <c r="I187" s="2212" t="s">
        <v>506</v>
      </c>
    </row>
    <row r="188" spans="1:9" ht="15" customHeight="1">
      <c r="A188" s="2213"/>
      <c r="B188" s="2213"/>
      <c r="C188" s="440" t="str">
        <f>F!C46</f>
        <v>&lt;1% or none</v>
      </c>
      <c r="D188" s="255">
        <f>F!D46</f>
        <v>0</v>
      </c>
      <c r="E188" s="360">
        <v>0</v>
      </c>
      <c r="F188" s="364">
        <f>D188*E188</f>
        <v>0</v>
      </c>
      <c r="G188" s="630"/>
      <c r="H188" s="2146"/>
      <c r="I188" s="2213"/>
    </row>
    <row r="189" spans="1:9" ht="15" customHeight="1">
      <c r="A189" s="2213"/>
      <c r="B189" s="2213"/>
      <c r="C189" s="401" t="str">
        <f>F!C47</f>
        <v>1-25% of the shrub plus ground cover, in the AA or along its water edge (whichever has more).</v>
      </c>
      <c r="D189" s="78">
        <f>F!D47</f>
        <v>0</v>
      </c>
      <c r="E189" s="360">
        <v>1</v>
      </c>
      <c r="F189" s="364">
        <f>D189*E189</f>
        <v>0</v>
      </c>
      <c r="G189" s="630"/>
      <c r="H189" s="2146"/>
      <c r="I189" s="2213"/>
    </row>
    <row r="190" spans="1:9" ht="15" customHeight="1">
      <c r="A190" s="2213"/>
      <c r="B190" s="2213"/>
      <c r="C190" s="401" t="str">
        <f>F!C48</f>
        <v>25-50% of the shrub plus ground cover, in the AA or along its water edge (whichever has more).</v>
      </c>
      <c r="D190" s="78">
        <f>F!D48</f>
        <v>0</v>
      </c>
      <c r="E190" s="360">
        <v>2</v>
      </c>
      <c r="F190" s="364">
        <f>D190*E190</f>
        <v>0</v>
      </c>
      <c r="G190" s="630"/>
      <c r="H190" s="2146"/>
      <c r="I190" s="2213"/>
    </row>
    <row r="191" spans="1:9" ht="15" customHeight="1">
      <c r="A191" s="2213"/>
      <c r="B191" s="2213"/>
      <c r="C191" s="401" t="str">
        <f>F!C49</f>
        <v>50-75% of the shrub plus ground cover, in the AA or along its water edge (whichever has more).</v>
      </c>
      <c r="D191" s="78">
        <f>F!D49</f>
        <v>0</v>
      </c>
      <c r="E191" s="360">
        <v>3</v>
      </c>
      <c r="F191" s="364">
        <f>D191*E191</f>
        <v>0</v>
      </c>
      <c r="G191" s="630"/>
      <c r="H191" s="2146"/>
      <c r="I191" s="2213"/>
    </row>
    <row r="192" spans="1:9" ht="15" customHeight="1" thickBot="1">
      <c r="A192" s="2377"/>
      <c r="B192" s="2213"/>
      <c r="C192" s="447" t="str">
        <f>F!C50</f>
        <v>&gt;75% of the shrub plus ground cover, in the AA or along its water edge (whichever has more).</v>
      </c>
      <c r="D192" s="402">
        <f>F!D50</f>
        <v>0</v>
      </c>
      <c r="E192" s="380">
        <v>4</v>
      </c>
      <c r="F192" s="364">
        <f>D192*E192</f>
        <v>0</v>
      </c>
      <c r="G192" s="639"/>
      <c r="H192" s="2146"/>
      <c r="I192" s="2377"/>
    </row>
    <row r="193" spans="1:32" ht="33" customHeight="1" thickBot="1">
      <c r="A193" s="1239" t="str">
        <f>F!A210</f>
        <v>F44</v>
      </c>
      <c r="B193" s="1359" t="str">
        <f>F!B210</f>
        <v>Tributary Channel</v>
      </c>
      <c r="C193" s="1362" t="str">
        <f>F!C210</f>
        <v>At least once annually, the AA receives surface water from a tributary channel &gt;100 m long.  If no, SKIP to F47 ( pH Measurement).</v>
      </c>
      <c r="D193" s="1360">
        <f>F!D210</f>
        <v>0</v>
      </c>
      <c r="E193" s="1361"/>
      <c r="F193" s="636"/>
      <c r="G193" s="1662">
        <f>D193</f>
        <v>0</v>
      </c>
      <c r="H193" s="1234" t="s">
        <v>713</v>
      </c>
      <c r="I193" s="1563" t="s">
        <v>2076</v>
      </c>
    </row>
    <row r="194" spans="1:32" s="1219" customFormat="1" ht="21" customHeight="1" thickBot="1">
      <c r="A194" s="2421" t="str">
        <f>F!A222</f>
        <v>F48</v>
      </c>
      <c r="B194" s="2523" t="str">
        <f>F!B222</f>
        <v>TDS and/or Conductivity</v>
      </c>
      <c r="C194" s="241" t="str">
        <f>F!C222</f>
        <v>The Total Dissolved Solids (TDS) in most of the AA's surface water:</v>
      </c>
      <c r="D194" s="376"/>
      <c r="E194" s="1361"/>
      <c r="F194" s="644"/>
      <c r="G194" s="527">
        <f>IF((D198&gt;400),1, IF((D197&gt;300),1, IF((D196=1),1, "")))</f>
        <v>1</v>
      </c>
      <c r="H194" s="2148" t="s">
        <v>1983</v>
      </c>
      <c r="I194" s="2212" t="s">
        <v>1982</v>
      </c>
      <c r="J194" s="4"/>
      <c r="K194" s="4"/>
      <c r="L194" s="4"/>
      <c r="M194" s="4"/>
      <c r="N194" s="4"/>
      <c r="O194" s="4"/>
      <c r="P194" s="4"/>
      <c r="Q194" s="4"/>
      <c r="R194" s="4"/>
      <c r="S194" s="4"/>
      <c r="T194" s="4"/>
      <c r="U194" s="4"/>
      <c r="V194" s="4"/>
      <c r="W194" s="4"/>
      <c r="X194" s="4"/>
      <c r="Y194" s="4"/>
      <c r="Z194" s="4"/>
      <c r="AA194" s="4"/>
      <c r="AB194" s="4"/>
      <c r="AC194" s="4"/>
      <c r="AD194" s="4"/>
      <c r="AE194" s="4"/>
      <c r="AF194" s="4"/>
    </row>
    <row r="195" spans="1:32" s="4" customFormat="1" ht="15" customHeight="1">
      <c r="A195" s="2422"/>
      <c r="B195" s="2524"/>
      <c r="C195" s="1656" t="str">
        <f>F!C223</f>
        <v xml:space="preserve">was not measured because no surface water could be found during this visit. Enter "1". </v>
      </c>
      <c r="D195" s="300">
        <f>F!D223</f>
        <v>0</v>
      </c>
      <c r="E195" s="361"/>
      <c r="F195" s="361"/>
      <c r="G195" s="363"/>
      <c r="H195" s="2146"/>
      <c r="I195" s="2213"/>
    </row>
    <row r="196" spans="1:32" s="4" customFormat="1" ht="27" customHeight="1">
      <c r="A196" s="2422"/>
      <c r="B196" s="2524"/>
      <c r="C196" s="1365" t="str">
        <f>F!C224</f>
        <v>was not measured, but plants that indicate saline conditions cover much of the vegetated AA. Enter "1" .</v>
      </c>
      <c r="D196" s="300">
        <f>F!D224</f>
        <v>0</v>
      </c>
      <c r="E196" s="361"/>
      <c r="F196" s="361"/>
      <c r="G196" s="386"/>
      <c r="H196" s="2146"/>
      <c r="I196" s="2213"/>
    </row>
    <row r="197" spans="1:32" s="4" customFormat="1" ht="15" customHeight="1">
      <c r="A197" s="2422"/>
      <c r="B197" s="2524"/>
      <c r="C197" s="1365" t="str">
        <f>F!C225</f>
        <v>TDS is: [enter the reading in ppm in the column to the right, if measured, or answer next row]:</v>
      </c>
      <c r="D197" s="300" t="str">
        <f>IF((F!D225=""),"",F!D225)</f>
        <v/>
      </c>
      <c r="E197" s="361"/>
      <c r="F197" s="361"/>
      <c r="G197" s="386"/>
      <c r="H197" s="2146"/>
      <c r="I197" s="2213"/>
    </row>
    <row r="198" spans="1:32" s="1222" customFormat="1" ht="15" customHeight="1" thickBot="1">
      <c r="A198" s="2423"/>
      <c r="B198" s="2525"/>
      <c r="C198" s="1363" t="str">
        <f>F!C226</f>
        <v>Conductivity is  [enter the reading in µS/cm in the column to the right]:</v>
      </c>
      <c r="D198" s="1663" t="str">
        <f>IF((F!D226=""),"",F!D226)</f>
        <v/>
      </c>
      <c r="E198" s="738"/>
      <c r="F198" s="1364"/>
      <c r="G198" s="1364"/>
      <c r="H198" s="2149"/>
      <c r="I198" s="2377"/>
      <c r="J198" s="4"/>
      <c r="K198" s="4"/>
      <c r="L198" s="4"/>
      <c r="M198" s="4"/>
      <c r="N198" s="4"/>
      <c r="O198" s="4"/>
      <c r="P198" s="4"/>
      <c r="Q198" s="4"/>
      <c r="R198" s="4"/>
      <c r="S198" s="4"/>
      <c r="T198" s="4"/>
      <c r="U198" s="4"/>
      <c r="V198" s="4"/>
      <c r="W198" s="4"/>
      <c r="X198" s="4"/>
      <c r="Y198" s="4"/>
      <c r="Z198" s="4"/>
      <c r="AA198" s="4"/>
      <c r="AB198" s="4"/>
      <c r="AC198" s="4"/>
      <c r="AD198" s="4"/>
      <c r="AE198" s="4"/>
      <c r="AF198" s="4"/>
    </row>
    <row r="199" spans="1:32" ht="30" customHeight="1" thickBot="1">
      <c r="A199" s="2211" t="str">
        <f>F!A240</f>
        <v>F52</v>
      </c>
      <c r="B199" s="2218" t="str">
        <f>F!B240</f>
        <v>Vegetated Buffer as % of Perimeter</v>
      </c>
      <c r="C199" s="448" t="str">
        <f>F!C240</f>
        <v>Along the wetland-upland edge and extending 30 m laterally upslope, the percentage of the upland that contains vegetation cover (except lawns, row crops, heavily grazed land, conifer plantations) is:</v>
      </c>
      <c r="D199" s="380"/>
      <c r="E199" s="360"/>
      <c r="F199" s="629"/>
      <c r="G199" s="542">
        <f>MAX(F200:F204)/MAX(E200:E204)</f>
        <v>0</v>
      </c>
      <c r="H199" s="2146" t="s">
        <v>1569</v>
      </c>
      <c r="I199" s="2213" t="s">
        <v>519</v>
      </c>
    </row>
    <row r="200" spans="1:32" ht="15" customHeight="1">
      <c r="A200" s="2208"/>
      <c r="B200" s="2208"/>
      <c r="C200" s="1219" t="str">
        <f>F!C241</f>
        <v xml:space="preserve">&lt;5% </v>
      </c>
      <c r="D200" s="78">
        <f>F!D241</f>
        <v>0</v>
      </c>
      <c r="E200" s="377">
        <v>4</v>
      </c>
      <c r="F200" s="361">
        <f>D200*E200</f>
        <v>0</v>
      </c>
      <c r="G200" s="629"/>
      <c r="H200" s="2146"/>
      <c r="I200" s="2213"/>
    </row>
    <row r="201" spans="1:32" ht="15" customHeight="1">
      <c r="A201" s="2208"/>
      <c r="B201" s="2208"/>
      <c r="C201" s="1077" t="str">
        <f>F!C242</f>
        <v>5 to 30%</v>
      </c>
      <c r="D201" s="1657">
        <f>F!D242</f>
        <v>0</v>
      </c>
      <c r="E201" s="377">
        <v>3</v>
      </c>
      <c r="F201" s="361">
        <f>D201*E201</f>
        <v>0</v>
      </c>
      <c r="G201" s="630"/>
      <c r="H201" s="2146"/>
      <c r="I201" s="2213"/>
    </row>
    <row r="202" spans="1:32" ht="15" customHeight="1">
      <c r="A202" s="2208"/>
      <c r="B202" s="2208"/>
      <c r="C202" s="1077" t="str">
        <f>F!C243</f>
        <v>30 to 60%</v>
      </c>
      <c r="D202" s="78">
        <f>F!D243</f>
        <v>0</v>
      </c>
      <c r="E202" s="377">
        <v>2</v>
      </c>
      <c r="F202" s="361">
        <f>D202*E202</f>
        <v>0</v>
      </c>
      <c r="G202" s="630"/>
      <c r="H202" s="2146"/>
      <c r="I202" s="2213"/>
    </row>
    <row r="203" spans="1:32" ht="15" customHeight="1">
      <c r="A203" s="2208"/>
      <c r="B203" s="2208"/>
      <c r="C203" s="1077" t="str">
        <f>F!C244</f>
        <v>60 to 90%</v>
      </c>
      <c r="D203" s="255">
        <f>F!D244</f>
        <v>0</v>
      </c>
      <c r="E203" s="377">
        <v>1</v>
      </c>
      <c r="F203" s="361">
        <f>D203*E203</f>
        <v>0</v>
      </c>
      <c r="G203" s="630"/>
      <c r="H203" s="2146"/>
      <c r="I203" s="2213"/>
    </row>
    <row r="204" spans="1:32" ht="15" customHeight="1" thickBot="1">
      <c r="A204" s="2210"/>
      <c r="B204" s="2210"/>
      <c r="C204" s="1222" t="str">
        <f>F!C245</f>
        <v>&gt;90%, or all the area within 30 m of the AA edge is other wetlands. SKIP to F55.</v>
      </c>
      <c r="D204" s="655">
        <f>F!D245</f>
        <v>0</v>
      </c>
      <c r="E204" s="378">
        <v>0</v>
      </c>
      <c r="F204" s="362">
        <f>D204*E204</f>
        <v>0</v>
      </c>
      <c r="G204" s="631"/>
      <c r="H204" s="2149"/>
      <c r="I204" s="2377"/>
    </row>
    <row r="205" spans="1:32" ht="30" customHeight="1" thickBot="1">
      <c r="A205" s="2213" t="str">
        <f>F!A246</f>
        <v>F53</v>
      </c>
      <c r="B205" s="2213" t="str">
        <f>F!B246</f>
        <v>Type of Cover in Buffer</v>
      </c>
      <c r="C205" s="439" t="str">
        <f>F!C246</f>
        <v>Within 30 m upslope of where the wetland transitions to upland, the upland land cover that is NOT natural is mostly (mark ONE):</v>
      </c>
      <c r="D205" s="636"/>
      <c r="E205" s="360"/>
      <c r="F205" s="360"/>
      <c r="G205" s="542">
        <f>IF((BuffAllNat=1),"",MAX(F206:F207)/MAX(E206:E207))</f>
        <v>0</v>
      </c>
      <c r="H205" s="2146" t="s">
        <v>1944</v>
      </c>
      <c r="I205" s="2212" t="s">
        <v>1224</v>
      </c>
    </row>
    <row r="206" spans="1:32" ht="15" customHeight="1">
      <c r="A206" s="2213"/>
      <c r="B206" s="2213"/>
      <c r="C206" s="1219" t="str">
        <f>F!C247</f>
        <v>impervious surface, e.g., paved road, parking lot, building, exposed rock.</v>
      </c>
      <c r="D206" s="549">
        <f>F!D247</f>
        <v>0</v>
      </c>
      <c r="E206" s="377">
        <v>2</v>
      </c>
      <c r="F206" s="364">
        <f>D206*E206</f>
        <v>0</v>
      </c>
      <c r="G206" s="630"/>
      <c r="H206" s="2146"/>
      <c r="I206" s="2213"/>
    </row>
    <row r="207" spans="1:32" ht="27" customHeight="1" thickBot="1">
      <c r="A207" s="2213"/>
      <c r="B207" s="2213"/>
      <c r="C207" s="1661" t="str">
        <f>F!C248</f>
        <v>bare or nearly bare pervious surface or managed vegetation, e.g., lawn, row crops, unpaved road, dike, landslide.</v>
      </c>
      <c r="D207" s="193">
        <f>F!D248</f>
        <v>0</v>
      </c>
      <c r="E207" s="530">
        <v>1</v>
      </c>
      <c r="F207" s="364">
        <f>D207*E207</f>
        <v>0</v>
      </c>
      <c r="G207" s="639"/>
      <c r="H207" s="2146"/>
      <c r="I207" s="2377"/>
    </row>
    <row r="208" spans="1:32" ht="30" customHeight="1" thickBot="1">
      <c r="A208" s="2212" t="str">
        <f>F!A249</f>
        <v>F54</v>
      </c>
      <c r="B208" s="2212" t="str">
        <f>F!B249</f>
        <v xml:space="preserve">Buffer Slope </v>
      </c>
      <c r="C208" s="439" t="str">
        <f>F!C249</f>
        <v>The steepest and/or most disturbed part of the upland area that is within 30 m of the wetland and occupies &gt;10% of that upland area has a percent slope of:</v>
      </c>
      <c r="D208" s="1371"/>
      <c r="E208" s="365"/>
      <c r="F208" s="366"/>
      <c r="G208" s="527">
        <f>IF((NoCA=1),"",IF((BuffAllNat=1),"",MAX(F209:F212)/MAX(E209:E212)))</f>
        <v>0</v>
      </c>
      <c r="H208" s="2148" t="s">
        <v>722</v>
      </c>
      <c r="I208" s="2212" t="s">
        <v>520</v>
      </c>
    </row>
    <row r="209" spans="1:9" ht="15" customHeight="1">
      <c r="A209" s="2213"/>
      <c r="B209" s="2213"/>
      <c r="C209" s="1219" t="str">
        <f>F!C250</f>
        <v>&lt;1% (flat -- almost no noticeable slope) or all the area within 30 m of the AA edge is other wetlands.</v>
      </c>
      <c r="D209" s="78">
        <f>F!D250</f>
        <v>0</v>
      </c>
      <c r="E209" s="377">
        <v>0</v>
      </c>
      <c r="F209" s="361">
        <f>D209*E209</f>
        <v>0</v>
      </c>
      <c r="G209" s="629"/>
      <c r="H209" s="2146"/>
      <c r="I209" s="2213"/>
    </row>
    <row r="210" spans="1:9" ht="15" customHeight="1">
      <c r="A210" s="2213"/>
      <c r="B210" s="2213"/>
      <c r="C210" s="1077" t="str">
        <f>F!C251</f>
        <v>2-5%</v>
      </c>
      <c r="D210" s="78">
        <f>F!D251</f>
        <v>0</v>
      </c>
      <c r="E210" s="377">
        <v>1</v>
      </c>
      <c r="F210" s="361">
        <f>D210*E210</f>
        <v>0</v>
      </c>
      <c r="G210" s="630"/>
      <c r="H210" s="2146"/>
      <c r="I210" s="2213"/>
    </row>
    <row r="211" spans="1:9" ht="15" customHeight="1">
      <c r="A211" s="2213"/>
      <c r="B211" s="2213"/>
      <c r="C211" s="1077" t="str">
        <f>F!C252</f>
        <v>5-30%</v>
      </c>
      <c r="D211" s="255">
        <f>F!D252</f>
        <v>0</v>
      </c>
      <c r="E211" s="377">
        <v>2</v>
      </c>
      <c r="F211" s="361">
        <f>D211*E211</f>
        <v>0</v>
      </c>
      <c r="G211" s="630"/>
      <c r="H211" s="2146"/>
      <c r="I211" s="2213"/>
    </row>
    <row r="212" spans="1:9" ht="15" customHeight="1" thickBot="1">
      <c r="A212" s="2377"/>
      <c r="B212" s="2377"/>
      <c r="C212" s="627" t="str">
        <f>F!C253</f>
        <v>&gt;30%</v>
      </c>
      <c r="D212" s="1572">
        <f>F!D253</f>
        <v>0</v>
      </c>
      <c r="E212" s="378">
        <v>3</v>
      </c>
      <c r="F212" s="362">
        <f>D212*E212</f>
        <v>0</v>
      </c>
      <c r="G212" s="631"/>
      <c r="H212" s="2149"/>
      <c r="I212" s="2377"/>
    </row>
    <row r="213" spans="1:9" ht="21" customHeight="1" thickBot="1">
      <c r="A213" s="2208" t="str">
        <f>F!A301</f>
        <v>F66</v>
      </c>
      <c r="B213" s="2209" t="str">
        <f>F!B301</f>
        <v>Domestic Wells</v>
      </c>
      <c r="C213" s="448" t="str">
        <f>F!C301</f>
        <v>The closest wells or water bodies that currently provide drinking water are:</v>
      </c>
      <c r="D213" s="365"/>
      <c r="E213" s="360"/>
      <c r="F213" s="363"/>
      <c r="G213" s="542">
        <f>MAX(F214:F216)/MAX(E214:E216)</f>
        <v>0</v>
      </c>
      <c r="H213" s="2148" t="s">
        <v>723</v>
      </c>
      <c r="I213" s="2212" t="s">
        <v>521</v>
      </c>
    </row>
    <row r="214" spans="1:9" ht="15" customHeight="1">
      <c r="A214" s="2208"/>
      <c r="B214" s="2208"/>
      <c r="C214" s="945" t="str">
        <f>F!C302</f>
        <v>Within 0-100 m of the AA.</v>
      </c>
      <c r="D214" s="549">
        <f>F!D302</f>
        <v>0</v>
      </c>
      <c r="E214" s="377">
        <v>2</v>
      </c>
      <c r="F214" s="361">
        <f>D214*E214</f>
        <v>0</v>
      </c>
      <c r="G214" s="629"/>
      <c r="H214" s="2146"/>
      <c r="I214" s="2213"/>
    </row>
    <row r="215" spans="1:9" ht="15" customHeight="1">
      <c r="A215" s="2208"/>
      <c r="B215" s="2208"/>
      <c r="C215" s="1077" t="str">
        <f>F!C303</f>
        <v>100-500 m away.</v>
      </c>
      <c r="D215" s="78">
        <f>F!D303</f>
        <v>0</v>
      </c>
      <c r="E215" s="377">
        <v>1</v>
      </c>
      <c r="F215" s="361">
        <f>D215*E215</f>
        <v>0</v>
      </c>
      <c r="G215" s="630"/>
      <c r="H215" s="2146"/>
      <c r="I215" s="2213"/>
    </row>
    <row r="216" spans="1:9" ht="15" customHeight="1" thickBot="1">
      <c r="A216" s="2208"/>
      <c r="B216" s="2210"/>
      <c r="C216" s="627" t="str">
        <f>F!C304</f>
        <v>&gt;500 m away, or no information.</v>
      </c>
      <c r="D216" s="655">
        <f>F!D304</f>
        <v>0</v>
      </c>
      <c r="E216" s="530">
        <v>0</v>
      </c>
      <c r="F216" s="364">
        <f>D216*E216</f>
        <v>0</v>
      </c>
      <c r="G216" s="639"/>
      <c r="H216" s="2149"/>
      <c r="I216" s="2377"/>
    </row>
    <row r="217" spans="1:9" s="62" customFormat="1" ht="30" customHeight="1" thickBot="1">
      <c r="A217" s="613" t="str">
        <f>S!A81</f>
        <v>S6</v>
      </c>
      <c r="B217" s="146" t="str">
        <f>S!B94</f>
        <v>Accelerated Inputs of Nutrients</v>
      </c>
      <c r="C217" s="435" t="str">
        <f>S!E93</f>
        <v>Final Score=</v>
      </c>
      <c r="D217" s="646">
        <f>S!F106</f>
        <v>0</v>
      </c>
      <c r="E217" s="590"/>
      <c r="F217" s="597"/>
      <c r="G217" s="575">
        <f>D217</f>
        <v>0</v>
      </c>
      <c r="H217" s="81" t="s">
        <v>1127</v>
      </c>
      <c r="I217" s="123" t="s">
        <v>1178</v>
      </c>
    </row>
    <row r="218" spans="1:9" ht="21" customHeight="1" thickBot="1">
      <c r="A218" s="2379"/>
      <c r="B218" s="2379"/>
      <c r="C218" s="2379"/>
      <c r="D218" s="2379"/>
      <c r="E218" s="2379"/>
      <c r="F218" s="2379"/>
      <c r="G218" s="2379"/>
      <c r="H218" s="2379"/>
      <c r="I218" s="2379"/>
    </row>
    <row r="219" spans="1:9" ht="21" customHeight="1">
      <c r="A219" s="2397" t="s">
        <v>1050</v>
      </c>
      <c r="B219" s="2397"/>
      <c r="C219" s="2397"/>
      <c r="D219" s="2529" t="s">
        <v>1179</v>
      </c>
      <c r="E219" s="2530"/>
      <c r="F219" s="2530"/>
      <c r="G219" s="1691">
        <f xml:space="preserve"> AVERAGE(AVERAGE(WoodyTyp4,Groundw4,TreeCanop4),AVERAGE(Elev4,Warmth4,Aspect4))</f>
        <v>0</v>
      </c>
      <c r="H219" s="1897" t="s">
        <v>2683</v>
      </c>
      <c r="I219" s="1898" t="s">
        <v>2727</v>
      </c>
    </row>
    <row r="220" spans="1:9" ht="30" customHeight="1">
      <c r="A220" s="2397"/>
      <c r="B220" s="2397"/>
      <c r="C220" s="2397"/>
      <c r="D220" s="2531" t="s">
        <v>1180</v>
      </c>
      <c r="E220" s="2532"/>
      <c r="F220" s="2532"/>
      <c r="G220" s="1692">
        <f xml:space="preserve"> AVERAGE(PondPct4,VwidthAbs4, FloDist4,Gcover4,ThruFlo4,Interspers4, Elev4,WetPctCA4)</f>
        <v>0</v>
      </c>
      <c r="H220" s="1858" t="s">
        <v>2684</v>
      </c>
      <c r="I220" s="1899" t="s">
        <v>2728</v>
      </c>
    </row>
    <row r="221" spans="1:9" ht="21" customHeight="1">
      <c r="A221" s="2397"/>
      <c r="B221" s="2397"/>
      <c r="C221" s="2397"/>
      <c r="D221" s="2531" t="s">
        <v>200</v>
      </c>
      <c r="E221" s="2532"/>
      <c r="F221" s="2532"/>
      <c r="G221" s="1692">
        <f>AVERAGE(OutDura4,Gradient4,Constric4)</f>
        <v>0</v>
      </c>
      <c r="H221" s="1858" t="s">
        <v>2685</v>
      </c>
      <c r="I221" s="1899" t="s">
        <v>2729</v>
      </c>
    </row>
    <row r="222" spans="1:9" ht="21" customHeight="1">
      <c r="A222" s="2397"/>
      <c r="B222" s="2397"/>
      <c r="C222" s="2397"/>
      <c r="D222" s="2531" t="s">
        <v>1323</v>
      </c>
      <c r="E222" s="2532"/>
      <c r="F222" s="2532"/>
      <c r="G222" s="1692">
        <f>AVERAGE(Acid4,SoilTex4,Wettype4,NewWet,AqPlantCov4, SoilDisturb4)</f>
        <v>0</v>
      </c>
      <c r="H222" s="1858" t="s">
        <v>2686</v>
      </c>
      <c r="I222" s="1899" t="s">
        <v>2730</v>
      </c>
    </row>
    <row r="223" spans="1:9" ht="21" customHeight="1" thickBot="1">
      <c r="A223" s="2397"/>
      <c r="B223" s="2397"/>
      <c r="C223" s="2397"/>
      <c r="D223" s="2533" t="s">
        <v>1181</v>
      </c>
      <c r="E223" s="2534"/>
      <c r="F223" s="2534"/>
      <c r="G223" s="1693">
        <f>(AVERAGE(SatPct4,PermWpct4, SeasWpct4) + AVERAGE(Fluctu4, UpEdgeShape4, Inclus4, Girreg4))/2</f>
        <v>0</v>
      </c>
      <c r="H223" s="1900" t="s">
        <v>2687</v>
      </c>
      <c r="I223" s="1901" t="s">
        <v>2731</v>
      </c>
    </row>
    <row r="224" spans="1:9" ht="21" customHeight="1" thickBot="1">
      <c r="A224" s="2536"/>
      <c r="B224" s="2536"/>
      <c r="C224" s="2536"/>
      <c r="D224" s="2536"/>
      <c r="E224" s="2536"/>
      <c r="F224" s="2536"/>
      <c r="G224" s="2536"/>
      <c r="H224" s="2397"/>
      <c r="I224" s="4"/>
    </row>
    <row r="225" spans="1:9" ht="30" customHeight="1" thickBot="1">
      <c r="A225" s="2397"/>
      <c r="B225" s="2430"/>
      <c r="C225" s="2526" t="s">
        <v>108</v>
      </c>
      <c r="D225" s="2527"/>
      <c r="E225" s="2528"/>
      <c r="F225" s="1591" t="s">
        <v>75</v>
      </c>
      <c r="G225" s="1689">
        <f>10*(IF((NoOutlet4=1),1,IF((AllSat1=1),(2*Connec4 + Intercep4 + FrozDur4 + Organic4 + Redox4)/6, (3*Redox4 + 2*Connec4 + FrozDur4 + Organic4 + Intercep4)/ 8)))</f>
        <v>0</v>
      </c>
      <c r="H225" s="2363" t="s">
        <v>2688</v>
      </c>
      <c r="I225" s="2364"/>
    </row>
    <row r="226" spans="1:9" ht="30" customHeight="1" thickBot="1">
      <c r="A226" s="2397"/>
      <c r="B226" s="2430"/>
      <c r="C226" s="2526" t="s">
        <v>2409</v>
      </c>
      <c r="D226" s="2527"/>
      <c r="E226" s="2528"/>
      <c r="F226" s="1949" t="s">
        <v>2888</v>
      </c>
      <c r="G226" s="1696">
        <f>10*MAX(Aquifer4,GWsens, Inflow4a,MAX(Nsource4,NsampUp, NsampDown,Nfix4), AVERAGE(Imperv4,PopDist4, RdDist4), AVERAGE(CAnatPct4,BuffSlope4,BuffCovTyp4,CApct4,Transport4, Conduc4))</f>
        <v>10</v>
      </c>
      <c r="H226" s="2544" t="s">
        <v>2889</v>
      </c>
      <c r="I226" s="2545"/>
    </row>
    <row r="227" spans="1:9" ht="21" customHeight="1" thickBot="1">
      <c r="A227" s="2536"/>
      <c r="B227" s="2536"/>
      <c r="C227" s="2536"/>
      <c r="D227" s="2536"/>
      <c r="E227" s="2536"/>
      <c r="F227" s="2536"/>
      <c r="G227" s="2536"/>
      <c r="H227" s="2536"/>
      <c r="I227" s="2536"/>
    </row>
    <row r="228" spans="1:9" ht="21" customHeight="1" thickBot="1">
      <c r="H228" s="2381" t="s">
        <v>806</v>
      </c>
      <c r="I228" s="2382"/>
    </row>
    <row r="229" spans="1:9" ht="27" customHeight="1">
      <c r="H229" s="2150" t="s">
        <v>856</v>
      </c>
      <c r="I229" s="2491"/>
    </row>
    <row r="230" spans="1:9" ht="42" customHeight="1">
      <c r="H230" s="2373" t="s">
        <v>857</v>
      </c>
      <c r="I230" s="2374"/>
    </row>
    <row r="231" spans="1:9" ht="42" customHeight="1">
      <c r="H231" s="2367" t="s">
        <v>858</v>
      </c>
      <c r="I231" s="2368"/>
    </row>
    <row r="232" spans="1:9" ht="21" customHeight="1">
      <c r="H232" s="2367" t="s">
        <v>2138</v>
      </c>
      <c r="I232" s="2368"/>
    </row>
    <row r="233" spans="1:9" ht="27" customHeight="1">
      <c r="H233" s="2367" t="s">
        <v>2139</v>
      </c>
      <c r="I233" s="2368"/>
    </row>
    <row r="234" spans="1:9" ht="42" customHeight="1">
      <c r="H234" s="2549" t="s">
        <v>1649</v>
      </c>
      <c r="I234" s="2550"/>
    </row>
    <row r="235" spans="1:9" ht="27" customHeight="1">
      <c r="H235" s="2549" t="s">
        <v>2140</v>
      </c>
      <c r="I235" s="2550"/>
    </row>
    <row r="236" spans="1:9" ht="27" customHeight="1">
      <c r="H236" s="2367" t="s">
        <v>859</v>
      </c>
      <c r="I236" s="2368"/>
    </row>
    <row r="237" spans="1:9" ht="27" customHeight="1">
      <c r="H237" s="2371" t="s">
        <v>1884</v>
      </c>
      <c r="I237" s="2372"/>
    </row>
    <row r="238" spans="1:9" ht="27" customHeight="1">
      <c r="H238" s="2367" t="s">
        <v>1650</v>
      </c>
      <c r="I238" s="2368"/>
    </row>
    <row r="239" spans="1:9" ht="27" customHeight="1">
      <c r="H239" s="2367" t="s">
        <v>827</v>
      </c>
      <c r="I239" s="2368"/>
    </row>
    <row r="240" spans="1:9" ht="27" customHeight="1">
      <c r="H240" s="2367" t="s">
        <v>826</v>
      </c>
      <c r="I240" s="2368"/>
    </row>
    <row r="241" spans="1:10" ht="27" customHeight="1">
      <c r="H241" s="2367" t="s">
        <v>860</v>
      </c>
      <c r="I241" s="2368"/>
    </row>
    <row r="242" spans="1:10" ht="27" customHeight="1">
      <c r="H242" s="2373" t="s">
        <v>861</v>
      </c>
      <c r="I242" s="2374"/>
    </row>
    <row r="243" spans="1:10" ht="42" customHeight="1">
      <c r="H243" s="2551" t="s">
        <v>2141</v>
      </c>
      <c r="I243" s="2552"/>
    </row>
    <row r="244" spans="1:10" ht="42" customHeight="1">
      <c r="H244" s="2373" t="s">
        <v>1885</v>
      </c>
      <c r="I244" s="2374"/>
    </row>
    <row r="245" spans="1:10" ht="27" customHeight="1">
      <c r="H245" s="2367" t="s">
        <v>862</v>
      </c>
      <c r="I245" s="2368"/>
      <c r="J245" s="2"/>
    </row>
    <row r="246" spans="1:10" ht="42" customHeight="1">
      <c r="H246" s="2367" t="s">
        <v>863</v>
      </c>
      <c r="I246" s="2368"/>
      <c r="J246" s="2"/>
    </row>
    <row r="247" spans="1:10" ht="27" customHeight="1">
      <c r="H247" s="2367" t="s">
        <v>864</v>
      </c>
      <c r="I247" s="2368"/>
      <c r="J247" s="2"/>
    </row>
    <row r="248" spans="1:10" ht="27" customHeight="1">
      <c r="H248" s="2373" t="s">
        <v>865</v>
      </c>
      <c r="I248" s="2374"/>
      <c r="J248" s="2"/>
    </row>
    <row r="249" spans="1:10" ht="27" customHeight="1">
      <c r="H249" s="2367" t="s">
        <v>1639</v>
      </c>
      <c r="I249" s="2368"/>
      <c r="J249" s="2"/>
    </row>
    <row r="250" spans="1:10" ht="27" customHeight="1">
      <c r="H250" s="2367" t="s">
        <v>866</v>
      </c>
      <c r="I250" s="2368"/>
      <c r="J250" s="2"/>
    </row>
    <row r="251" spans="1:10" s="29" customFormat="1" ht="42" customHeight="1">
      <c r="A251" s="33"/>
      <c r="B251" s="7"/>
      <c r="C251" s="7"/>
      <c r="D251" s="647"/>
      <c r="E251" s="647"/>
      <c r="F251" s="647"/>
      <c r="G251" s="648"/>
      <c r="H251" s="2367" t="s">
        <v>867</v>
      </c>
      <c r="I251" s="2368"/>
    </row>
    <row r="252" spans="1:10" ht="27" customHeight="1">
      <c r="H252" s="2367" t="s">
        <v>849</v>
      </c>
      <c r="I252" s="2368"/>
    </row>
    <row r="253" spans="1:10" ht="27" customHeight="1">
      <c r="H253" s="2367" t="s">
        <v>868</v>
      </c>
      <c r="I253" s="2368"/>
    </row>
    <row r="254" spans="1:10" ht="27" customHeight="1">
      <c r="H254" s="2367" t="s">
        <v>1698</v>
      </c>
      <c r="I254" s="2368"/>
    </row>
    <row r="255" spans="1:10" ht="27" customHeight="1">
      <c r="H255" s="2373" t="s">
        <v>870</v>
      </c>
      <c r="I255" s="2374"/>
    </row>
    <row r="256" spans="1:10" ht="27" customHeight="1">
      <c r="H256" s="2373" t="s">
        <v>2142</v>
      </c>
      <c r="I256" s="2374"/>
    </row>
    <row r="257" spans="8:9" ht="27" customHeight="1">
      <c r="H257" s="2367" t="s">
        <v>871</v>
      </c>
      <c r="I257" s="2368"/>
    </row>
    <row r="258" spans="8:9" ht="42" customHeight="1">
      <c r="H258" s="2367" t="s">
        <v>2143</v>
      </c>
      <c r="I258" s="2368"/>
    </row>
    <row r="259" spans="8:9" ht="27" customHeight="1">
      <c r="H259" s="2367" t="s">
        <v>872</v>
      </c>
      <c r="I259" s="2368"/>
    </row>
    <row r="260" spans="8:9" ht="27" customHeight="1">
      <c r="H260" s="2367" t="s">
        <v>834</v>
      </c>
      <c r="I260" s="2368"/>
    </row>
    <row r="261" spans="8:9" ht="42" customHeight="1">
      <c r="H261" s="2553" t="s">
        <v>2144</v>
      </c>
      <c r="I261" s="2554"/>
    </row>
    <row r="262" spans="8:9" ht="27" customHeight="1">
      <c r="H262" s="2367" t="s">
        <v>835</v>
      </c>
      <c r="I262" s="2368"/>
    </row>
    <row r="263" spans="8:9" ht="27" customHeight="1">
      <c r="H263" s="2367" t="s">
        <v>837</v>
      </c>
      <c r="I263" s="2368"/>
    </row>
    <row r="264" spans="8:9" ht="27" customHeight="1">
      <c r="H264" s="2551" t="s">
        <v>873</v>
      </c>
      <c r="I264" s="2552"/>
    </row>
    <row r="265" spans="8:9" ht="27" customHeight="1">
      <c r="H265" s="2367" t="s">
        <v>852</v>
      </c>
      <c r="I265" s="2368"/>
    </row>
    <row r="266" spans="8:9" ht="27" customHeight="1">
      <c r="H266" s="2367" t="s">
        <v>874</v>
      </c>
      <c r="I266" s="2368"/>
    </row>
    <row r="267" spans="8:9" ht="27" customHeight="1">
      <c r="H267" s="2373" t="s">
        <v>875</v>
      </c>
      <c r="I267" s="2374"/>
    </row>
    <row r="268" spans="8:9" ht="27" customHeight="1">
      <c r="H268" s="2373" t="s">
        <v>2145</v>
      </c>
      <c r="I268" s="2374"/>
    </row>
    <row r="269" spans="8:9" ht="42" customHeight="1">
      <c r="H269" s="2367" t="s">
        <v>876</v>
      </c>
      <c r="I269" s="2368"/>
    </row>
    <row r="270" spans="8:9" ht="27" customHeight="1">
      <c r="H270" s="2367" t="s">
        <v>2146</v>
      </c>
      <c r="I270" s="2368"/>
    </row>
    <row r="271" spans="8:9" ht="27" customHeight="1">
      <c r="H271" s="2373" t="s">
        <v>877</v>
      </c>
      <c r="I271" s="2374"/>
    </row>
    <row r="272" spans="8:9" ht="27" customHeight="1">
      <c r="H272" s="2367" t="s">
        <v>839</v>
      </c>
      <c r="I272" s="2368"/>
    </row>
    <row r="273" spans="8:9" ht="27" customHeight="1">
      <c r="H273" s="2367" t="s">
        <v>878</v>
      </c>
      <c r="I273" s="2368"/>
    </row>
    <row r="274" spans="8:9" ht="27" customHeight="1">
      <c r="H274" s="2373" t="s">
        <v>1311</v>
      </c>
      <c r="I274" s="2374"/>
    </row>
    <row r="275" spans="8:9" ht="27" customHeight="1">
      <c r="H275" s="2367" t="s">
        <v>926</v>
      </c>
      <c r="I275" s="2368"/>
    </row>
    <row r="276" spans="8:9" ht="42" customHeight="1">
      <c r="H276" s="2367" t="s">
        <v>879</v>
      </c>
      <c r="I276" s="2368"/>
    </row>
    <row r="277" spans="8:9" ht="42" customHeight="1" thickBot="1">
      <c r="H277" s="2369" t="s">
        <v>880</v>
      </c>
      <c r="I277" s="2370"/>
    </row>
  </sheetData>
  <sheetProtection password="C74A" sheet="1" objects="1" scenarios="1" formatCells="0" formatColumns="0" formatRows="0"/>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226">
    <mergeCell ref="H262:I262"/>
    <mergeCell ref="H263:I263"/>
    <mergeCell ref="H264:I264"/>
    <mergeCell ref="H265:I265"/>
    <mergeCell ref="H266:I266"/>
    <mergeCell ref="H267:I267"/>
    <mergeCell ref="H253:I253"/>
    <mergeCell ref="H254:I254"/>
    <mergeCell ref="H255:I255"/>
    <mergeCell ref="H256:I256"/>
    <mergeCell ref="H257:I257"/>
    <mergeCell ref="H258:I258"/>
    <mergeCell ref="H277:I277"/>
    <mergeCell ref="A156:A162"/>
    <mergeCell ref="A164:A168"/>
    <mergeCell ref="A169:A173"/>
    <mergeCell ref="A218:I218"/>
    <mergeCell ref="A227:I227"/>
    <mergeCell ref="H268:I268"/>
    <mergeCell ref="H269:I269"/>
    <mergeCell ref="H270:I270"/>
    <mergeCell ref="H271:I271"/>
    <mergeCell ref="H272:I272"/>
    <mergeCell ref="H273:I273"/>
    <mergeCell ref="H274:I274"/>
    <mergeCell ref="H275:I275"/>
    <mergeCell ref="H276:I276"/>
    <mergeCell ref="H259:I259"/>
    <mergeCell ref="H260:I260"/>
    <mergeCell ref="H261:I261"/>
    <mergeCell ref="H244:I244"/>
    <mergeCell ref="H245:I245"/>
    <mergeCell ref="H246:I246"/>
    <mergeCell ref="H247:I247"/>
    <mergeCell ref="H248:I248"/>
    <mergeCell ref="H249:I249"/>
    <mergeCell ref="H233:I233"/>
    <mergeCell ref="H234:I234"/>
    <mergeCell ref="H250:I250"/>
    <mergeCell ref="H251:I251"/>
    <mergeCell ref="H252:I252"/>
    <mergeCell ref="H235:I235"/>
    <mergeCell ref="H236:I236"/>
    <mergeCell ref="H237:I237"/>
    <mergeCell ref="H238:I238"/>
    <mergeCell ref="H239:I239"/>
    <mergeCell ref="H240:I240"/>
    <mergeCell ref="H241:I241"/>
    <mergeCell ref="H242:I242"/>
    <mergeCell ref="H243:I243"/>
    <mergeCell ref="H225:I225"/>
    <mergeCell ref="H226:I226"/>
    <mergeCell ref="H228:I228"/>
    <mergeCell ref="H229:I229"/>
    <mergeCell ref="H230:I230"/>
    <mergeCell ref="H231:I231"/>
    <mergeCell ref="H232:I232"/>
    <mergeCell ref="I141:I147"/>
    <mergeCell ref="A34:A38"/>
    <mergeCell ref="I150:I155"/>
    <mergeCell ref="I156:I162"/>
    <mergeCell ref="I164:I168"/>
    <mergeCell ref="I169:I173"/>
    <mergeCell ref="I174:I178"/>
    <mergeCell ref="I179:I182"/>
    <mergeCell ref="I83:I87"/>
    <mergeCell ref="I94:I100"/>
    <mergeCell ref="I101:I107"/>
    <mergeCell ref="I108:I111"/>
    <mergeCell ref="I112:I117"/>
    <mergeCell ref="I118:I121"/>
    <mergeCell ref="I122:I127"/>
    <mergeCell ref="I128:I131"/>
    <mergeCell ref="I132:I135"/>
    <mergeCell ref="I136:I140"/>
    <mergeCell ref="I20:I26"/>
    <mergeCell ref="I27:I33"/>
    <mergeCell ref="I34:I38"/>
    <mergeCell ref="H34:H38"/>
    <mergeCell ref="H3:H6"/>
    <mergeCell ref="I40:I44"/>
    <mergeCell ref="I45:I49"/>
    <mergeCell ref="I50:I53"/>
    <mergeCell ref="I54:I57"/>
    <mergeCell ref="I58:I63"/>
    <mergeCell ref="I64:I70"/>
    <mergeCell ref="I88:I93"/>
    <mergeCell ref="I71:I76"/>
    <mergeCell ref="I77:I82"/>
    <mergeCell ref="H187:H192"/>
    <mergeCell ref="A208:A212"/>
    <mergeCell ref="B213:B216"/>
    <mergeCell ref="B187:B192"/>
    <mergeCell ref="B183:B186"/>
    <mergeCell ref="H199:H204"/>
    <mergeCell ref="H205:H207"/>
    <mergeCell ref="H208:H212"/>
    <mergeCell ref="B199:B204"/>
    <mergeCell ref="A213:A216"/>
    <mergeCell ref="B208:B212"/>
    <mergeCell ref="B205:B207"/>
    <mergeCell ref="A205:A207"/>
    <mergeCell ref="I183:I186"/>
    <mergeCell ref="I187:I192"/>
    <mergeCell ref="I194:I198"/>
    <mergeCell ref="I199:I204"/>
    <mergeCell ref="I205:I207"/>
    <mergeCell ref="I208:I212"/>
    <mergeCell ref="I213:I216"/>
    <mergeCell ref="A40:A44"/>
    <mergeCell ref="A183:A186"/>
    <mergeCell ref="A199:A204"/>
    <mergeCell ref="A187:A192"/>
    <mergeCell ref="H141:H147"/>
    <mergeCell ref="A141:A147"/>
    <mergeCell ref="H156:H162"/>
    <mergeCell ref="B156:B162"/>
    <mergeCell ref="H194:H198"/>
    <mergeCell ref="B164:B168"/>
    <mergeCell ref="H169:H173"/>
    <mergeCell ref="B122:B127"/>
    <mergeCell ref="A128:A131"/>
    <mergeCell ref="B194:B198"/>
    <mergeCell ref="A194:A198"/>
    <mergeCell ref="B83:B87"/>
    <mergeCell ref="H118:H121"/>
    <mergeCell ref="A50:A53"/>
    <mergeCell ref="A225:B226"/>
    <mergeCell ref="A64:A70"/>
    <mergeCell ref="A58:A63"/>
    <mergeCell ref="B58:B63"/>
    <mergeCell ref="A101:A107"/>
    <mergeCell ref="B101:B107"/>
    <mergeCell ref="C225:E225"/>
    <mergeCell ref="C226:E226"/>
    <mergeCell ref="D219:F219"/>
    <mergeCell ref="D220:F220"/>
    <mergeCell ref="D221:F221"/>
    <mergeCell ref="D222:F222"/>
    <mergeCell ref="D223:F223"/>
    <mergeCell ref="A83:A87"/>
    <mergeCell ref="A108:A111"/>
    <mergeCell ref="A132:A135"/>
    <mergeCell ref="A122:A127"/>
    <mergeCell ref="A219:C223"/>
    <mergeCell ref="A224:H224"/>
    <mergeCell ref="B169:B173"/>
    <mergeCell ref="H213:H216"/>
    <mergeCell ref="H174:H178"/>
    <mergeCell ref="H183:H186"/>
    <mergeCell ref="B34:B38"/>
    <mergeCell ref="H27:H33"/>
    <mergeCell ref="B128:B131"/>
    <mergeCell ref="B94:B100"/>
    <mergeCell ref="H45:H49"/>
    <mergeCell ref="H40:H44"/>
    <mergeCell ref="B50:B53"/>
    <mergeCell ref="B45:B49"/>
    <mergeCell ref="H77:H82"/>
    <mergeCell ref="B40:B44"/>
    <mergeCell ref="A77:A82"/>
    <mergeCell ref="H54:H57"/>
    <mergeCell ref="H58:H63"/>
    <mergeCell ref="A71:A76"/>
    <mergeCell ref="B71:B76"/>
    <mergeCell ref="A54:A57"/>
    <mergeCell ref="H132:H135"/>
    <mergeCell ref="B108:B111"/>
    <mergeCell ref="B179:B182"/>
    <mergeCell ref="A179:A182"/>
    <mergeCell ref="A174:A178"/>
    <mergeCell ref="H94:H100"/>
    <mergeCell ref="B54:B57"/>
    <mergeCell ref="H108:H111"/>
    <mergeCell ref="A112:A117"/>
    <mergeCell ref="B88:B93"/>
    <mergeCell ref="H164:H168"/>
    <mergeCell ref="H150:H155"/>
    <mergeCell ref="B132:B135"/>
    <mergeCell ref="B141:B147"/>
    <mergeCell ref="H179:H182"/>
    <mergeCell ref="B174:B178"/>
    <mergeCell ref="A27:A33"/>
    <mergeCell ref="A150:A155"/>
    <mergeCell ref="A136:A140"/>
    <mergeCell ref="H122:H127"/>
    <mergeCell ref="H128:H131"/>
    <mergeCell ref="B27:B33"/>
    <mergeCell ref="H112:H117"/>
    <mergeCell ref="B150:B155"/>
    <mergeCell ref="A88:A93"/>
    <mergeCell ref="B64:B70"/>
    <mergeCell ref="H64:H70"/>
    <mergeCell ref="H136:H140"/>
    <mergeCell ref="H101:H107"/>
    <mergeCell ref="B136:B140"/>
    <mergeCell ref="H83:H87"/>
    <mergeCell ref="H50:H53"/>
    <mergeCell ref="H88:H93"/>
    <mergeCell ref="B112:B117"/>
    <mergeCell ref="A45:A49"/>
    <mergeCell ref="A118:A121"/>
    <mergeCell ref="A94:A100"/>
    <mergeCell ref="B118:B121"/>
    <mergeCell ref="H71:H76"/>
    <mergeCell ref="B77:B82"/>
    <mergeCell ref="A1:B1"/>
    <mergeCell ref="A20:A26"/>
    <mergeCell ref="A3:A6"/>
    <mergeCell ref="B3:B6"/>
    <mergeCell ref="A16:A19"/>
    <mergeCell ref="H16:H19"/>
    <mergeCell ref="H11:H15"/>
    <mergeCell ref="A11:A15"/>
    <mergeCell ref="B11:B15"/>
    <mergeCell ref="B16:B19"/>
    <mergeCell ref="B7:B10"/>
    <mergeCell ref="A7:A10"/>
    <mergeCell ref="H7:H10"/>
    <mergeCell ref="E1:I1"/>
    <mergeCell ref="I3:I6"/>
    <mergeCell ref="I7:I10"/>
    <mergeCell ref="B20:B26"/>
    <mergeCell ref="H20:H26"/>
    <mergeCell ref="I11:I15"/>
    <mergeCell ref="I16:I19"/>
  </mergeCells>
  <phoneticPr fontId="2" type="noConversion"/>
  <pageMargins left="0.75" right="0.75" top="1" bottom="1" header="0.5" footer="0.5"/>
  <pageSetup orientation="portrait" horizontalDpi="300" verticalDpi="300" r:id="rId2"/>
  <headerFooter alignWithMargins="0"/>
  <ignoredErrors>
    <ignoredError sqref="G40" formulaRange="1"/>
  </ignoredErrors>
</worksheet>
</file>

<file path=xl/worksheets/sheet12.xml><?xml version="1.0" encoding="utf-8"?>
<worksheet xmlns="http://schemas.openxmlformats.org/spreadsheetml/2006/main" xmlns:r="http://schemas.openxmlformats.org/officeDocument/2006/relationships">
  <sheetPr codeName="Sheet10"/>
  <dimension ref="A1:J192"/>
  <sheetViews>
    <sheetView zoomScaleNormal="100" workbookViewId="0">
      <selection sqref="A1:B1"/>
    </sheetView>
  </sheetViews>
  <sheetFormatPr defaultColWidth="9.33203125" defaultRowHeight="13.8"/>
  <cols>
    <col min="1" max="1" width="5.77734375" style="33" customWidth="1"/>
    <col min="2" max="2" width="18.77734375" style="8" customWidth="1"/>
    <col min="3" max="3" width="69.77734375" style="7" customWidth="1"/>
    <col min="4" max="6" width="6.77734375" style="157" customWidth="1"/>
    <col min="7" max="7" width="9.77734375" style="156" customWidth="1"/>
    <col min="8" max="8" width="69.77734375" style="24" customWidth="1"/>
    <col min="9" max="9" width="11.77734375" style="8" customWidth="1"/>
    <col min="10" max="10" width="9.33203125" style="138"/>
    <col min="11" max="16384" width="9.33203125" style="7"/>
  </cols>
  <sheetData>
    <row r="1" spans="1:10" ht="84" customHeight="1" thickBot="1">
      <c r="A1" s="2386" t="s">
        <v>1236</v>
      </c>
      <c r="B1" s="2581"/>
      <c r="C1" s="124" t="s">
        <v>1816</v>
      </c>
      <c r="D1" s="149" t="s">
        <v>1237</v>
      </c>
      <c r="E1" s="2579"/>
      <c r="F1" s="2580"/>
      <c r="G1" s="2580"/>
      <c r="H1" s="2580"/>
      <c r="I1" s="2580"/>
    </row>
    <row r="2" spans="1:10" s="138" customFormat="1" ht="36" customHeight="1" thickBot="1">
      <c r="A2" s="1595" t="s">
        <v>168</v>
      </c>
      <c r="B2" s="1555" t="s">
        <v>1381</v>
      </c>
      <c r="C2" s="1596" t="s">
        <v>1354</v>
      </c>
      <c r="D2" s="1555" t="s">
        <v>64</v>
      </c>
      <c r="E2" s="1668" t="s">
        <v>1383</v>
      </c>
      <c r="F2" s="1669" t="s">
        <v>1384</v>
      </c>
      <c r="G2" s="1670" t="s">
        <v>1293</v>
      </c>
      <c r="H2" s="1555" t="s">
        <v>1294</v>
      </c>
      <c r="I2" s="1648" t="s">
        <v>2622</v>
      </c>
    </row>
    <row r="3" spans="1:10" ht="30" customHeight="1" thickBot="1">
      <c r="A3" s="2329" t="str">
        <f>OF!A129</f>
        <v>OF28</v>
      </c>
      <c r="B3" s="2341" t="str">
        <f>OF!B129</f>
        <v>Growing Degree Days</v>
      </c>
      <c r="C3" s="170" t="str">
        <f>OF!C129</f>
        <v>According to Figure A-1 in Appendix A of the Manual, the mean annual Growing Degree Days (GDD) in the vicinity of the AA is approximately:</v>
      </c>
      <c r="D3" s="367"/>
      <c r="E3" s="367"/>
      <c r="F3" s="368"/>
      <c r="G3" s="584">
        <f>MAX(F4:F9)/MAX(E4:E9)</f>
        <v>0</v>
      </c>
      <c r="H3" s="2146" t="s">
        <v>1817</v>
      </c>
      <c r="I3" s="2148" t="s">
        <v>1187</v>
      </c>
    </row>
    <row r="4" spans="1:10" ht="15" customHeight="1">
      <c r="A4" s="2329"/>
      <c r="B4" s="2341"/>
      <c r="C4" s="170" t="str">
        <f>OF!C130</f>
        <v>800-1000 days</v>
      </c>
      <c r="D4" s="261">
        <f>OF!D130</f>
        <v>0</v>
      </c>
      <c r="E4" s="369">
        <v>6</v>
      </c>
      <c r="F4" s="370">
        <f t="shared" ref="F4:F9" si="0">D4*E4</f>
        <v>0</v>
      </c>
      <c r="G4" s="578"/>
      <c r="H4" s="2146"/>
      <c r="I4" s="2146"/>
    </row>
    <row r="5" spans="1:10" ht="15" customHeight="1">
      <c r="A5" s="2329"/>
      <c r="B5" s="2341"/>
      <c r="C5" s="82" t="str">
        <f>OF!C131</f>
        <v>1000-1200</v>
      </c>
      <c r="D5" s="245">
        <f>OF!D131</f>
        <v>0</v>
      </c>
      <c r="E5" s="369">
        <v>5</v>
      </c>
      <c r="F5" s="370">
        <f t="shared" si="0"/>
        <v>0</v>
      </c>
      <c r="G5" s="578"/>
      <c r="H5" s="2146"/>
      <c r="I5" s="2146"/>
    </row>
    <row r="6" spans="1:10" ht="15" customHeight="1">
      <c r="A6" s="2329"/>
      <c r="B6" s="2341"/>
      <c r="C6" s="82" t="str">
        <f>OF!C132</f>
        <v>1200-1400</v>
      </c>
      <c r="D6" s="245">
        <f>OF!D132</f>
        <v>0</v>
      </c>
      <c r="E6" s="369">
        <v>4</v>
      </c>
      <c r="F6" s="370">
        <f t="shared" si="0"/>
        <v>0</v>
      </c>
      <c r="G6" s="578"/>
      <c r="H6" s="2146"/>
      <c r="I6" s="2146"/>
    </row>
    <row r="7" spans="1:10" ht="15" customHeight="1">
      <c r="A7" s="2329"/>
      <c r="B7" s="2341"/>
      <c r="C7" s="82" t="str">
        <f>OF!C133</f>
        <v>1400-1600</v>
      </c>
      <c r="D7" s="245">
        <f>OF!D133</f>
        <v>0</v>
      </c>
      <c r="E7" s="369">
        <v>3</v>
      </c>
      <c r="F7" s="370">
        <f t="shared" si="0"/>
        <v>0</v>
      </c>
      <c r="G7" s="578"/>
      <c r="H7" s="2146"/>
      <c r="I7" s="2146"/>
    </row>
    <row r="8" spans="1:10" ht="15" customHeight="1">
      <c r="A8" s="2329"/>
      <c r="B8" s="2341"/>
      <c r="C8" s="82" t="str">
        <f>OF!C134</f>
        <v>1600-1800</v>
      </c>
      <c r="D8" s="245">
        <f>OF!D134</f>
        <v>0</v>
      </c>
      <c r="E8" s="369">
        <v>2</v>
      </c>
      <c r="F8" s="370">
        <f t="shared" si="0"/>
        <v>0</v>
      </c>
      <c r="G8" s="579"/>
      <c r="H8" s="2146"/>
      <c r="I8" s="2146"/>
    </row>
    <row r="9" spans="1:10" ht="15" customHeight="1" thickBot="1">
      <c r="A9" s="2330"/>
      <c r="B9" s="2342"/>
      <c r="C9" s="438" t="str">
        <f>OF!C135</f>
        <v>&gt;1800 days</v>
      </c>
      <c r="D9" s="246">
        <f>OF!D135</f>
        <v>0</v>
      </c>
      <c r="E9" s="580">
        <v>1</v>
      </c>
      <c r="F9" s="581">
        <f t="shared" si="0"/>
        <v>0</v>
      </c>
      <c r="G9" s="582"/>
      <c r="H9" s="2149"/>
      <c r="I9" s="2149"/>
    </row>
    <row r="10" spans="1:10" s="8" customFormat="1" ht="21" customHeight="1" thickBot="1">
      <c r="A10" s="2148" t="str">
        <f>F!A4</f>
        <v>F1</v>
      </c>
      <c r="B10" s="2148" t="str">
        <f>F!B4</f>
        <v>Wetland Type</v>
      </c>
      <c r="C10" s="436" t="str">
        <f>F!C4</f>
        <v>The vegetated part of the Assessment Area (AA) is mostly a (select ONE):</v>
      </c>
      <c r="D10" s="576"/>
      <c r="E10" s="365"/>
      <c r="F10" s="366"/>
      <c r="G10" s="537">
        <f>MAX(F11:F14)/MAX(E11:E14)</f>
        <v>0</v>
      </c>
      <c r="H10" s="2148" t="s">
        <v>1818</v>
      </c>
      <c r="I10" s="2148" t="s">
        <v>632</v>
      </c>
      <c r="J10" s="163"/>
    </row>
    <row r="11" spans="1:10" s="8" customFormat="1" ht="57" customHeight="1">
      <c r="A11" s="2146"/>
      <c r="B11" s="2146"/>
      <c r="C11" s="30"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11" s="256">
        <f>F!D5</f>
        <v>0</v>
      </c>
      <c r="E11" s="361">
        <v>3</v>
      </c>
      <c r="F11" s="361">
        <f>D11*E11</f>
        <v>0</v>
      </c>
      <c r="G11" s="629"/>
      <c r="H11" s="2146"/>
      <c r="I11" s="2146"/>
      <c r="J11" s="163"/>
    </row>
    <row r="12" spans="1:10" s="8" customFormat="1" ht="57" customHeight="1">
      <c r="A12" s="2146"/>
      <c r="B12" s="2146"/>
      <c r="C12" s="6"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12" s="247">
        <f>F!D6</f>
        <v>0</v>
      </c>
      <c r="E12" s="361">
        <v>4</v>
      </c>
      <c r="F12" s="361">
        <f>D12*E12</f>
        <v>0</v>
      </c>
      <c r="G12" s="639"/>
      <c r="H12" s="2146"/>
      <c r="I12" s="2146"/>
      <c r="J12" s="163"/>
    </row>
    <row r="13" spans="1:10" s="8" customFormat="1" ht="69" customHeight="1">
      <c r="A13" s="2146"/>
      <c r="B13" s="2146"/>
      <c r="C13" s="6"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13" s="247">
        <f>F!D7</f>
        <v>0</v>
      </c>
      <c r="E13" s="361">
        <v>2</v>
      </c>
      <c r="F13" s="386">
        <f>D13*E13</f>
        <v>0</v>
      </c>
      <c r="G13" s="630"/>
      <c r="H13" s="2146"/>
      <c r="I13" s="2146"/>
      <c r="J13" s="163"/>
    </row>
    <row r="14" spans="1:10" s="8" customFormat="1" ht="69" customHeight="1" thickBot="1">
      <c r="A14" s="2149"/>
      <c r="B14" s="2149"/>
      <c r="C14" s="194"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14" s="248">
        <f>F!D8</f>
        <v>0</v>
      </c>
      <c r="E14" s="362">
        <v>1</v>
      </c>
      <c r="F14" s="362">
        <f>D14*E14</f>
        <v>0</v>
      </c>
      <c r="G14" s="631"/>
      <c r="H14" s="2149"/>
      <c r="I14" s="2149"/>
      <c r="J14" s="163"/>
    </row>
    <row r="15" spans="1:10" ht="60" customHeight="1" thickBot="1">
      <c r="A15" s="81" t="str">
        <f>F!A14</f>
        <v>F3</v>
      </c>
      <c r="B15" s="81" t="str">
        <f>F!B14</f>
        <v>Woody Height &amp; Form Diversity</v>
      </c>
      <c r="C15" s="1069" t="str">
        <f>F!C14</f>
        <v xml:space="preserve">Following EACH row below, indicate with a number code (6 if &gt;95%, 5 if 75-95%, 4 if 50-75%, 3 if 25-50%, 2 if 5-25%, 1 if &lt;5%, 0 if none) the percentage of the vegetated AA occupied by that feature. If ALL are marked 0 or 1, SKIP to F9 (N fixers). </v>
      </c>
      <c r="D15" s="1167">
        <f>(6-MAX(F!D16, F!D18, F!D20))/6</f>
        <v>1</v>
      </c>
      <c r="E15" s="384"/>
      <c r="F15" s="384"/>
      <c r="G15" s="665" t="str">
        <f>IF((SUM(F!D15:D20)=0),"", D15)</f>
        <v/>
      </c>
      <c r="H15" s="164" t="s">
        <v>2290</v>
      </c>
      <c r="I15" s="5" t="s">
        <v>1334</v>
      </c>
    </row>
    <row r="16" spans="1:10" ht="45" customHeight="1" thickBot="1">
      <c r="A16" s="2201" t="str">
        <f>F!A21</f>
        <v>F4</v>
      </c>
      <c r="B16" s="2211" t="str">
        <f>F!B21</f>
        <v>Woody Diameter Classes</v>
      </c>
      <c r="C16" s="556" t="str">
        <f>F!C21</f>
        <v>Mark ALL the types that comprise &gt;5% of the woody canopy cover in the AA or &gt;5% of the wooded areas (if any) along its upland edge (perimeter).  The edge should include only the trees whose canopies extend into the AA.</v>
      </c>
      <c r="D16" s="367"/>
      <c r="E16" s="360"/>
      <c r="F16" s="363"/>
      <c r="G16" s="538" t="str">
        <f>IF((SUM(F!D15:D18)=0),"", ((SUM(D17:D24)/8)+(SUM(F17:F24)/12))/2)</f>
        <v/>
      </c>
      <c r="H16" s="2211" t="s">
        <v>2291</v>
      </c>
      <c r="I16" s="2148" t="s">
        <v>629</v>
      </c>
    </row>
    <row r="17" spans="1:9" ht="15" customHeight="1">
      <c r="A17" s="2201"/>
      <c r="B17" s="2211"/>
      <c r="C17" s="30" t="str">
        <f>F!C22</f>
        <v>coniferous, 1-9 cm diameter and &gt;1 m tall.</v>
      </c>
      <c r="D17" s="256">
        <f>F!D22</f>
        <v>0</v>
      </c>
      <c r="E17" s="361">
        <v>2</v>
      </c>
      <c r="F17" s="361">
        <f>D17*E17</f>
        <v>0</v>
      </c>
      <c r="G17" s="629"/>
      <c r="H17" s="2211"/>
      <c r="I17" s="2146"/>
    </row>
    <row r="18" spans="1:9" ht="15" customHeight="1">
      <c r="A18" s="2201"/>
      <c r="B18" s="2211"/>
      <c r="C18" s="6" t="str">
        <f>F!C23</f>
        <v>broad-leaved deciduous 1-9 cm diameter and &gt;1 m tall.</v>
      </c>
      <c r="D18" s="247">
        <f>F!D23</f>
        <v>0</v>
      </c>
      <c r="E18" s="361">
        <v>1</v>
      </c>
      <c r="F18" s="361">
        <f t="shared" ref="F18:F24" si="1">D18*E18</f>
        <v>0</v>
      </c>
      <c r="G18" s="630"/>
      <c r="H18" s="2211"/>
      <c r="I18" s="2146"/>
    </row>
    <row r="19" spans="1:9" ht="15" customHeight="1">
      <c r="A19" s="2201"/>
      <c r="B19" s="2211"/>
      <c r="C19" s="6" t="str">
        <f>F!C24</f>
        <v>coniferous, 10-19 cm diameter.</v>
      </c>
      <c r="D19" s="247">
        <f>F!D24</f>
        <v>0</v>
      </c>
      <c r="E19" s="361">
        <v>2</v>
      </c>
      <c r="F19" s="361">
        <f t="shared" si="1"/>
        <v>0</v>
      </c>
      <c r="G19" s="630"/>
      <c r="H19" s="2211"/>
      <c r="I19" s="2146"/>
    </row>
    <row r="20" spans="1:9" ht="15" customHeight="1">
      <c r="A20" s="2201"/>
      <c r="B20" s="2211"/>
      <c r="C20" s="6" t="str">
        <f>F!C25</f>
        <v>broad-leaved deciduous 10-19 cm diameter.</v>
      </c>
      <c r="D20" s="247">
        <f>F!D25</f>
        <v>0</v>
      </c>
      <c r="E20" s="361">
        <v>1</v>
      </c>
      <c r="F20" s="361">
        <f t="shared" si="1"/>
        <v>0</v>
      </c>
      <c r="G20" s="630"/>
      <c r="H20" s="2211"/>
      <c r="I20" s="2146"/>
    </row>
    <row r="21" spans="1:9" ht="15" customHeight="1">
      <c r="A21" s="2201"/>
      <c r="B21" s="2211"/>
      <c r="C21" s="6" t="str">
        <f>F!C26</f>
        <v>coniferous, 20-40 cm diameter.</v>
      </c>
      <c r="D21" s="247">
        <f>F!D26</f>
        <v>0</v>
      </c>
      <c r="E21" s="361">
        <v>2</v>
      </c>
      <c r="F21" s="361">
        <f t="shared" si="1"/>
        <v>0</v>
      </c>
      <c r="G21" s="630"/>
      <c r="H21" s="2211"/>
      <c r="I21" s="2146"/>
    </row>
    <row r="22" spans="1:9" ht="15" customHeight="1">
      <c r="A22" s="2201"/>
      <c r="B22" s="2211"/>
      <c r="C22" s="6" t="str">
        <f>F!C27</f>
        <v>broad-leaved deciduous 20-40 cm diameter.</v>
      </c>
      <c r="D22" s="247">
        <f>F!D27</f>
        <v>0</v>
      </c>
      <c r="E22" s="361">
        <v>1</v>
      </c>
      <c r="F22" s="361">
        <f t="shared" si="1"/>
        <v>0</v>
      </c>
      <c r="G22" s="630"/>
      <c r="H22" s="2211"/>
      <c r="I22" s="2146"/>
    </row>
    <row r="23" spans="1:9" ht="15" customHeight="1">
      <c r="A23" s="2201"/>
      <c r="B23" s="2211"/>
      <c r="C23" s="6" t="str">
        <f>F!C28</f>
        <v>coniferous, &gt;40 cm diameter.</v>
      </c>
      <c r="D23" s="247">
        <f>F!D28</f>
        <v>0</v>
      </c>
      <c r="E23" s="361">
        <v>2</v>
      </c>
      <c r="F23" s="361">
        <f t="shared" si="1"/>
        <v>0</v>
      </c>
      <c r="G23" s="630"/>
      <c r="H23" s="2211"/>
      <c r="I23" s="2146"/>
    </row>
    <row r="24" spans="1:9" ht="15" customHeight="1" thickBot="1">
      <c r="A24" s="2317"/>
      <c r="B24" s="2420"/>
      <c r="C24" s="194" t="str">
        <f>F!C29</f>
        <v>broad-leaved deciduous &gt;40 cm diameter.</v>
      </c>
      <c r="D24" s="248">
        <f>F!D29</f>
        <v>0</v>
      </c>
      <c r="E24" s="362">
        <v>1</v>
      </c>
      <c r="F24" s="362">
        <f t="shared" si="1"/>
        <v>0</v>
      </c>
      <c r="G24" s="631"/>
      <c r="H24" s="2420"/>
      <c r="I24" s="2149"/>
    </row>
    <row r="25" spans="1:9" ht="30" customHeight="1" thickBot="1">
      <c r="A25" s="2151" t="str">
        <f>F!A51</f>
        <v>F10</v>
      </c>
      <c r="B25" s="2146" t="str">
        <f>F!B51</f>
        <v>Sphagnum Moss Extent</v>
      </c>
      <c r="C25" s="556" t="str">
        <f>F!C51</f>
        <v>Within the part of the AA that lacks persistent surface water, the cover of moss, whether or not supporting sedges and other plants rooted in it, is:</v>
      </c>
      <c r="D25" s="367"/>
      <c r="E25" s="379"/>
      <c r="F25" s="629"/>
      <c r="G25" s="538">
        <f>MAX(F26:F30)/MAX(E26:E30)</f>
        <v>0</v>
      </c>
      <c r="H25" s="2146" t="s">
        <v>1888</v>
      </c>
      <c r="I25" s="2148" t="s">
        <v>626</v>
      </c>
    </row>
    <row r="26" spans="1:9" ht="15" customHeight="1">
      <c r="A26" s="2151"/>
      <c r="B26" s="2146"/>
      <c r="C26" s="30" t="str">
        <f>F!C52</f>
        <v xml:space="preserve">&lt;5% of the vegetated part of the AA. </v>
      </c>
      <c r="D26" s="282">
        <f>F!D52</f>
        <v>0</v>
      </c>
      <c r="E26" s="377">
        <v>1</v>
      </c>
      <c r="F26" s="361">
        <f>D26*E26</f>
        <v>0</v>
      </c>
      <c r="G26" s="629"/>
      <c r="H26" s="2146"/>
      <c r="I26" s="2146"/>
    </row>
    <row r="27" spans="1:9" ht="15" customHeight="1">
      <c r="A27" s="2151"/>
      <c r="B27" s="2146"/>
      <c r="C27" s="6" t="str">
        <f>F!C53</f>
        <v>5-25% of the vegetated part of the AA.</v>
      </c>
      <c r="D27" s="283">
        <f>F!D53</f>
        <v>0</v>
      </c>
      <c r="E27" s="377">
        <v>2</v>
      </c>
      <c r="F27" s="361">
        <f>D27*E27</f>
        <v>0</v>
      </c>
      <c r="G27" s="630"/>
      <c r="H27" s="2146"/>
      <c r="I27" s="2146"/>
    </row>
    <row r="28" spans="1:9" ht="15" customHeight="1">
      <c r="A28" s="2151"/>
      <c r="B28" s="2146"/>
      <c r="C28" s="6" t="str">
        <f>F!C54</f>
        <v>25-50% of the vegetated part of the AA.</v>
      </c>
      <c r="D28" s="283">
        <f>F!D54</f>
        <v>0</v>
      </c>
      <c r="E28" s="377">
        <v>3</v>
      </c>
      <c r="F28" s="361">
        <f>D28*E28</f>
        <v>0</v>
      </c>
      <c r="G28" s="630"/>
      <c r="H28" s="2146"/>
      <c r="I28" s="2146"/>
    </row>
    <row r="29" spans="1:9" ht="15" customHeight="1">
      <c r="A29" s="2151"/>
      <c r="B29" s="2146"/>
      <c r="C29" s="6" t="str">
        <f>F!C55</f>
        <v>50-95% of the vegetated part of the AA.</v>
      </c>
      <c r="D29" s="283">
        <f>F!D55</f>
        <v>0</v>
      </c>
      <c r="E29" s="377">
        <v>4</v>
      </c>
      <c r="F29" s="361">
        <f>D29*E29</f>
        <v>0</v>
      </c>
      <c r="G29" s="630"/>
      <c r="H29" s="2146"/>
      <c r="I29" s="2146"/>
    </row>
    <row r="30" spans="1:9" ht="15" customHeight="1" thickBot="1">
      <c r="A30" s="2152"/>
      <c r="B30" s="2149"/>
      <c r="C30" s="194" t="str">
        <f>F!C56</f>
        <v>&gt;95% of the vegetated part of the AA.</v>
      </c>
      <c r="D30" s="284">
        <f>F!D56</f>
        <v>0</v>
      </c>
      <c r="E30" s="378">
        <v>5</v>
      </c>
      <c r="F30" s="362">
        <f>D30*E30</f>
        <v>0</v>
      </c>
      <c r="G30" s="631"/>
      <c r="H30" s="2149"/>
      <c r="I30" s="2149"/>
    </row>
    <row r="31" spans="1:9" ht="45" customHeight="1" thickBot="1">
      <c r="A31" s="2150" t="str">
        <f>F!A71</f>
        <v>F14</v>
      </c>
      <c r="B31" s="2148" t="str">
        <f>F!B71</f>
        <v>Soil Texture</v>
      </c>
      <c r="C31" s="436" t="str">
        <f>F!C71</f>
        <v xml:space="preserve">In parts of the AA that lack persistent water, the texture of soil in the uppermost layer is mostly:  [To determine this, use a trowel to check in at least 3 widely spaced locations, and use the soil texture key (Figure A-7 in the Manual. ] </v>
      </c>
      <c r="D31" s="367"/>
      <c r="E31" s="365"/>
      <c r="F31" s="366"/>
      <c r="G31" s="537">
        <f>MAX(F32:F36)/MAX(E32:E36)</f>
        <v>0</v>
      </c>
      <c r="H31" s="2148" t="s">
        <v>1886</v>
      </c>
      <c r="I31" s="2148" t="s">
        <v>630</v>
      </c>
    </row>
    <row r="32" spans="1:9" ht="15" customHeight="1">
      <c r="A32" s="2151"/>
      <c r="B32" s="2146"/>
      <c r="C32" s="30" t="str">
        <f>F!C72</f>
        <v>Loamy: includes loam, sandy loam.</v>
      </c>
      <c r="D32" s="256">
        <f>F!D72</f>
        <v>0</v>
      </c>
      <c r="E32" s="361">
        <v>2</v>
      </c>
      <c r="F32" s="361">
        <f>D32*E32</f>
        <v>0</v>
      </c>
      <c r="G32" s="629"/>
      <c r="H32" s="2146"/>
      <c r="I32" s="2146"/>
    </row>
    <row r="33" spans="1:9" ht="27" customHeight="1">
      <c r="A33" s="2151"/>
      <c r="B33" s="2146"/>
      <c r="C33" s="6" t="str">
        <f>F!C73</f>
        <v>Fines: includes silt, clay, clay loam, silty clay, silty clay loam, sandy clay, sandy clay loam.</v>
      </c>
      <c r="D33" s="247">
        <f>F!D73</f>
        <v>0</v>
      </c>
      <c r="E33" s="361">
        <v>1</v>
      </c>
      <c r="F33" s="361">
        <f>D33*E33</f>
        <v>0</v>
      </c>
      <c r="G33" s="630"/>
      <c r="H33" s="2146"/>
      <c r="I33" s="2146"/>
    </row>
    <row r="34" spans="1:9" ht="15" customHeight="1">
      <c r="A34" s="2151"/>
      <c r="B34" s="2146"/>
      <c r="C34" s="6" t="str">
        <f>F!C74</f>
        <v>Peat, to 40 cm depth or greater.</v>
      </c>
      <c r="D34" s="247">
        <f>F!D74</f>
        <v>0</v>
      </c>
      <c r="E34" s="361">
        <v>4</v>
      </c>
      <c r="F34" s="361">
        <f>D34*E34</f>
        <v>0</v>
      </c>
      <c r="G34" s="630"/>
      <c r="H34" s="2146"/>
      <c r="I34" s="2146"/>
    </row>
    <row r="35" spans="1:9" ht="15" customHeight="1">
      <c r="A35" s="2151"/>
      <c r="B35" s="2146"/>
      <c r="C35" s="6" t="str">
        <f>F!C75</f>
        <v xml:space="preserve">Peat or organic &lt;40 cm deep. </v>
      </c>
      <c r="D35" s="247">
        <f>F!D75</f>
        <v>0</v>
      </c>
      <c r="E35" s="361">
        <v>5</v>
      </c>
      <c r="F35" s="361">
        <f>D35*E35</f>
        <v>0</v>
      </c>
      <c r="G35" s="639"/>
      <c r="H35" s="2146"/>
      <c r="I35" s="2146"/>
    </row>
    <row r="36" spans="1:9" ht="27" customHeight="1" thickBot="1">
      <c r="A36" s="2152"/>
      <c r="B36" s="2149"/>
      <c r="C36" s="194" t="str">
        <f>F!C76</f>
        <v>Coarse: includes sand, loamy sand, gravel, cobble, stones, boulders, fluvents, fluvaquents, riverwash.</v>
      </c>
      <c r="D36" s="248">
        <f>F!D76</f>
        <v>0</v>
      </c>
      <c r="E36" s="362">
        <v>0</v>
      </c>
      <c r="F36" s="362">
        <f>D36*E36</f>
        <v>0</v>
      </c>
      <c r="G36" s="631"/>
      <c r="H36" s="2149"/>
      <c r="I36" s="2149"/>
    </row>
    <row r="37" spans="1:9" ht="21" customHeight="1" thickBot="1">
      <c r="A37" s="2150" t="str">
        <f>F!A94</f>
        <v>F18</v>
      </c>
      <c r="B37" s="2148" t="str">
        <f>F!B94</f>
        <v xml:space="preserve">Sedge Cover </v>
      </c>
      <c r="C37" s="436" t="str">
        <f>F!C94</f>
        <v>Sedges (Carex spp.) occupy:</v>
      </c>
      <c r="D37" s="576"/>
      <c r="E37" s="365"/>
      <c r="F37" s="366"/>
      <c r="G37" s="537">
        <f>IF((NoHerbCov=1),"",IF((AllForbCov=1),"",MAX(F38:F41)/MAX(E38:E41)))</f>
        <v>0</v>
      </c>
      <c r="H37" s="2148" t="s">
        <v>2147</v>
      </c>
      <c r="I37" s="2148" t="s">
        <v>1188</v>
      </c>
    </row>
    <row r="38" spans="1:9" ht="18" customHeight="1">
      <c r="A38" s="2151"/>
      <c r="B38" s="2146"/>
      <c r="C38" s="552" t="str">
        <f>F!C95</f>
        <v>&lt;5% of the vegetated area, or none.</v>
      </c>
      <c r="D38" s="354">
        <f>F!D95</f>
        <v>0</v>
      </c>
      <c r="E38" s="361">
        <v>3</v>
      </c>
      <c r="F38" s="361">
        <f>D38*E38</f>
        <v>0</v>
      </c>
      <c r="G38" s="386"/>
      <c r="H38" s="2146"/>
      <c r="I38" s="2146"/>
    </row>
    <row r="39" spans="1:9" ht="18" customHeight="1">
      <c r="A39" s="2151"/>
      <c r="B39" s="2146"/>
      <c r="C39" s="437" t="str">
        <f>F!C96</f>
        <v>5-50% of the vegetated area.</v>
      </c>
      <c r="D39" s="254">
        <f>F!D96</f>
        <v>0</v>
      </c>
      <c r="E39" s="361">
        <v>2</v>
      </c>
      <c r="F39" s="361">
        <f>D39*E39</f>
        <v>0</v>
      </c>
      <c r="G39" s="386"/>
      <c r="H39" s="2146"/>
      <c r="I39" s="2146"/>
    </row>
    <row r="40" spans="1:9" ht="18" customHeight="1">
      <c r="A40" s="2151"/>
      <c r="B40" s="2146"/>
      <c r="C40" s="437" t="str">
        <f>F!C97</f>
        <v>50-95% of the vegetated area.</v>
      </c>
      <c r="D40" s="254">
        <f>F!D97</f>
        <v>0</v>
      </c>
      <c r="E40" s="361">
        <v>1</v>
      </c>
      <c r="F40" s="361">
        <f>D40*E40</f>
        <v>0</v>
      </c>
      <c r="G40" s="386"/>
      <c r="H40" s="2146"/>
      <c r="I40" s="2146"/>
    </row>
    <row r="41" spans="1:9" ht="18" customHeight="1" thickBot="1">
      <c r="A41" s="2152"/>
      <c r="B41" s="2149"/>
      <c r="C41" s="194" t="str">
        <f>F!C98</f>
        <v>&gt;95% of the vegetated area.</v>
      </c>
      <c r="D41" s="248">
        <f>F!D98</f>
        <v>0</v>
      </c>
      <c r="E41" s="362">
        <v>0</v>
      </c>
      <c r="F41" s="362">
        <f>D41*E41</f>
        <v>0</v>
      </c>
      <c r="G41" s="390"/>
      <c r="H41" s="2149"/>
      <c r="I41" s="2149"/>
    </row>
    <row r="42" spans="1:9" ht="45" customHeight="1" thickBot="1">
      <c r="A42" s="2151" t="str">
        <f>F!A122</f>
        <v>F25</v>
      </c>
      <c r="B42" s="2146" t="str">
        <f>F!B122</f>
        <v>% of AA with Persistent Surface Water</v>
      </c>
      <c r="C42" s="556"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42" s="367"/>
      <c r="E42" s="360"/>
      <c r="F42" s="363"/>
      <c r="G42" s="538">
        <f>IF((AllSat1&gt;0),"", MAX(F43:F47)/MAX(E43:E47))</f>
        <v>0</v>
      </c>
      <c r="H42" s="2146" t="s">
        <v>2292</v>
      </c>
      <c r="I42" s="2148" t="s">
        <v>622</v>
      </c>
    </row>
    <row r="43" spans="1:9" ht="27" customHeight="1">
      <c r="A43" s="2151"/>
      <c r="B43" s="2146"/>
      <c r="C43" s="437" t="str">
        <f>F!C123</f>
        <v>none. The AA dries up completely (no water in channels either) or never has surface water during most years.</v>
      </c>
      <c r="D43" s="254">
        <f>F!D123</f>
        <v>0</v>
      </c>
      <c r="E43" s="360">
        <v>5</v>
      </c>
      <c r="F43" s="361">
        <f>D43*E43</f>
        <v>0</v>
      </c>
      <c r="G43" s="630"/>
      <c r="H43" s="2146"/>
      <c r="I43" s="2146"/>
    </row>
    <row r="44" spans="1:9" ht="15" customHeight="1">
      <c r="A44" s="2151"/>
      <c r="B44" s="2146"/>
      <c r="C44" s="437" t="str">
        <f>F!C124</f>
        <v>1-20% of the AA.</v>
      </c>
      <c r="D44" s="254">
        <f>F!D124</f>
        <v>0</v>
      </c>
      <c r="E44" s="637">
        <v>4</v>
      </c>
      <c r="F44" s="361">
        <f>D44*E44</f>
        <v>0</v>
      </c>
      <c r="G44" s="630"/>
      <c r="H44" s="2146"/>
      <c r="I44" s="2146"/>
    </row>
    <row r="45" spans="1:9" ht="15" customHeight="1">
      <c r="A45" s="2151"/>
      <c r="B45" s="2146"/>
      <c r="C45" s="437" t="str">
        <f>F!C125</f>
        <v>20-50% of the AA.</v>
      </c>
      <c r="D45" s="254">
        <f>F!D125</f>
        <v>0</v>
      </c>
      <c r="E45" s="637">
        <v>3</v>
      </c>
      <c r="F45" s="361">
        <f>D45*E45</f>
        <v>0</v>
      </c>
      <c r="G45" s="630"/>
      <c r="H45" s="2146"/>
      <c r="I45" s="2146"/>
    </row>
    <row r="46" spans="1:9" ht="15" customHeight="1">
      <c r="A46" s="2151"/>
      <c r="B46" s="2146"/>
      <c r="C46" s="437" t="str">
        <f>F!C126</f>
        <v>50-95% of the AA.</v>
      </c>
      <c r="D46" s="254">
        <f>F!D126</f>
        <v>0</v>
      </c>
      <c r="E46" s="637">
        <v>2</v>
      </c>
      <c r="F46" s="361">
        <f>D46*E46</f>
        <v>0</v>
      </c>
      <c r="G46" s="630"/>
      <c r="H46" s="2146"/>
      <c r="I46" s="2146"/>
    </row>
    <row r="47" spans="1:9" ht="15" customHeight="1" thickBot="1">
      <c r="A47" s="2152"/>
      <c r="B47" s="2149"/>
      <c r="C47" s="194" t="str">
        <f>F!C127</f>
        <v>&gt;95% of the AA. True for many fringe wetlands.</v>
      </c>
      <c r="D47" s="248">
        <f>F!D127</f>
        <v>0</v>
      </c>
      <c r="E47" s="640">
        <v>1</v>
      </c>
      <c r="F47" s="362">
        <f>D47*E47</f>
        <v>0</v>
      </c>
      <c r="G47" s="631"/>
      <c r="H47" s="2149"/>
      <c r="I47" s="2149"/>
    </row>
    <row r="48" spans="1:9" ht="30" customHeight="1" thickBot="1">
      <c r="A48" s="2150" t="str">
        <f>F!A134</f>
        <v>F27</v>
      </c>
      <c r="B48" s="2148" t="str">
        <f>F!B134</f>
        <v>% of AA that is Flooded Only Seasonally</v>
      </c>
      <c r="C48" s="436" t="str">
        <f>F!C134</f>
        <v>The percentage of the AA that is covered by unfrozen surface water only during the wettest time of the year during most years is:</v>
      </c>
      <c r="D48" s="576"/>
      <c r="E48" s="365"/>
      <c r="F48" s="366"/>
      <c r="G48" s="537">
        <f>IF((AllSat1&gt;0),"", MAX(F49:F53)/MAX(E49:E53))</f>
        <v>0</v>
      </c>
      <c r="H48" s="2148" t="s">
        <v>2293</v>
      </c>
      <c r="I48" s="2148" t="s">
        <v>621</v>
      </c>
    </row>
    <row r="49" spans="1:10" ht="15" customHeight="1">
      <c r="A49" s="2151"/>
      <c r="B49" s="2146"/>
      <c r="C49" s="552" t="str">
        <f>F!C135</f>
        <v xml:space="preserve">None, or &lt;0.01 hectare and &lt;1% of the AA. </v>
      </c>
      <c r="D49" s="354">
        <f>F!D135</f>
        <v>0</v>
      </c>
      <c r="E49" s="637">
        <v>0</v>
      </c>
      <c r="F49" s="361">
        <f>D49*E49</f>
        <v>0</v>
      </c>
      <c r="G49" s="629"/>
      <c r="H49" s="2146"/>
      <c r="I49" s="2146"/>
    </row>
    <row r="50" spans="1:10" ht="15" customHeight="1">
      <c r="A50" s="2151"/>
      <c r="B50" s="2146"/>
      <c r="C50" s="437" t="str">
        <f>F!C136</f>
        <v>1-20% of the AA, or &lt;1% but &gt;0.01 ha.</v>
      </c>
      <c r="D50" s="254">
        <f>F!D136</f>
        <v>0</v>
      </c>
      <c r="E50" s="637">
        <v>1</v>
      </c>
      <c r="F50" s="361">
        <f>D50*E50</f>
        <v>0</v>
      </c>
      <c r="G50" s="630"/>
      <c r="H50" s="2146"/>
      <c r="I50" s="2146"/>
    </row>
    <row r="51" spans="1:10" ht="15" customHeight="1">
      <c r="A51" s="2151"/>
      <c r="B51" s="2146"/>
      <c r="C51" s="437" t="str">
        <f>F!C137</f>
        <v>20-50% of the AA.</v>
      </c>
      <c r="D51" s="254">
        <f>F!D137</f>
        <v>0</v>
      </c>
      <c r="E51" s="637">
        <v>2</v>
      </c>
      <c r="F51" s="361">
        <f>D51*E51</f>
        <v>0</v>
      </c>
      <c r="G51" s="630"/>
      <c r="H51" s="2146"/>
      <c r="I51" s="2146"/>
    </row>
    <row r="52" spans="1:10" ht="15" customHeight="1">
      <c r="A52" s="2151"/>
      <c r="B52" s="2146"/>
      <c r="C52" s="437" t="str">
        <f>F!C138</f>
        <v>50-95% of the AA.</v>
      </c>
      <c r="D52" s="254">
        <f>F!D138</f>
        <v>0</v>
      </c>
      <c r="E52" s="637">
        <v>3</v>
      </c>
      <c r="F52" s="361">
        <f>D52*E52</f>
        <v>0</v>
      </c>
      <c r="G52" s="630"/>
      <c r="H52" s="2146"/>
      <c r="I52" s="2146"/>
    </row>
    <row r="53" spans="1:10" ht="15" customHeight="1" thickBot="1">
      <c r="A53" s="2152"/>
      <c r="B53" s="2149"/>
      <c r="C53" s="194" t="str">
        <f>F!C139</f>
        <v xml:space="preserve">&gt;95% of the AA. </v>
      </c>
      <c r="D53" s="248">
        <f>F!D139</f>
        <v>0</v>
      </c>
      <c r="E53" s="640">
        <v>4</v>
      </c>
      <c r="F53" s="362">
        <f>D53*E53</f>
        <v>0</v>
      </c>
      <c r="G53" s="631"/>
      <c r="H53" s="2149"/>
      <c r="I53" s="2149"/>
    </row>
    <row r="54" spans="1:10" s="2" customFormat="1" ht="30" customHeight="1" thickBot="1">
      <c r="A54" s="2180" t="str">
        <f>F!A140</f>
        <v>F28</v>
      </c>
      <c r="B54" s="2211" t="str">
        <f>F!B140</f>
        <v>Annual Water Fluctuation Range</v>
      </c>
      <c r="C54" s="448" t="str">
        <f>F!C140</f>
        <v>The annual fluctuation in surface water level within most of the parts of the AA that contain surface water is:</v>
      </c>
      <c r="D54" s="367"/>
      <c r="E54" s="360"/>
      <c r="F54" s="363"/>
      <c r="G54" s="538">
        <f>IF((AllSat1&gt;0),"", IF((NoSeasonal=1),"",MAX(F55:F58)/MAX(E55:E58)))</f>
        <v>0</v>
      </c>
      <c r="H54" s="2146" t="s">
        <v>2294</v>
      </c>
      <c r="I54" s="2148" t="s">
        <v>633</v>
      </c>
      <c r="J54" s="192"/>
    </row>
    <row r="55" spans="1:10" ht="15" customHeight="1">
      <c r="A55" s="2180"/>
      <c r="B55" s="2208"/>
      <c r="C55" s="440" t="str">
        <f>F!C141</f>
        <v>&lt;10 cm change (stable or nearly so).</v>
      </c>
      <c r="D55" s="255">
        <f>F!D141</f>
        <v>0</v>
      </c>
      <c r="E55" s="361">
        <v>5</v>
      </c>
      <c r="F55" s="361">
        <f>D55*E55</f>
        <v>0</v>
      </c>
      <c r="G55" s="629"/>
      <c r="H55" s="2146"/>
      <c r="I55" s="2146"/>
    </row>
    <row r="56" spans="1:10" ht="15" customHeight="1">
      <c r="A56" s="2180"/>
      <c r="B56" s="2208"/>
      <c r="C56" s="545" t="str">
        <f>F!C142</f>
        <v>10 cm - 50 cm change.</v>
      </c>
      <c r="D56" s="78">
        <f>F!D142</f>
        <v>0</v>
      </c>
      <c r="E56" s="361">
        <v>3</v>
      </c>
      <c r="F56" s="361">
        <f>D56*E56</f>
        <v>0</v>
      </c>
      <c r="G56" s="630"/>
      <c r="H56" s="2146"/>
      <c r="I56" s="2146"/>
    </row>
    <row r="57" spans="1:10" ht="15" customHeight="1">
      <c r="A57" s="2180"/>
      <c r="B57" s="2208"/>
      <c r="C57" s="545" t="str">
        <f>F!C143</f>
        <v>0.5 - 1 m change.</v>
      </c>
      <c r="D57" s="78">
        <f>F!D143</f>
        <v>0</v>
      </c>
      <c r="E57" s="361">
        <v>2</v>
      </c>
      <c r="F57" s="361">
        <f>D57*E57</f>
        <v>0</v>
      </c>
      <c r="G57" s="630"/>
      <c r="H57" s="2146"/>
      <c r="I57" s="2146"/>
    </row>
    <row r="58" spans="1:10" ht="15" customHeight="1" thickBot="1">
      <c r="A58" s="2187"/>
      <c r="B58" s="2210"/>
      <c r="C58" s="441" t="str">
        <f>F!C144</f>
        <v>1-2 m change.</v>
      </c>
      <c r="D58" s="193">
        <f>F!D144</f>
        <v>0</v>
      </c>
      <c r="E58" s="362">
        <v>0</v>
      </c>
      <c r="F58" s="362">
        <f>D58*E58</f>
        <v>0</v>
      </c>
      <c r="G58" s="631"/>
      <c r="H58" s="2149"/>
      <c r="I58" s="2149"/>
    </row>
    <row r="59" spans="1:10" ht="30" customHeight="1" thickBot="1">
      <c r="A59" s="2150" t="str">
        <f>F!A147</f>
        <v>F29</v>
      </c>
      <c r="B59" s="2218" t="str">
        <f>F!B147</f>
        <v>Predominant Depth Class</v>
      </c>
      <c r="C59" s="436" t="str">
        <f>F!C147</f>
        <v>During most of the time when surface water is present during the growing season, its depth, averaged over the entire inundated part of the AA, is:</v>
      </c>
      <c r="D59" s="576"/>
      <c r="E59" s="365"/>
      <c r="F59" s="366"/>
      <c r="G59" s="537">
        <f>IF((AllSat1&gt;0),"",IF((TooSmall=1),"",MAX(F60:F64)/MAX(E60:E64)))</f>
        <v>0</v>
      </c>
      <c r="H59" s="2148" t="s">
        <v>2295</v>
      </c>
      <c r="I59" s="2148" t="s">
        <v>624</v>
      </c>
    </row>
    <row r="60" spans="1:10" ht="18" customHeight="1">
      <c r="A60" s="2151"/>
      <c r="B60" s="2211"/>
      <c r="C60" s="30" t="str">
        <f>F!C148</f>
        <v>&lt;10 cm deep (but &gt;0).</v>
      </c>
      <c r="D60" s="256">
        <f>F!D148</f>
        <v>0</v>
      </c>
      <c r="E60" s="361">
        <v>1</v>
      </c>
      <c r="F60" s="361">
        <f>D60*E60</f>
        <v>0</v>
      </c>
      <c r="G60" s="629"/>
      <c r="H60" s="2146"/>
      <c r="I60" s="2146"/>
    </row>
    <row r="61" spans="1:10" ht="18" customHeight="1">
      <c r="A61" s="2151"/>
      <c r="B61" s="2211"/>
      <c r="C61" s="6" t="str">
        <f>F!C149</f>
        <v>10 - 50 cm deep.</v>
      </c>
      <c r="D61" s="247">
        <f>F!D149</f>
        <v>0</v>
      </c>
      <c r="E61" s="361">
        <v>2</v>
      </c>
      <c r="F61" s="361">
        <f>D61*E61</f>
        <v>0</v>
      </c>
      <c r="G61" s="630"/>
      <c r="H61" s="2146"/>
      <c r="I61" s="2146"/>
    </row>
    <row r="62" spans="1:10" ht="18" customHeight="1">
      <c r="A62" s="2151"/>
      <c r="B62" s="2211"/>
      <c r="C62" s="6" t="str">
        <f>F!C150</f>
        <v>0.5 - 1 m deep.</v>
      </c>
      <c r="D62" s="247">
        <f>F!D150</f>
        <v>0</v>
      </c>
      <c r="E62" s="361">
        <v>3</v>
      </c>
      <c r="F62" s="361">
        <f>D62*E62</f>
        <v>0</v>
      </c>
      <c r="G62" s="630"/>
      <c r="H62" s="2146"/>
      <c r="I62" s="2146"/>
    </row>
    <row r="63" spans="1:10" ht="18" customHeight="1">
      <c r="A63" s="2151"/>
      <c r="B63" s="2211"/>
      <c r="C63" s="6" t="str">
        <f>F!C151</f>
        <v>1 - 2 m deep.</v>
      </c>
      <c r="D63" s="247">
        <f>F!D151</f>
        <v>0</v>
      </c>
      <c r="E63" s="361">
        <v>2</v>
      </c>
      <c r="F63" s="361">
        <f>D63*E63</f>
        <v>0</v>
      </c>
      <c r="G63" s="630"/>
      <c r="H63" s="2146"/>
      <c r="I63" s="2146"/>
    </row>
    <row r="64" spans="1:10" ht="18" customHeight="1" thickBot="1">
      <c r="A64" s="2152"/>
      <c r="B64" s="2420"/>
      <c r="C64" s="194" t="str">
        <f>F!C152</f>
        <v>&gt;2 m deep. True for many fringe wetlands.</v>
      </c>
      <c r="D64" s="248">
        <f>F!D152</f>
        <v>0</v>
      </c>
      <c r="E64" s="362">
        <v>1</v>
      </c>
      <c r="F64" s="362">
        <f>D64*E64</f>
        <v>0</v>
      </c>
      <c r="G64" s="631"/>
      <c r="H64" s="2149"/>
      <c r="I64" s="2149"/>
    </row>
    <row r="65" spans="1:10" s="2" customFormat="1" ht="45" customHeight="1" thickBot="1">
      <c r="A65" s="2421" t="str">
        <f>F!A157</f>
        <v>F31</v>
      </c>
      <c r="B65" s="2523" t="str">
        <f>F!B157</f>
        <v>% of Water That Is Ponded (not Flowing)</v>
      </c>
      <c r="C65" s="439" t="str">
        <f>F!C157</f>
        <v>During most times when surface water is present, the percentage that is ponded (stagnant, or flows so slowly that fine sediment is not held in suspension) is:</v>
      </c>
      <c r="D65" s="576"/>
      <c r="E65" s="365"/>
      <c r="F65" s="645"/>
      <c r="G65" s="537">
        <f>IF((AllSat1&gt;0),"", MAX(F66:F70)/MAX(E66:E70))</f>
        <v>0</v>
      </c>
      <c r="H65" s="2564" t="s">
        <v>1372</v>
      </c>
      <c r="I65" s="2148" t="s">
        <v>623</v>
      </c>
      <c r="J65" s="192"/>
    </row>
    <row r="66" spans="1:10" s="2" customFormat="1" ht="27" customHeight="1">
      <c r="A66" s="2180"/>
      <c r="B66" s="2213"/>
      <c r="C66" s="440" t="str">
        <f>F!C158</f>
        <v>&lt;5% of the water, or it occupies &lt;100 sq.m cumulatively. Nearly all the surface water is flowing. SKIP to F34.</v>
      </c>
      <c r="D66" s="649">
        <f>F!D158</f>
        <v>0</v>
      </c>
      <c r="E66" s="361">
        <v>1</v>
      </c>
      <c r="F66" s="361">
        <f>D66*E66</f>
        <v>0</v>
      </c>
      <c r="G66" s="630"/>
      <c r="H66" s="2565"/>
      <c r="I66" s="2146"/>
      <c r="J66" s="192"/>
    </row>
    <row r="67" spans="1:10" s="2" customFormat="1" ht="21" customHeight="1">
      <c r="A67" s="2180"/>
      <c r="B67" s="2213"/>
      <c r="C67" s="545" t="str">
        <f>F!C159</f>
        <v>5-30% of the water.</v>
      </c>
      <c r="D67" s="650">
        <f>F!D159</f>
        <v>0</v>
      </c>
      <c r="E67" s="361">
        <v>3</v>
      </c>
      <c r="F67" s="361">
        <f>D67*E67</f>
        <v>0</v>
      </c>
      <c r="G67" s="630"/>
      <c r="H67" s="2565"/>
      <c r="I67" s="2146"/>
      <c r="J67" s="192"/>
    </row>
    <row r="68" spans="1:10" s="2" customFormat="1" ht="21" customHeight="1">
      <c r="A68" s="2180"/>
      <c r="B68" s="2213"/>
      <c r="C68" s="545" t="str">
        <f>F!C160</f>
        <v>30-70% of the water.</v>
      </c>
      <c r="D68" s="650">
        <f>F!D160</f>
        <v>0</v>
      </c>
      <c r="E68" s="361">
        <v>3</v>
      </c>
      <c r="F68" s="361">
        <f>D68*E68</f>
        <v>0</v>
      </c>
      <c r="G68" s="630"/>
      <c r="H68" s="2565"/>
      <c r="I68" s="2146"/>
      <c r="J68" s="192"/>
    </row>
    <row r="69" spans="1:10" s="2" customFormat="1" ht="21" customHeight="1">
      <c r="A69" s="2180"/>
      <c r="B69" s="2213"/>
      <c r="C69" s="545" t="str">
        <f>F!C161</f>
        <v>70-95% of the water.</v>
      </c>
      <c r="D69" s="650">
        <f>F!D161</f>
        <v>0</v>
      </c>
      <c r="E69" s="364">
        <v>2</v>
      </c>
      <c r="F69" s="361">
        <f>D69*E69</f>
        <v>0</v>
      </c>
      <c r="G69" s="630"/>
      <c r="H69" s="2565"/>
      <c r="I69" s="2146"/>
      <c r="J69" s="192"/>
    </row>
    <row r="70" spans="1:10" s="2" customFormat="1" ht="21" customHeight="1" thickBot="1">
      <c r="A70" s="2187"/>
      <c r="B70" s="2377"/>
      <c r="C70" s="441" t="str">
        <f>F!C162</f>
        <v>&gt;95% of the water.</v>
      </c>
      <c r="D70" s="1128">
        <f>F!D162</f>
        <v>0</v>
      </c>
      <c r="E70" s="362">
        <v>1</v>
      </c>
      <c r="F70" s="362">
        <f>D70*E70</f>
        <v>0</v>
      </c>
      <c r="G70" s="631"/>
      <c r="H70" s="2566"/>
      <c r="I70" s="2149"/>
      <c r="J70" s="192"/>
    </row>
    <row r="71" spans="1:10" s="8" customFormat="1" ht="36" customHeight="1" thickBot="1">
      <c r="A71" s="2578" t="str">
        <f>F!A164</f>
        <v>F33</v>
      </c>
      <c r="B71" s="2212" t="str">
        <f>F!B164</f>
        <v xml:space="preserve">% of Ponded Water that is Open </v>
      </c>
      <c r="C71" s="123" t="str">
        <f>F!C164</f>
        <v>In ducks-eye aerial view, the percentage of the ponded water that is open (lacking emergent vegetation during most of the growing season, and unhidden by a forest or shrub canopy) is:</v>
      </c>
      <c r="D71" s="623"/>
      <c r="E71" s="360"/>
      <c r="F71" s="360"/>
      <c r="G71" s="538">
        <f>IF((AllSat1&gt;0),"",IF((TooSmall=1),"",IF((NoPonded=1),"",MAX(F72:F77)/MAX(E72:E77))))</f>
        <v>0</v>
      </c>
      <c r="H71" s="2146" t="s">
        <v>2296</v>
      </c>
      <c r="I71" s="2559" t="s">
        <v>526</v>
      </c>
      <c r="J71" s="163"/>
    </row>
    <row r="72" spans="1:10" s="8" customFormat="1" ht="30" customHeight="1">
      <c r="A72" s="2516"/>
      <c r="B72" s="2213"/>
      <c r="C72" s="490" t="str">
        <f>F!C165</f>
        <v>None, or &lt;1% of the AA and largest pool occupies &lt;0.01 hectares. Enter "1" and SKIP to F41 (Floating Algae &amp; Duckweed).</v>
      </c>
      <c r="D72" s="549">
        <f>F!D165</f>
        <v>0</v>
      </c>
      <c r="E72" s="361">
        <v>1</v>
      </c>
      <c r="F72" s="361">
        <f t="shared" ref="F72:F77" si="2">D72*E72</f>
        <v>0</v>
      </c>
      <c r="G72" s="630"/>
      <c r="H72" s="2146"/>
      <c r="I72" s="2560"/>
      <c r="J72" s="163"/>
    </row>
    <row r="73" spans="1:10" s="8" customFormat="1" ht="18" customHeight="1">
      <c r="A73" s="2516"/>
      <c r="B73" s="2213"/>
      <c r="C73" s="447" t="str">
        <f>F!C166</f>
        <v>1-4% of the ponded water. Enter "1" and SKIP to F40 (Floating Algae &amp; Duckweed).</v>
      </c>
      <c r="D73" s="549">
        <f>F!D166</f>
        <v>0</v>
      </c>
      <c r="E73" s="361">
        <v>2</v>
      </c>
      <c r="F73" s="361">
        <f t="shared" si="2"/>
        <v>0</v>
      </c>
      <c r="G73" s="630"/>
      <c r="H73" s="2146"/>
      <c r="I73" s="2560"/>
      <c r="J73" s="163"/>
    </row>
    <row r="74" spans="1:10" s="8" customFormat="1" ht="18" customHeight="1">
      <c r="A74" s="2516"/>
      <c r="B74" s="2213"/>
      <c r="C74" s="447" t="str">
        <f>F!C167</f>
        <v>5-30% of the ponded water.</v>
      </c>
      <c r="D74" s="549">
        <f>F!D167</f>
        <v>0</v>
      </c>
      <c r="E74" s="361">
        <v>4</v>
      </c>
      <c r="F74" s="361">
        <f t="shared" si="2"/>
        <v>0</v>
      </c>
      <c r="G74" s="630"/>
      <c r="H74" s="2146"/>
      <c r="I74" s="2560"/>
      <c r="J74" s="163"/>
    </row>
    <row r="75" spans="1:10" s="8" customFormat="1" ht="18" customHeight="1">
      <c r="A75" s="2516"/>
      <c r="B75" s="2213"/>
      <c r="C75" s="447" t="str">
        <f>F!C168</f>
        <v>30-70% of the ponded water.</v>
      </c>
      <c r="D75" s="549">
        <f>F!D168</f>
        <v>0</v>
      </c>
      <c r="E75" s="361">
        <v>3</v>
      </c>
      <c r="F75" s="361">
        <f t="shared" si="2"/>
        <v>0</v>
      </c>
      <c r="G75" s="630"/>
      <c r="H75" s="2146"/>
      <c r="I75" s="2560"/>
      <c r="J75" s="163"/>
    </row>
    <row r="76" spans="1:10" s="8" customFormat="1" ht="18" customHeight="1">
      <c r="A76" s="2516"/>
      <c r="B76" s="2213"/>
      <c r="C76" s="447" t="str">
        <f>F!C169</f>
        <v>70-99% of the ponded water.</v>
      </c>
      <c r="D76" s="549">
        <f>F!D169</f>
        <v>0</v>
      </c>
      <c r="E76" s="361">
        <v>2</v>
      </c>
      <c r="F76" s="361">
        <f t="shared" si="2"/>
        <v>0</v>
      </c>
      <c r="G76" s="630"/>
      <c r="H76" s="2146"/>
      <c r="I76" s="2560"/>
      <c r="J76" s="163"/>
    </row>
    <row r="77" spans="1:10" s="8" customFormat="1" ht="18" customHeight="1" thickBot="1">
      <c r="A77" s="2517"/>
      <c r="B77" s="2377"/>
      <c r="C77" s="447" t="str">
        <f>F!C170</f>
        <v xml:space="preserve">100% of the ponded water. </v>
      </c>
      <c r="D77" s="549">
        <f>F!D170</f>
        <v>0</v>
      </c>
      <c r="E77" s="364">
        <v>0</v>
      </c>
      <c r="F77" s="364">
        <f t="shared" si="2"/>
        <v>0</v>
      </c>
      <c r="G77" s="639"/>
      <c r="H77" s="2149"/>
      <c r="I77" s="2561"/>
      <c r="J77" s="163"/>
    </row>
    <row r="78" spans="1:10" ht="30" customHeight="1" thickBot="1">
      <c r="A78" s="2151" t="str">
        <f>F!A171</f>
        <v>F34</v>
      </c>
      <c r="B78" s="2158" t="str">
        <f>F!B171</f>
        <v>Width of Vegetated Zone within Wetland</v>
      </c>
      <c r="C78" s="5" t="str">
        <f>F!C171</f>
        <v>At the time during the growing season when the AA's water level is lowest, the average width of vegetated area in the AA that separates adjoining uplands from open water within the AA is:</v>
      </c>
      <c r="D78" s="576"/>
      <c r="E78" s="365"/>
      <c r="F78" s="366"/>
      <c r="G78" s="665">
        <f>IF((AllSat1&gt;0),"",IF((TooSmall=1),"",IF((NoOpenPonded=1),"",MAX(F79:F84)/MAX(E79:E84))))</f>
        <v>0</v>
      </c>
      <c r="H78" s="2146" t="s">
        <v>2297</v>
      </c>
      <c r="I78" s="2148" t="s">
        <v>625</v>
      </c>
    </row>
    <row r="79" spans="1:10" ht="15" customHeight="1">
      <c r="A79" s="2151"/>
      <c r="B79" s="2159"/>
      <c r="C79" s="1168" t="str">
        <f>F!C172</f>
        <v>&lt;1 m</v>
      </c>
      <c r="D79" s="256">
        <f>F!D172</f>
        <v>0</v>
      </c>
      <c r="E79" s="377">
        <v>1</v>
      </c>
      <c r="F79" s="361">
        <f t="shared" ref="F79:F84" si="3">D79*E79</f>
        <v>0</v>
      </c>
      <c r="G79" s="763"/>
      <c r="H79" s="2146"/>
      <c r="I79" s="2146"/>
    </row>
    <row r="80" spans="1:10" ht="15" customHeight="1">
      <c r="A80" s="2151"/>
      <c r="B80" s="2159"/>
      <c r="C80" s="1073" t="str">
        <f>F!C173</f>
        <v>1 - 9 m</v>
      </c>
      <c r="D80" s="247">
        <f>F!D173</f>
        <v>0</v>
      </c>
      <c r="E80" s="377">
        <v>2</v>
      </c>
      <c r="F80" s="361">
        <f t="shared" si="3"/>
        <v>0</v>
      </c>
      <c r="G80" s="764"/>
      <c r="H80" s="2146"/>
      <c r="I80" s="2146"/>
    </row>
    <row r="81" spans="1:9" ht="15" customHeight="1">
      <c r="A81" s="2151"/>
      <c r="B81" s="2159"/>
      <c r="C81" s="1073" t="str">
        <f>F!C174</f>
        <v>10 - 29 m</v>
      </c>
      <c r="D81" s="247">
        <f>F!D174</f>
        <v>0</v>
      </c>
      <c r="E81" s="377">
        <v>3</v>
      </c>
      <c r="F81" s="361">
        <f t="shared" si="3"/>
        <v>0</v>
      </c>
      <c r="G81" s="764"/>
      <c r="H81" s="2146"/>
      <c r="I81" s="2146"/>
    </row>
    <row r="82" spans="1:9" ht="15" customHeight="1">
      <c r="A82" s="2151"/>
      <c r="B82" s="2159"/>
      <c r="C82" s="1073" t="str">
        <f>F!C175</f>
        <v>30 - 49 m</v>
      </c>
      <c r="D82" s="247">
        <f>F!D175</f>
        <v>0</v>
      </c>
      <c r="E82" s="377">
        <v>4</v>
      </c>
      <c r="F82" s="361">
        <f t="shared" si="3"/>
        <v>0</v>
      </c>
      <c r="G82" s="764"/>
      <c r="H82" s="2146"/>
      <c r="I82" s="2146"/>
    </row>
    <row r="83" spans="1:9" ht="15" customHeight="1">
      <c r="A83" s="2151"/>
      <c r="B83" s="2159"/>
      <c r="C83" s="1073" t="str">
        <f>F!C176</f>
        <v>50 - 100 m</v>
      </c>
      <c r="D83" s="247">
        <f>F!D176</f>
        <v>0</v>
      </c>
      <c r="E83" s="377">
        <v>5</v>
      </c>
      <c r="F83" s="361">
        <f t="shared" si="3"/>
        <v>0</v>
      </c>
      <c r="G83" s="764"/>
      <c r="H83" s="2146"/>
      <c r="I83" s="2146"/>
    </row>
    <row r="84" spans="1:9" ht="15" customHeight="1" thickBot="1">
      <c r="A84" s="2152"/>
      <c r="B84" s="2515"/>
      <c r="C84" s="1169" t="str">
        <f>F!C177</f>
        <v>&gt; 100 m</v>
      </c>
      <c r="D84" s="248">
        <f>F!D177</f>
        <v>0</v>
      </c>
      <c r="E84" s="378">
        <v>6</v>
      </c>
      <c r="F84" s="362">
        <f t="shared" si="3"/>
        <v>0</v>
      </c>
      <c r="G84" s="765"/>
      <c r="H84" s="2149"/>
      <c r="I84" s="2149"/>
    </row>
    <row r="85" spans="1:9" ht="30" customHeight="1" thickBot="1">
      <c r="A85" s="2150" t="str">
        <f>F!A200</f>
        <v>F42</v>
      </c>
      <c r="B85" s="2218" t="str">
        <f>F!B200</f>
        <v>Channel Connection &amp; Outflow Duration</v>
      </c>
      <c r="C85" s="5" t="str">
        <f>F!C200</f>
        <v>The most persistent surface water connection (outlet channel or pipe, ditch, or overbank water exchange) between the AA and the closest larger water body located downslope is:</v>
      </c>
      <c r="D85" s="576"/>
      <c r="E85" s="365"/>
      <c r="F85" s="366"/>
      <c r="G85" s="665">
        <f>IF((AllSat1=1),"",MAX(F86:F90)/MAX(E86:E90))</f>
        <v>0</v>
      </c>
      <c r="H85" s="2148" t="s">
        <v>2298</v>
      </c>
      <c r="I85" s="2148" t="s">
        <v>627</v>
      </c>
    </row>
    <row r="86" spans="1:9" ht="16.95" customHeight="1">
      <c r="A86" s="2151"/>
      <c r="B86" s="2211"/>
      <c r="C86" s="1168" t="str">
        <f>F!C201</f>
        <v>persistent (&gt;9 months/year, regardless of whether frozen or not).</v>
      </c>
      <c r="D86" s="256">
        <f>F!D201</f>
        <v>0</v>
      </c>
      <c r="E86" s="361">
        <v>3</v>
      </c>
      <c r="F86" s="361">
        <f>D86*E86</f>
        <v>0</v>
      </c>
      <c r="G86" s="763"/>
      <c r="H86" s="2146"/>
      <c r="I86" s="2146"/>
    </row>
    <row r="87" spans="1:9" ht="15" customHeight="1">
      <c r="A87" s="2151"/>
      <c r="B87" s="2211"/>
      <c r="C87" s="1073" t="str">
        <f>F!C202</f>
        <v>seasonal (14 days to 9 months/year, not necessarily consecutive, including times when frozen).</v>
      </c>
      <c r="D87" s="247">
        <f>F!D202</f>
        <v>0</v>
      </c>
      <c r="E87" s="361">
        <v>6</v>
      </c>
      <c r="F87" s="361">
        <f>D87*E87</f>
        <v>0</v>
      </c>
      <c r="G87" s="764"/>
      <c r="H87" s="2146"/>
      <c r="I87" s="2146"/>
    </row>
    <row r="88" spans="1:9" ht="15" customHeight="1">
      <c r="A88" s="2151"/>
      <c r="B88" s="2211"/>
      <c r="C88" s="1073" t="str">
        <f>F!C203</f>
        <v>temporary (&lt;14 days, not necessarily consecutive, but must be unfrozen).</v>
      </c>
      <c r="D88" s="247">
        <f>F!D203</f>
        <v>0</v>
      </c>
      <c r="E88" s="361">
        <v>8</v>
      </c>
      <c r="F88" s="361">
        <f>D88*E88</f>
        <v>0</v>
      </c>
      <c r="G88" s="764"/>
      <c r="H88" s="2146"/>
      <c r="I88" s="2146"/>
    </row>
    <row r="89" spans="1:9" ht="27" customHeight="1">
      <c r="A89" s="2151"/>
      <c r="B89" s="2211"/>
      <c r="C89" s="1073" t="str">
        <f>F!C204</f>
        <v>none -- but maps show a stream or other water body that is downslope from the AA and within a distance that is less than the AA's length. SKIP to F44 (Tributary Channel).</v>
      </c>
      <c r="D89" s="247">
        <f>F!D204</f>
        <v>0</v>
      </c>
      <c r="E89" s="377">
        <v>10</v>
      </c>
      <c r="F89" s="361">
        <f>D89*E89</f>
        <v>0</v>
      </c>
      <c r="G89" s="1021"/>
      <c r="H89" s="2146"/>
      <c r="I89" s="2146"/>
    </row>
    <row r="90" spans="1:9" ht="42" customHeight="1" thickBot="1">
      <c r="A90" s="2152"/>
      <c r="B90" s="2420"/>
      <c r="C90" s="1169" t="str">
        <f>F!C205</f>
        <v>no surface water flows out of the wetland except possibly during extreme events (&lt;once per 10 years). Or, water flows only into a wetland, ditch, or lake that lacks an outlet. SKIP to F47 (pH Measurement).</v>
      </c>
      <c r="D90" s="248">
        <f>F!D205</f>
        <v>0</v>
      </c>
      <c r="E90" s="378">
        <v>10</v>
      </c>
      <c r="F90" s="362">
        <f>D90*E90</f>
        <v>0</v>
      </c>
      <c r="G90" s="765"/>
      <c r="H90" s="2149"/>
      <c r="I90" s="2149"/>
    </row>
    <row r="91" spans="1:9" ht="30" customHeight="1" thickBot="1">
      <c r="A91" s="2150" t="str">
        <f>F!A206</f>
        <v>F43</v>
      </c>
      <c r="B91" s="2148" t="str">
        <f>F!B206</f>
        <v xml:space="preserve">Outflow Confinement </v>
      </c>
      <c r="C91" s="436" t="str">
        <f>F!C206</f>
        <v>During major runoff events, in the places where surface water exits the AA or connected waters nearby, the water:</v>
      </c>
      <c r="D91" s="576"/>
      <c r="E91" s="365"/>
      <c r="F91" s="366"/>
      <c r="G91" s="537">
        <f>IF((OutNone + OutNone1&gt;0),"",MAX(F92:F94)/MAX(E92:E94))</f>
        <v>0</v>
      </c>
      <c r="H91" s="2148" t="s">
        <v>2299</v>
      </c>
      <c r="I91" s="2148" t="s">
        <v>628</v>
      </c>
    </row>
    <row r="92" spans="1:9" ht="42" customHeight="1">
      <c r="A92" s="2151"/>
      <c r="B92" s="2146"/>
      <c r="C92" s="30" t="str">
        <f>F!C207</f>
        <v>mostly passes through a pipe, culvert, narrowly breached dike, berm, beaver dam, or other partial obstruction (other than natural topography) that does not appear to drain the wetland artificially during most of the growing season.</v>
      </c>
      <c r="D92" s="256">
        <f>F!D207</f>
        <v>0</v>
      </c>
      <c r="E92" s="361">
        <v>3</v>
      </c>
      <c r="F92" s="361">
        <f>D92*E92</f>
        <v>0</v>
      </c>
      <c r="G92" s="629"/>
      <c r="H92" s="2146"/>
      <c r="I92" s="2146"/>
    </row>
    <row r="93" spans="1:9" ht="27" customHeight="1">
      <c r="A93" s="2151"/>
      <c r="B93" s="2146"/>
      <c r="C93" s="6" t="str">
        <f>F!C208</f>
        <v>leaves through natural exits (channels or diffuse outflow), not mainly through artificial or temporary features.</v>
      </c>
      <c r="D93" s="247">
        <f>F!D208</f>
        <v>0</v>
      </c>
      <c r="E93" s="361">
        <v>2</v>
      </c>
      <c r="F93" s="361">
        <f>D93*E93</f>
        <v>0</v>
      </c>
      <c r="G93" s="643"/>
      <c r="H93" s="2146"/>
      <c r="I93" s="2146"/>
    </row>
    <row r="94" spans="1:9" ht="27" customHeight="1" thickBot="1">
      <c r="A94" s="2152"/>
      <c r="B94" s="2149"/>
      <c r="C94" s="194" t="str">
        <f>F!C209</f>
        <v>exported more quickly than usual due to ditches or pipes within the AA (or connected to its outlet or within 10 m of the AA's edge) which drain the wetland artificially, or water is pumped out of the AA.</v>
      </c>
      <c r="D94" s="248">
        <f>F!D209</f>
        <v>0</v>
      </c>
      <c r="E94" s="362">
        <v>0</v>
      </c>
      <c r="F94" s="362">
        <f>D94*E94</f>
        <v>0</v>
      </c>
      <c r="G94" s="631"/>
      <c r="H94" s="2149"/>
      <c r="I94" s="2149"/>
    </row>
    <row r="95" spans="1:9" ht="21" customHeight="1" thickBot="1">
      <c r="A95" s="2151" t="str">
        <f>F!A231</f>
        <v>F50</v>
      </c>
      <c r="B95" s="2146" t="str">
        <f>F!B231</f>
        <v>Groundwater Strength of Evidence</v>
      </c>
      <c r="C95" s="556" t="str">
        <f>F!C231</f>
        <v xml:space="preserve">Select first applicable choice. </v>
      </c>
      <c r="D95" s="367"/>
      <c r="E95" s="360"/>
      <c r="F95" s="681"/>
      <c r="G95" s="682">
        <f>MAX(F96:F98)/MAX(E96:E98)</f>
        <v>0</v>
      </c>
      <c r="H95" s="2211" t="s">
        <v>1819</v>
      </c>
      <c r="I95" s="2148" t="s">
        <v>620</v>
      </c>
    </row>
    <row r="96" spans="1:9" ht="42" customHeight="1">
      <c r="A96" s="2151"/>
      <c r="B96" s="2146"/>
      <c r="C96" s="552" t="str">
        <f>F!C232</f>
        <v>Groundwater monitoring has demonstrated that groundwater primarily discharges to the wetland for longer periods during the year than periods when the wetland recharges the groundwater. Or, springs are known to be present within the AA.</v>
      </c>
      <c r="D96" s="354">
        <f>F!D232</f>
        <v>0</v>
      </c>
      <c r="E96" s="361">
        <v>0</v>
      </c>
      <c r="F96" s="361">
        <f>D96*E96</f>
        <v>0</v>
      </c>
      <c r="G96" s="629"/>
      <c r="H96" s="2208"/>
      <c r="I96" s="2146"/>
    </row>
    <row r="97" spans="1:9" ht="42" customHeight="1">
      <c r="A97" s="2151"/>
      <c r="B97" s="2146"/>
      <c r="C97" s="437" t="str">
        <f>F!C233</f>
        <v>The upper end of the AA is located very close to the base of (but mostly not ON) a natural slope much steeper (usually &gt;15%) than that within the AA and longer than 100 m AND if surface water was measured, its pH (Q47) is &gt;5.5.</v>
      </c>
      <c r="D97" s="254">
        <f>F!D233</f>
        <v>0</v>
      </c>
      <c r="E97" s="361">
        <v>1</v>
      </c>
      <c r="F97" s="361">
        <f>D97*E97</f>
        <v>0</v>
      </c>
      <c r="G97" s="630"/>
      <c r="H97" s="2208"/>
      <c r="I97" s="2146"/>
    </row>
    <row r="98" spans="1:9" ht="27" customHeight="1" thickBot="1">
      <c r="A98" s="2152"/>
      <c r="B98" s="2149"/>
      <c r="C98" s="194" t="str">
        <f>F!C234</f>
        <v>Neither of above is true, although some groundwater may discharge to or flow through the AA. Or groundwater influx is unknown.</v>
      </c>
      <c r="D98" s="248">
        <f>F!D234</f>
        <v>0</v>
      </c>
      <c r="E98" s="362">
        <v>2</v>
      </c>
      <c r="F98" s="362">
        <f>D98*E98</f>
        <v>0</v>
      </c>
      <c r="G98" s="631"/>
      <c r="H98" s="2210"/>
      <c r="I98" s="2149"/>
    </row>
    <row r="99" spans="1:9" ht="21" customHeight="1" thickBot="1">
      <c r="A99" s="2218" t="str">
        <f>F!A235</f>
        <v>F51</v>
      </c>
      <c r="B99" s="2218" t="str">
        <f>F!B235</f>
        <v>Internal Gradient</v>
      </c>
      <c r="C99" s="436" t="str">
        <f>F!C235</f>
        <v>The gradient along most of the flow path within the AA is:</v>
      </c>
      <c r="D99" s="622"/>
      <c r="E99" s="365"/>
      <c r="F99" s="366"/>
      <c r="G99" s="537">
        <f>MAX(F100:F103)/MAX(E100:E103)</f>
        <v>0</v>
      </c>
      <c r="H99" s="2218" t="s">
        <v>727</v>
      </c>
      <c r="I99" s="2148" t="s">
        <v>2077</v>
      </c>
    </row>
    <row r="100" spans="1:9" ht="15" customHeight="1">
      <c r="A100" s="2211"/>
      <c r="B100" s="2211"/>
      <c r="C100" s="30" t="str">
        <f>F!C236</f>
        <v>&lt;2% or the AA has no surface water outlet (not even seasonally)</v>
      </c>
      <c r="D100" s="247">
        <f>F!D236</f>
        <v>0</v>
      </c>
      <c r="E100" s="377">
        <v>4</v>
      </c>
      <c r="F100" s="361">
        <f>D100*E100</f>
        <v>0</v>
      </c>
      <c r="G100" s="629"/>
      <c r="H100" s="2211"/>
      <c r="I100" s="2146"/>
    </row>
    <row r="101" spans="1:9" ht="15" customHeight="1">
      <c r="A101" s="2211"/>
      <c r="B101" s="2211"/>
      <c r="C101" s="1566" t="str">
        <f>F!C237</f>
        <v>2-5%</v>
      </c>
      <c r="D101" s="247">
        <f>F!D237</f>
        <v>0</v>
      </c>
      <c r="E101" s="377">
        <v>2</v>
      </c>
      <c r="F101" s="361">
        <f>D101*E101</f>
        <v>0</v>
      </c>
      <c r="G101" s="630"/>
      <c r="H101" s="2211"/>
      <c r="I101" s="2146"/>
    </row>
    <row r="102" spans="1:9" ht="15" customHeight="1">
      <c r="A102" s="2211"/>
      <c r="B102" s="2211"/>
      <c r="C102" s="1566" t="str">
        <f>F!C238</f>
        <v>6-10%</v>
      </c>
      <c r="D102" s="247">
        <f>F!D238</f>
        <v>0</v>
      </c>
      <c r="E102" s="377">
        <v>1</v>
      </c>
      <c r="F102" s="361">
        <f>D102*E102</f>
        <v>0</v>
      </c>
      <c r="G102" s="630"/>
      <c r="H102" s="2211"/>
      <c r="I102" s="2146"/>
    </row>
    <row r="103" spans="1:9" ht="15" customHeight="1" thickBot="1">
      <c r="A103" s="2420"/>
      <c r="B103" s="2420"/>
      <c r="C103" s="194" t="str">
        <f>F!C239</f>
        <v>&gt;10%</v>
      </c>
      <c r="D103" s="248">
        <f>F!D239</f>
        <v>0</v>
      </c>
      <c r="E103" s="378">
        <v>0</v>
      </c>
      <c r="F103" s="362">
        <f>D103*E103</f>
        <v>0</v>
      </c>
      <c r="G103" s="631"/>
      <c r="H103" s="2210"/>
      <c r="I103" s="2149"/>
    </row>
    <row r="104" spans="1:9" ht="30" customHeight="1" thickBot="1">
      <c r="A104" s="2577" t="str">
        <f>F!A255</f>
        <v>F56</v>
      </c>
      <c r="B104" s="2564" t="str">
        <f>F!B255</f>
        <v>New Wetland</v>
      </c>
      <c r="C104" s="1671" t="str">
        <f>F!C255</f>
        <v>The AA is (or is within, or contains) a "new" wetland resulting from human actions (e.g., excavation, impoundment) or debris flows, or other factors affecting what once was upland (non-hydric) soil.</v>
      </c>
      <c r="D104" s="1085"/>
      <c r="E104" s="360"/>
      <c r="F104" s="363"/>
      <c r="G104" s="538">
        <f>IF((D110=1),"",MAX(F105:F109)/MAX(E105:E109))</f>
        <v>0</v>
      </c>
      <c r="H104" s="2565" t="s">
        <v>1820</v>
      </c>
      <c r="I104" s="2148" t="s">
        <v>631</v>
      </c>
    </row>
    <row r="105" spans="1:9" ht="18" customHeight="1">
      <c r="A105" s="2577"/>
      <c r="B105" s="2565"/>
      <c r="C105" s="1672" t="str">
        <f>F!C256</f>
        <v>No.</v>
      </c>
      <c r="D105" s="1160">
        <f>F!D256</f>
        <v>0</v>
      </c>
      <c r="E105" s="530">
        <v>5</v>
      </c>
      <c r="F105" s="361">
        <f>D105*E105</f>
        <v>0</v>
      </c>
      <c r="G105" s="629"/>
      <c r="H105" s="2565"/>
      <c r="I105" s="2146"/>
    </row>
    <row r="106" spans="1:9" ht="18" customHeight="1">
      <c r="A106" s="2577"/>
      <c r="B106" s="2565"/>
      <c r="C106" s="1673" t="str">
        <f>F!C257</f>
        <v xml:space="preserve">yes, and created 20 - 100 years ago. </v>
      </c>
      <c r="D106" s="1160">
        <f>F!D257</f>
        <v>0</v>
      </c>
      <c r="E106" s="530">
        <v>2</v>
      </c>
      <c r="F106" s="361">
        <f>D106*E106</f>
        <v>0</v>
      </c>
      <c r="G106" s="630"/>
      <c r="H106" s="2565"/>
      <c r="I106" s="2146"/>
    </row>
    <row r="107" spans="1:9" ht="18" customHeight="1">
      <c r="A107" s="2577"/>
      <c r="B107" s="2565"/>
      <c r="C107" s="1673" t="str">
        <f>F!C258</f>
        <v>yes, and created 3-20 years ago.</v>
      </c>
      <c r="D107" s="1160">
        <f>F!D258</f>
        <v>0</v>
      </c>
      <c r="E107" s="530">
        <v>1</v>
      </c>
      <c r="F107" s="361">
        <f>D107*E107</f>
        <v>0</v>
      </c>
      <c r="G107" s="630"/>
      <c r="H107" s="2565"/>
      <c r="I107" s="2146"/>
    </row>
    <row r="108" spans="1:9" ht="18" customHeight="1">
      <c r="A108" s="2577"/>
      <c r="B108" s="2565"/>
      <c r="C108" s="1673" t="str">
        <f>F!C259</f>
        <v>yes, and created within last 3 years.</v>
      </c>
      <c r="D108" s="1160">
        <f>F!D259</f>
        <v>0</v>
      </c>
      <c r="E108" s="530">
        <v>0</v>
      </c>
      <c r="F108" s="361">
        <f>D108*E108</f>
        <v>0</v>
      </c>
      <c r="G108" s="630"/>
      <c r="H108" s="2565"/>
      <c r="I108" s="2146"/>
    </row>
    <row r="109" spans="1:9" ht="18" customHeight="1">
      <c r="A109" s="2577"/>
      <c r="B109" s="2565"/>
      <c r="C109" s="1673" t="str">
        <f>F!C260</f>
        <v>yes, but time of origin unknown.</v>
      </c>
      <c r="D109" s="1160">
        <f>F!D260</f>
        <v>0</v>
      </c>
      <c r="E109" s="530">
        <v>1</v>
      </c>
      <c r="F109" s="361">
        <f>D109*E109</f>
        <v>0</v>
      </c>
      <c r="G109" s="630"/>
      <c r="H109" s="2565"/>
      <c r="I109" s="2146"/>
    </row>
    <row r="110" spans="1:9" ht="18" customHeight="1" thickBot="1">
      <c r="A110" s="2577"/>
      <c r="B110" s="2565"/>
      <c r="C110" s="1674" t="str">
        <f>F!C261</f>
        <v>unknown if new within 20 years or not.</v>
      </c>
      <c r="D110" s="1161">
        <f>F!D261</f>
        <v>0</v>
      </c>
      <c r="E110" s="530"/>
      <c r="F110" s="364"/>
      <c r="G110" s="639"/>
      <c r="H110" s="2565"/>
      <c r="I110" s="2149"/>
    </row>
    <row r="111" spans="1:9" ht="33" customHeight="1" thickBot="1">
      <c r="A111" s="2564" t="str">
        <f>F!A262</f>
        <v>F57</v>
      </c>
      <c r="B111" s="2564" t="str">
        <f>F!B262</f>
        <v>Burn History</v>
      </c>
      <c r="C111" s="1675" t="str">
        <f>F!C262</f>
        <v>More than 1% of the AA's previously vegetated area:</v>
      </c>
      <c r="D111" s="376"/>
      <c r="E111" s="365"/>
      <c r="F111" s="365"/>
      <c r="G111" s="537">
        <f>MAX(F112:F115)/MAX(E112:E115)</f>
        <v>0</v>
      </c>
      <c r="H111" s="2571" t="s">
        <v>2024</v>
      </c>
      <c r="I111" s="2148" t="s">
        <v>1945</v>
      </c>
    </row>
    <row r="112" spans="1:9" ht="27" customHeight="1">
      <c r="A112" s="2565"/>
      <c r="B112" s="2565"/>
      <c r="C112" s="1676" t="str">
        <f>F!C263</f>
        <v>burned within past 5 years.</v>
      </c>
      <c r="D112" s="259">
        <f>F!D263</f>
        <v>0</v>
      </c>
      <c r="E112" s="361">
        <v>0</v>
      </c>
      <c r="F112" s="361">
        <f>D112*E112</f>
        <v>0</v>
      </c>
      <c r="G112" s="676"/>
      <c r="H112" s="2572"/>
      <c r="I112" s="2146"/>
    </row>
    <row r="113" spans="1:9" ht="27" customHeight="1">
      <c r="A113" s="2565"/>
      <c r="B113" s="2565"/>
      <c r="C113" s="1677" t="str">
        <f>F!C264</f>
        <v>burned 6-10 years ago.</v>
      </c>
      <c r="D113" s="259">
        <f>F!D264</f>
        <v>0</v>
      </c>
      <c r="E113" s="361">
        <v>1</v>
      </c>
      <c r="F113" s="361">
        <f>D113*E113</f>
        <v>0</v>
      </c>
      <c r="G113" s="676"/>
      <c r="H113" s="2572"/>
      <c r="I113" s="2146"/>
    </row>
    <row r="114" spans="1:9" ht="27" customHeight="1">
      <c r="A114" s="2565"/>
      <c r="B114" s="2565"/>
      <c r="C114" s="1677" t="str">
        <f>F!C265</f>
        <v>burned 11-30 years ago.</v>
      </c>
      <c r="D114" s="259">
        <f>F!D265</f>
        <v>0</v>
      </c>
      <c r="E114" s="361">
        <v>3</v>
      </c>
      <c r="F114" s="361">
        <f>D114*E114</f>
        <v>0</v>
      </c>
      <c r="G114" s="676"/>
      <c r="H114" s="2572"/>
      <c r="I114" s="2146"/>
    </row>
    <row r="115" spans="1:9" ht="27" customHeight="1" thickBot="1">
      <c r="A115" s="2566"/>
      <c r="B115" s="2566"/>
      <c r="C115" s="1678" t="str">
        <f>F!C266</f>
        <v>burned &gt;30 years ago, or no evidence of a burn and no data.</v>
      </c>
      <c r="D115" s="285">
        <f>F!D266</f>
        <v>0</v>
      </c>
      <c r="E115" s="362">
        <v>2</v>
      </c>
      <c r="F115" s="362">
        <f>D115*E115</f>
        <v>0</v>
      </c>
      <c r="G115" s="677"/>
      <c r="H115" s="2573"/>
      <c r="I115" s="2149"/>
    </row>
    <row r="116" spans="1:9" ht="60" customHeight="1" thickBot="1">
      <c r="A116" s="546" t="str">
        <f>S!A3</f>
        <v>S1</v>
      </c>
      <c r="B116" s="544" t="str">
        <f>S!B3</f>
        <v>Wetter Water Regime - Internal Causes</v>
      </c>
      <c r="C116" s="1681" t="s">
        <v>1143</v>
      </c>
      <c r="D116" s="684">
        <f>S!F19</f>
        <v>0</v>
      </c>
      <c r="E116" s="374"/>
      <c r="F116" s="374"/>
      <c r="G116" s="397">
        <f>1-D116</f>
        <v>1</v>
      </c>
      <c r="H116" s="1197" t="s">
        <v>1142</v>
      </c>
      <c r="I116" s="5" t="s">
        <v>1185</v>
      </c>
    </row>
    <row r="117" spans="1:9" ht="114" customHeight="1" thickBot="1">
      <c r="A117" s="488" t="str">
        <f>S!A125</f>
        <v>S9</v>
      </c>
      <c r="B117" s="488" t="str">
        <f>S!B125</f>
        <v>Soil or Sediment Alteration Within the Assessment Area</v>
      </c>
      <c r="C117" s="1682" t="s">
        <v>1143</v>
      </c>
      <c r="D117" s="684">
        <f>S!F142</f>
        <v>0</v>
      </c>
      <c r="E117" s="373"/>
      <c r="F117" s="373"/>
      <c r="G117" s="537">
        <f>1-D117</f>
        <v>1</v>
      </c>
      <c r="H117" s="190" t="s">
        <v>2151</v>
      </c>
      <c r="I117" s="81" t="s">
        <v>1186</v>
      </c>
    </row>
    <row r="118" spans="1:9" ht="21" customHeight="1" thickBot="1">
      <c r="A118" s="2379"/>
      <c r="B118" s="2379"/>
      <c r="C118" s="2379"/>
      <c r="D118" s="2379"/>
      <c r="E118" s="2379"/>
      <c r="F118" s="2379"/>
      <c r="G118" s="2379"/>
      <c r="H118" s="2379"/>
    </row>
    <row r="119" spans="1:9" ht="30" customHeight="1">
      <c r="A119" s="2397"/>
      <c r="B119" s="2397"/>
      <c r="C119" s="2397"/>
      <c r="D119" s="2562" t="s">
        <v>1324</v>
      </c>
      <c r="E119" s="2563"/>
      <c r="F119" s="2563"/>
      <c r="G119" s="1691">
        <f xml:space="preserve"> IF((NotNewWet=1), AVERAGE(Wettype5,MossCov5,Burn5,SoilDisturb5, SoilTex5, AVERAGE(DecidTree5,Warmth5,VwidthAbs5)),NewWet5)</f>
        <v>0</v>
      </c>
      <c r="H119" s="1907" t="s">
        <v>2681</v>
      </c>
      <c r="I119" s="1908" t="s">
        <v>2732</v>
      </c>
    </row>
    <row r="120" spans="1:9" ht="21" customHeight="1">
      <c r="A120" s="2397"/>
      <c r="B120" s="2397"/>
      <c r="C120" s="2397"/>
      <c r="D120" s="2484" t="s">
        <v>1345</v>
      </c>
      <c r="E120" s="2485"/>
      <c r="F120" s="2485"/>
      <c r="G120" s="1692">
        <f>AVERAGE(Depth5,AVERAGE(Warmth5,MossCov5,Wettype5,Constric5))</f>
        <v>0</v>
      </c>
      <c r="H120" s="1919" t="s">
        <v>2815</v>
      </c>
      <c r="I120" s="1899" t="s">
        <v>2733</v>
      </c>
    </row>
    <row r="121" spans="1:9" ht="21" customHeight="1">
      <c r="A121" s="2397"/>
      <c r="B121" s="2397"/>
      <c r="C121" s="2397"/>
      <c r="D121" s="2567" t="s">
        <v>2627</v>
      </c>
      <c r="E121" s="2568"/>
      <c r="F121" s="2568"/>
      <c r="G121" s="1692">
        <f xml:space="preserve"> AVERAGE(OutDura5,Constric5,AqPlantCov5,Gradient5,ISOwet5)</f>
        <v>0</v>
      </c>
      <c r="H121" s="1919" t="s">
        <v>2814</v>
      </c>
      <c r="I121" s="1899" t="s">
        <v>2734</v>
      </c>
    </row>
    <row r="122" spans="1:9" ht="21" customHeight="1" thickBot="1">
      <c r="A122" s="2397"/>
      <c r="B122" s="2397"/>
      <c r="C122" s="2397"/>
      <c r="D122" s="2569" t="s">
        <v>1307</v>
      </c>
      <c r="E122" s="2570"/>
      <c r="F122" s="2570"/>
      <c r="G122" s="1693">
        <f>AVERAGE(MossCov5,Sedge5,SeasWpct5,Fluctu5,TreeForm5,SoilDisturb5,Wetter5, GroundW5,PermWpct5)</f>
        <v>0.25</v>
      </c>
      <c r="H122" s="1900" t="s">
        <v>2682</v>
      </c>
      <c r="I122" s="1901" t="s">
        <v>2735</v>
      </c>
    </row>
    <row r="123" spans="1:9" ht="21" customHeight="1" thickBot="1">
      <c r="A123" s="2536"/>
      <c r="B123" s="2536"/>
      <c r="C123" s="2574"/>
      <c r="D123" s="2574"/>
      <c r="E123" s="2574"/>
      <c r="F123" s="2574"/>
      <c r="G123" s="2574"/>
      <c r="H123" s="2397"/>
      <c r="I123" s="1906"/>
    </row>
    <row r="124" spans="1:9" ht="30" customHeight="1" thickBot="1">
      <c r="A124" s="2536"/>
      <c r="B124" s="2536"/>
      <c r="C124" s="2394" t="s">
        <v>31</v>
      </c>
      <c r="D124" s="2395"/>
      <c r="E124" s="2396"/>
      <c r="F124" s="1591" t="s">
        <v>75</v>
      </c>
      <c r="G124" s="1694">
        <f>10*((2*MAX(HistAccum5, PhysAccum5) + Productiv + 3*MethLimit5) /6)</f>
        <v>1.25</v>
      </c>
      <c r="H124" s="2363" t="s">
        <v>1090</v>
      </c>
      <c r="I124" s="2364"/>
    </row>
    <row r="125" spans="1:9" ht="30" customHeight="1" thickBot="1">
      <c r="A125" s="2536"/>
      <c r="B125" s="2536"/>
      <c r="C125" s="2394" t="s">
        <v>2410</v>
      </c>
      <c r="D125" s="2395"/>
      <c r="E125" s="2396"/>
      <c r="F125" s="1949" t="s">
        <v>2888</v>
      </c>
      <c r="G125" s="1695"/>
      <c r="H125" s="2575" t="s">
        <v>728</v>
      </c>
      <c r="I125" s="2576"/>
    </row>
    <row r="126" spans="1:9" ht="21" customHeight="1" thickBot="1">
      <c r="A126" s="7"/>
      <c r="B126" s="7"/>
      <c r="D126" s="7"/>
      <c r="E126" s="7"/>
      <c r="F126" s="7"/>
      <c r="G126" s="7"/>
      <c r="H126" s="7"/>
      <c r="I126" s="553"/>
    </row>
    <row r="127" spans="1:9" ht="21" customHeight="1" thickBot="1">
      <c r="A127" s="7"/>
      <c r="B127" s="7"/>
      <c r="D127" s="7"/>
      <c r="E127" s="7"/>
      <c r="F127" s="7"/>
      <c r="G127" s="7"/>
      <c r="H127" s="2555" t="s">
        <v>806</v>
      </c>
      <c r="I127" s="2556"/>
    </row>
    <row r="128" spans="1:9" ht="27" customHeight="1">
      <c r="A128" s="7"/>
      <c r="B128" s="7"/>
      <c r="D128" s="7"/>
      <c r="E128" s="7"/>
      <c r="F128" s="7"/>
      <c r="G128" s="7"/>
      <c r="H128" s="2557" t="s">
        <v>881</v>
      </c>
      <c r="I128" s="2558"/>
    </row>
    <row r="129" spans="1:9" ht="27" customHeight="1">
      <c r="A129" s="7"/>
      <c r="B129" s="7"/>
      <c r="D129" s="7"/>
      <c r="E129" s="7"/>
      <c r="F129" s="7"/>
      <c r="G129" s="7"/>
      <c r="H129" s="2373" t="s">
        <v>1380</v>
      </c>
      <c r="I129" s="2374"/>
    </row>
    <row r="130" spans="1:9" ht="27" customHeight="1">
      <c r="A130" s="7"/>
      <c r="B130" s="7"/>
      <c r="D130" s="7"/>
      <c r="E130" s="7"/>
      <c r="F130" s="7"/>
      <c r="G130" s="7"/>
      <c r="H130" s="2367" t="s">
        <v>882</v>
      </c>
      <c r="I130" s="2368"/>
    </row>
    <row r="131" spans="1:9" ht="27" customHeight="1">
      <c r="A131" s="7"/>
      <c r="B131" s="7"/>
      <c r="D131" s="7"/>
      <c r="E131" s="7"/>
      <c r="F131" s="7"/>
      <c r="G131" s="7"/>
      <c r="H131" s="2367" t="s">
        <v>2148</v>
      </c>
      <c r="I131" s="2368"/>
    </row>
    <row r="132" spans="1:9" ht="27" customHeight="1">
      <c r="A132" s="7"/>
      <c r="B132" s="7"/>
      <c r="D132" s="7"/>
      <c r="E132" s="7"/>
      <c r="F132" s="7"/>
      <c r="G132" s="7"/>
      <c r="H132" s="2367" t="s">
        <v>883</v>
      </c>
      <c r="I132" s="2368"/>
    </row>
    <row r="133" spans="1:9" ht="27" customHeight="1">
      <c r="A133" s="7"/>
      <c r="B133" s="7"/>
      <c r="D133" s="7"/>
      <c r="E133" s="7"/>
      <c r="F133" s="7"/>
      <c r="G133" s="7"/>
      <c r="H133" s="2367" t="s">
        <v>884</v>
      </c>
      <c r="I133" s="2368"/>
    </row>
    <row r="134" spans="1:9" ht="27" customHeight="1">
      <c r="A134" s="7"/>
      <c r="B134" s="7"/>
      <c r="D134" s="7"/>
      <c r="E134" s="7"/>
      <c r="F134" s="7"/>
      <c r="G134" s="7"/>
      <c r="H134" s="2367" t="s">
        <v>885</v>
      </c>
      <c r="I134" s="2368"/>
    </row>
    <row r="135" spans="1:9" ht="42" customHeight="1">
      <c r="A135" s="7"/>
      <c r="B135" s="7"/>
      <c r="D135" s="7"/>
      <c r="E135" s="7"/>
      <c r="F135" s="7"/>
      <c r="G135" s="7"/>
      <c r="H135" s="2373" t="s">
        <v>886</v>
      </c>
      <c r="I135" s="2374"/>
    </row>
    <row r="136" spans="1:9" ht="42" customHeight="1">
      <c r="A136" s="7"/>
      <c r="B136" s="7"/>
      <c r="D136" s="7"/>
      <c r="E136" s="7"/>
      <c r="F136" s="7"/>
      <c r="G136" s="7"/>
      <c r="H136" s="2367" t="s">
        <v>887</v>
      </c>
      <c r="I136" s="2368"/>
    </row>
    <row r="137" spans="1:9" ht="42" customHeight="1">
      <c r="A137" s="7"/>
      <c r="B137" s="7"/>
      <c r="D137" s="7"/>
      <c r="E137" s="7"/>
      <c r="F137" s="7"/>
      <c r="G137" s="7"/>
      <c r="H137" s="2367" t="s">
        <v>888</v>
      </c>
      <c r="I137" s="2368"/>
    </row>
    <row r="138" spans="1:9" ht="42" customHeight="1">
      <c r="A138" s="7"/>
      <c r="B138" s="7"/>
      <c r="D138" s="7"/>
      <c r="E138" s="7"/>
      <c r="F138" s="7"/>
      <c r="G138" s="7"/>
      <c r="H138" s="2549" t="s">
        <v>1887</v>
      </c>
      <c r="I138" s="2550"/>
    </row>
    <row r="139" spans="1:9" ht="27" customHeight="1">
      <c r="A139" s="7"/>
      <c r="B139" s="7"/>
      <c r="D139" s="7"/>
      <c r="E139" s="7"/>
      <c r="F139" s="7"/>
      <c r="G139" s="7"/>
      <c r="H139" s="2367" t="s">
        <v>889</v>
      </c>
      <c r="I139" s="2368"/>
    </row>
    <row r="140" spans="1:9" ht="57" customHeight="1">
      <c r="A140" s="7"/>
      <c r="B140" s="7"/>
      <c r="D140" s="7"/>
      <c r="E140" s="7"/>
      <c r="F140" s="7"/>
      <c r="G140" s="7"/>
      <c r="H140" s="2367" t="s">
        <v>890</v>
      </c>
      <c r="I140" s="2368"/>
    </row>
    <row r="141" spans="1:9" ht="27" customHeight="1">
      <c r="A141" s="7"/>
      <c r="B141" s="7"/>
      <c r="D141" s="7"/>
      <c r="E141" s="7"/>
      <c r="F141" s="7"/>
      <c r="G141" s="7"/>
      <c r="H141" s="2367" t="s">
        <v>891</v>
      </c>
      <c r="I141" s="2368"/>
    </row>
    <row r="142" spans="1:9" ht="27" customHeight="1">
      <c r="A142" s="7"/>
      <c r="B142" s="7"/>
      <c r="D142" s="7"/>
      <c r="E142" s="7"/>
      <c r="F142" s="7"/>
      <c r="G142" s="7"/>
      <c r="H142" s="2367" t="s">
        <v>892</v>
      </c>
      <c r="I142" s="2368"/>
    </row>
    <row r="143" spans="1:9" ht="27" customHeight="1">
      <c r="A143" s="7"/>
      <c r="B143" s="7"/>
      <c r="D143" s="7"/>
      <c r="E143" s="7"/>
      <c r="F143" s="7"/>
      <c r="G143" s="7"/>
      <c r="H143" s="2367" t="s">
        <v>893</v>
      </c>
      <c r="I143" s="2368"/>
    </row>
    <row r="144" spans="1:9" ht="42" customHeight="1">
      <c r="A144" s="7"/>
      <c r="B144" s="7"/>
      <c r="D144" s="7"/>
      <c r="E144" s="7"/>
      <c r="F144" s="7"/>
      <c r="G144" s="7"/>
      <c r="H144" s="2373" t="s">
        <v>894</v>
      </c>
      <c r="I144" s="2374"/>
    </row>
    <row r="145" spans="1:9" ht="27" customHeight="1">
      <c r="A145" s="7"/>
      <c r="B145" s="7"/>
      <c r="D145" s="7"/>
      <c r="E145" s="7"/>
      <c r="F145" s="7"/>
      <c r="G145" s="7"/>
      <c r="H145" s="2367" t="s">
        <v>895</v>
      </c>
      <c r="I145" s="2368"/>
    </row>
    <row r="146" spans="1:9" ht="27" customHeight="1">
      <c r="A146" s="7"/>
      <c r="B146" s="7"/>
      <c r="D146" s="7"/>
      <c r="E146" s="7"/>
      <c r="F146" s="7"/>
      <c r="G146" s="7"/>
      <c r="H146" s="2367" t="s">
        <v>1269</v>
      </c>
      <c r="I146" s="2368"/>
    </row>
    <row r="147" spans="1:9" ht="42" customHeight="1">
      <c r="A147" s="7"/>
      <c r="B147" s="7"/>
      <c r="D147" s="7"/>
      <c r="E147" s="7"/>
      <c r="F147" s="7"/>
      <c r="G147" s="7"/>
      <c r="H147" s="2367" t="s">
        <v>897</v>
      </c>
      <c r="I147" s="2368"/>
    </row>
    <row r="148" spans="1:9" ht="42" customHeight="1">
      <c r="A148" s="7"/>
      <c r="B148" s="7"/>
      <c r="D148" s="7"/>
      <c r="E148" s="7"/>
      <c r="F148" s="7"/>
      <c r="G148" s="7"/>
      <c r="H148" s="2373" t="s">
        <v>898</v>
      </c>
      <c r="I148" s="2374"/>
    </row>
    <row r="149" spans="1:9" ht="27" customHeight="1">
      <c r="A149" s="7"/>
      <c r="B149" s="7"/>
      <c r="D149" s="7"/>
      <c r="E149" s="7"/>
      <c r="F149" s="7"/>
      <c r="G149" s="7"/>
      <c r="H149" s="2367" t="s">
        <v>899</v>
      </c>
      <c r="I149" s="2368"/>
    </row>
    <row r="150" spans="1:9" ht="27" customHeight="1">
      <c r="A150" s="7"/>
      <c r="B150" s="7"/>
      <c r="D150" s="7"/>
      <c r="E150" s="7"/>
      <c r="F150" s="7"/>
      <c r="G150" s="7"/>
      <c r="H150" s="2367" t="s">
        <v>900</v>
      </c>
      <c r="I150" s="2368"/>
    </row>
    <row r="151" spans="1:9" ht="54" customHeight="1">
      <c r="A151" s="7"/>
      <c r="B151" s="7"/>
      <c r="D151" s="7"/>
      <c r="E151" s="7"/>
      <c r="F151" s="7"/>
      <c r="G151" s="7"/>
      <c r="H151" s="2367" t="s">
        <v>901</v>
      </c>
      <c r="I151" s="2368"/>
    </row>
    <row r="152" spans="1:9" ht="27" customHeight="1">
      <c r="A152" s="7"/>
      <c r="B152" s="7"/>
      <c r="D152" s="7"/>
      <c r="E152" s="7"/>
      <c r="F152" s="7"/>
      <c r="G152" s="7"/>
      <c r="H152" s="2367" t="s">
        <v>2149</v>
      </c>
      <c r="I152" s="2368"/>
    </row>
    <row r="153" spans="1:9" ht="27" customHeight="1">
      <c r="A153" s="7"/>
      <c r="B153" s="7"/>
      <c r="D153" s="7"/>
      <c r="E153" s="7"/>
      <c r="F153" s="7"/>
      <c r="G153" s="7"/>
      <c r="H153" s="2367" t="s">
        <v>902</v>
      </c>
      <c r="I153" s="2368"/>
    </row>
    <row r="154" spans="1:9" ht="27" customHeight="1">
      <c r="A154" s="7"/>
      <c r="B154" s="7"/>
      <c r="D154" s="7"/>
      <c r="E154" s="7"/>
      <c r="F154" s="7"/>
      <c r="G154" s="7"/>
      <c r="H154" s="2367" t="s">
        <v>903</v>
      </c>
      <c r="I154" s="2368"/>
    </row>
    <row r="155" spans="1:9" ht="27" customHeight="1">
      <c r="A155" s="7"/>
      <c r="B155" s="7"/>
      <c r="D155" s="7"/>
      <c r="E155" s="7"/>
      <c r="F155" s="7"/>
      <c r="G155" s="7"/>
      <c r="H155" s="2373" t="s">
        <v>904</v>
      </c>
      <c r="I155" s="2374"/>
    </row>
    <row r="156" spans="1:9" ht="27" customHeight="1">
      <c r="A156" s="7"/>
      <c r="B156" s="7"/>
      <c r="D156" s="7"/>
      <c r="E156" s="7"/>
      <c r="F156" s="7"/>
      <c r="G156" s="7"/>
      <c r="H156" s="2373" t="s">
        <v>905</v>
      </c>
      <c r="I156" s="2374"/>
    </row>
    <row r="157" spans="1:9" ht="27" customHeight="1">
      <c r="A157" s="7"/>
      <c r="B157" s="7"/>
      <c r="D157" s="7"/>
      <c r="E157" s="7"/>
      <c r="F157" s="7"/>
      <c r="G157" s="7"/>
      <c r="H157" s="2371" t="s">
        <v>1890</v>
      </c>
      <c r="I157" s="2372"/>
    </row>
    <row r="158" spans="1:9" ht="27" customHeight="1">
      <c r="A158" s="7"/>
      <c r="B158" s="7"/>
      <c r="D158" s="7"/>
      <c r="E158" s="7"/>
      <c r="F158" s="7"/>
      <c r="G158" s="7"/>
      <c r="H158" s="2373" t="s">
        <v>906</v>
      </c>
      <c r="I158" s="2374"/>
    </row>
    <row r="159" spans="1:9" ht="42" customHeight="1">
      <c r="A159" s="7"/>
      <c r="B159" s="7"/>
      <c r="D159" s="7"/>
      <c r="E159" s="7"/>
      <c r="F159" s="7"/>
      <c r="G159" s="7"/>
      <c r="H159" s="2367" t="s">
        <v>907</v>
      </c>
      <c r="I159" s="2368"/>
    </row>
    <row r="160" spans="1:9" ht="27" customHeight="1">
      <c r="A160" s="7"/>
      <c r="B160" s="7"/>
      <c r="D160" s="7"/>
      <c r="E160" s="7"/>
      <c r="F160" s="7"/>
      <c r="G160" s="7"/>
      <c r="H160" s="2367" t="s">
        <v>908</v>
      </c>
      <c r="I160" s="2368"/>
    </row>
    <row r="161" spans="1:9" ht="27" customHeight="1">
      <c r="A161" s="7"/>
      <c r="B161" s="7"/>
      <c r="D161" s="7"/>
      <c r="E161" s="7"/>
      <c r="F161" s="7"/>
      <c r="G161" s="7"/>
      <c r="H161" s="2371" t="s">
        <v>1889</v>
      </c>
      <c r="I161" s="2372"/>
    </row>
    <row r="162" spans="1:9" ht="42" customHeight="1">
      <c r="A162" s="7"/>
      <c r="B162" s="7"/>
      <c r="D162" s="7"/>
      <c r="E162" s="7"/>
      <c r="F162" s="7"/>
      <c r="G162" s="7"/>
      <c r="H162" s="2367" t="s">
        <v>909</v>
      </c>
      <c r="I162" s="2368"/>
    </row>
    <row r="163" spans="1:9" ht="69" customHeight="1">
      <c r="A163" s="7"/>
      <c r="B163" s="7"/>
      <c r="D163" s="7"/>
      <c r="E163" s="7"/>
      <c r="F163" s="7"/>
      <c r="G163" s="7"/>
      <c r="H163" s="2367" t="s">
        <v>1419</v>
      </c>
      <c r="I163" s="2368"/>
    </row>
    <row r="164" spans="1:9" ht="27" customHeight="1">
      <c r="A164" s="7"/>
      <c r="B164" s="7"/>
      <c r="D164" s="7"/>
      <c r="E164" s="7"/>
      <c r="F164" s="7"/>
      <c r="G164" s="7"/>
      <c r="H164" s="2367" t="s">
        <v>910</v>
      </c>
      <c r="I164" s="2368"/>
    </row>
    <row r="165" spans="1:9" ht="27" customHeight="1">
      <c r="A165" s="7"/>
      <c r="B165" s="7"/>
      <c r="D165" s="7"/>
      <c r="E165" s="7"/>
      <c r="F165" s="7"/>
      <c r="G165" s="7"/>
      <c r="H165" s="2367" t="s">
        <v>911</v>
      </c>
      <c r="I165" s="2368"/>
    </row>
    <row r="166" spans="1:9" ht="27" customHeight="1">
      <c r="A166" s="7"/>
      <c r="B166" s="7"/>
      <c r="D166" s="7"/>
      <c r="E166" s="7"/>
      <c r="F166" s="7"/>
      <c r="G166" s="7"/>
      <c r="H166" s="2367" t="s">
        <v>1822</v>
      </c>
      <c r="I166" s="2368"/>
    </row>
    <row r="167" spans="1:9" ht="27" customHeight="1">
      <c r="A167" s="7"/>
      <c r="B167" s="7"/>
      <c r="D167" s="7"/>
      <c r="E167" s="7"/>
      <c r="F167" s="7"/>
      <c r="G167" s="7"/>
      <c r="H167" s="2373" t="s">
        <v>912</v>
      </c>
      <c r="I167" s="2374"/>
    </row>
    <row r="168" spans="1:9" ht="21" customHeight="1">
      <c r="A168" s="7"/>
      <c r="B168" s="7"/>
      <c r="D168" s="7"/>
      <c r="E168" s="7"/>
      <c r="F168" s="7"/>
      <c r="G168" s="7"/>
      <c r="H168" s="2367" t="s">
        <v>913</v>
      </c>
      <c r="I168" s="2368"/>
    </row>
    <row r="169" spans="1:9" ht="27" customHeight="1">
      <c r="A169" s="7"/>
      <c r="B169" s="7"/>
      <c r="D169" s="7"/>
      <c r="E169" s="7"/>
      <c r="F169" s="7"/>
      <c r="G169" s="7"/>
      <c r="H169" s="2367" t="s">
        <v>914</v>
      </c>
      <c r="I169" s="2368"/>
    </row>
    <row r="170" spans="1:9" ht="42" customHeight="1">
      <c r="A170" s="7"/>
      <c r="B170" s="7"/>
      <c r="D170" s="7"/>
      <c r="E170" s="7"/>
      <c r="F170" s="7"/>
      <c r="G170" s="7"/>
      <c r="H170" s="2367" t="s">
        <v>915</v>
      </c>
      <c r="I170" s="2368"/>
    </row>
    <row r="171" spans="1:9" ht="27" customHeight="1">
      <c r="A171" s="7"/>
      <c r="B171" s="7"/>
      <c r="D171" s="7"/>
      <c r="E171" s="7"/>
      <c r="F171" s="7"/>
      <c r="G171" s="7"/>
      <c r="H171" s="2367" t="s">
        <v>916</v>
      </c>
      <c r="I171" s="2368"/>
    </row>
    <row r="172" spans="1:9" ht="27" customHeight="1">
      <c r="A172" s="7"/>
      <c r="B172" s="7"/>
      <c r="D172" s="7"/>
      <c r="E172" s="7"/>
      <c r="F172" s="7"/>
      <c r="G172" s="7"/>
      <c r="H172" s="2367" t="s">
        <v>917</v>
      </c>
      <c r="I172" s="2368"/>
    </row>
    <row r="173" spans="1:9" ht="27" customHeight="1">
      <c r="A173" s="7"/>
      <c r="B173" s="7"/>
      <c r="D173" s="7"/>
      <c r="E173" s="7"/>
      <c r="F173" s="7"/>
      <c r="G173" s="7"/>
      <c r="H173" s="2367" t="s">
        <v>918</v>
      </c>
      <c r="I173" s="2368"/>
    </row>
    <row r="174" spans="1:9" ht="27" customHeight="1">
      <c r="A174" s="7"/>
      <c r="B174" s="7"/>
      <c r="D174" s="7"/>
      <c r="E174" s="7"/>
      <c r="F174" s="7"/>
      <c r="G174" s="7"/>
      <c r="H174" s="2373" t="s">
        <v>919</v>
      </c>
      <c r="I174" s="2374"/>
    </row>
    <row r="175" spans="1:9" ht="69" customHeight="1">
      <c r="A175" s="7"/>
      <c r="B175" s="7"/>
      <c r="D175" s="7"/>
      <c r="E175" s="7"/>
      <c r="F175" s="7"/>
      <c r="G175" s="7"/>
      <c r="H175" s="2373" t="s">
        <v>920</v>
      </c>
      <c r="I175" s="2374"/>
    </row>
    <row r="176" spans="1:9" ht="27" customHeight="1">
      <c r="A176" s="7"/>
      <c r="B176" s="7"/>
      <c r="D176" s="7"/>
      <c r="E176" s="7"/>
      <c r="F176" s="7"/>
      <c r="G176" s="7"/>
      <c r="H176" s="2373" t="s">
        <v>921</v>
      </c>
      <c r="I176" s="2374"/>
    </row>
    <row r="177" spans="1:9" ht="27" customHeight="1">
      <c r="A177" s="7"/>
      <c r="B177" s="7"/>
      <c r="D177" s="7"/>
      <c r="E177" s="7"/>
      <c r="F177" s="7"/>
      <c r="G177" s="7"/>
      <c r="H177" s="2367" t="s">
        <v>922</v>
      </c>
      <c r="I177" s="2368"/>
    </row>
    <row r="178" spans="1:9" ht="27" customHeight="1">
      <c r="A178" s="7"/>
      <c r="B178" s="7"/>
      <c r="D178" s="7"/>
      <c r="E178" s="7"/>
      <c r="F178" s="7"/>
      <c r="G178" s="7"/>
      <c r="H178" s="2367" t="s">
        <v>923</v>
      </c>
      <c r="I178" s="2368"/>
    </row>
    <row r="179" spans="1:9" ht="27" customHeight="1">
      <c r="A179" s="7"/>
      <c r="B179" s="7"/>
      <c r="D179" s="7"/>
      <c r="E179" s="7"/>
      <c r="F179" s="7"/>
      <c r="G179" s="7"/>
      <c r="H179" s="2367" t="s">
        <v>924</v>
      </c>
      <c r="I179" s="2368"/>
    </row>
    <row r="180" spans="1:9" ht="27" customHeight="1">
      <c r="A180" s="7"/>
      <c r="B180" s="7"/>
      <c r="D180" s="7"/>
      <c r="E180" s="7"/>
      <c r="F180" s="7"/>
      <c r="G180" s="7"/>
      <c r="H180" s="2367" t="s">
        <v>925</v>
      </c>
      <c r="I180" s="2368"/>
    </row>
    <row r="181" spans="1:9" ht="27" customHeight="1">
      <c r="A181" s="7"/>
      <c r="B181" s="7"/>
      <c r="D181" s="7"/>
      <c r="E181" s="7"/>
      <c r="F181" s="7"/>
      <c r="G181" s="7"/>
      <c r="H181" s="2367" t="s">
        <v>2150</v>
      </c>
      <c r="I181" s="2368"/>
    </row>
    <row r="182" spans="1:9" ht="27" customHeight="1">
      <c r="A182" s="7"/>
      <c r="B182" s="7"/>
      <c r="D182" s="7"/>
      <c r="E182" s="7"/>
      <c r="F182" s="7"/>
      <c r="G182" s="7"/>
      <c r="H182" s="2367" t="s">
        <v>926</v>
      </c>
      <c r="I182" s="2368"/>
    </row>
    <row r="183" spans="1:9" ht="27" customHeight="1">
      <c r="A183" s="7"/>
      <c r="B183" s="7"/>
      <c r="D183" s="7"/>
      <c r="E183" s="7"/>
      <c r="F183" s="7"/>
      <c r="G183" s="7"/>
      <c r="H183" s="2367" t="s">
        <v>927</v>
      </c>
      <c r="I183" s="2368"/>
    </row>
    <row r="184" spans="1:9" ht="27" customHeight="1">
      <c r="A184" s="7"/>
      <c r="B184" s="7"/>
      <c r="D184" s="7"/>
      <c r="E184" s="7"/>
      <c r="F184" s="7"/>
      <c r="G184" s="7"/>
      <c r="H184" s="2367" t="s">
        <v>928</v>
      </c>
      <c r="I184" s="2368"/>
    </row>
    <row r="185" spans="1:9" ht="27" customHeight="1" thickBot="1">
      <c r="A185" s="7"/>
      <c r="B185" s="7"/>
      <c r="D185" s="7"/>
      <c r="E185" s="7"/>
      <c r="F185" s="7"/>
      <c r="G185" s="7"/>
      <c r="H185" s="2369" t="s">
        <v>929</v>
      </c>
      <c r="I185" s="2370"/>
    </row>
    <row r="186" spans="1:9" ht="27" customHeight="1">
      <c r="A186" s="7"/>
      <c r="B186" s="7"/>
      <c r="D186" s="7"/>
      <c r="E186" s="7"/>
      <c r="F186" s="7"/>
      <c r="G186" s="7"/>
      <c r="H186" s="1422"/>
      <c r="I186" s="7"/>
    </row>
    <row r="187" spans="1:9" ht="27" customHeight="1">
      <c r="A187" s="7"/>
      <c r="B187" s="7"/>
      <c r="D187" s="7"/>
      <c r="E187" s="7"/>
      <c r="F187" s="7"/>
      <c r="G187" s="7"/>
      <c r="H187" s="1422"/>
      <c r="I187" s="7"/>
    </row>
    <row r="188" spans="1:9" ht="27" customHeight="1">
      <c r="A188" s="7"/>
      <c r="B188" s="7"/>
      <c r="D188" s="7"/>
      <c r="E188" s="7"/>
      <c r="F188" s="7"/>
      <c r="G188" s="7"/>
      <c r="H188" s="1390"/>
      <c r="I188" s="7"/>
    </row>
    <row r="189" spans="1:9" ht="27" customHeight="1">
      <c r="A189" s="7"/>
      <c r="B189" s="7"/>
      <c r="D189" s="7"/>
      <c r="E189" s="7"/>
      <c r="F189" s="7"/>
      <c r="G189" s="7"/>
      <c r="I189" s="7"/>
    </row>
    <row r="190" spans="1:9" ht="27" customHeight="1">
      <c r="A190" s="7"/>
      <c r="B190" s="7"/>
      <c r="D190" s="7"/>
      <c r="E190" s="7"/>
      <c r="F190" s="7"/>
      <c r="G190" s="7"/>
      <c r="I190" s="7"/>
    </row>
    <row r="191" spans="1:9">
      <c r="A191" s="7"/>
      <c r="B191" s="7"/>
      <c r="D191" s="7"/>
      <c r="E191" s="7"/>
      <c r="F191" s="7"/>
      <c r="G191" s="7"/>
      <c r="I191" s="7"/>
    </row>
    <row r="192" spans="1:9" ht="26.4" customHeight="1">
      <c r="I192" s="7"/>
    </row>
  </sheetData>
  <sheetProtection password="C74A" sheet="1" objects="1" scenarios="1" formatCells="0" formatColumns="0" formatRows="0"/>
  <customSheetViews>
    <customSheetView guid="{B8E02330-2419-4DE6-AD01-7ACC7A5D18DD}" scale="75" topLeftCell="A88">
      <selection activeCell="C98" sqref="C98"/>
      <pageMargins left="0.75" right="0.75" top="1" bottom="1" header="0.5" footer="0.5"/>
      <pageSetup orientation="portrait" r:id="rId1"/>
      <headerFooter alignWithMargins="0"/>
    </customSheetView>
  </customSheetViews>
  <mergeCells count="149">
    <mergeCell ref="B3:B9"/>
    <mergeCell ref="H3:H9"/>
    <mergeCell ref="B54:B58"/>
    <mergeCell ref="B59:B64"/>
    <mergeCell ref="H16:H24"/>
    <mergeCell ref="H10:H14"/>
    <mergeCell ref="H25:H30"/>
    <mergeCell ref="H95:H98"/>
    <mergeCell ref="E1:I1"/>
    <mergeCell ref="I3:I9"/>
    <mergeCell ref="B71:B77"/>
    <mergeCell ref="A1:B1"/>
    <mergeCell ref="A3:A9"/>
    <mergeCell ref="B25:B30"/>
    <mergeCell ref="I10:I14"/>
    <mergeCell ref="I16:I24"/>
    <mergeCell ref="I25:I30"/>
    <mergeCell ref="I31:I36"/>
    <mergeCell ref="I37:I41"/>
    <mergeCell ref="I65:I70"/>
    <mergeCell ref="I42:I47"/>
    <mergeCell ref="A16:A24"/>
    <mergeCell ref="A37:A41"/>
    <mergeCell ref="A25:A30"/>
    <mergeCell ref="A10:A14"/>
    <mergeCell ref="B99:B103"/>
    <mergeCell ref="H99:H103"/>
    <mergeCell ref="B65:B70"/>
    <mergeCell ref="B95:B98"/>
    <mergeCell ref="H42:H47"/>
    <mergeCell ref="H91:H94"/>
    <mergeCell ref="H85:H90"/>
    <mergeCell ref="H54:H58"/>
    <mergeCell ref="H71:H77"/>
    <mergeCell ref="H78:H84"/>
    <mergeCell ref="B91:B94"/>
    <mergeCell ref="H59:H64"/>
    <mergeCell ref="H31:H36"/>
    <mergeCell ref="A71:A77"/>
    <mergeCell ref="A99:A103"/>
    <mergeCell ref="B16:B24"/>
    <mergeCell ref="B10:B14"/>
    <mergeCell ref="A65:A70"/>
    <mergeCell ref="H48:H53"/>
    <mergeCell ref="H65:H70"/>
    <mergeCell ref="A104:A110"/>
    <mergeCell ref="B104:B110"/>
    <mergeCell ref="B37:B41"/>
    <mergeCell ref="A111:A115"/>
    <mergeCell ref="A48:A53"/>
    <mergeCell ref="A91:A94"/>
    <mergeCell ref="A95:A98"/>
    <mergeCell ref="B85:B90"/>
    <mergeCell ref="A85:A90"/>
    <mergeCell ref="B42:B47"/>
    <mergeCell ref="A59:A64"/>
    <mergeCell ref="B78:B84"/>
    <mergeCell ref="B48:B53"/>
    <mergeCell ref="A78:A84"/>
    <mergeCell ref="A54:A58"/>
    <mergeCell ref="A42:A47"/>
    <mergeCell ref="A123:B125"/>
    <mergeCell ref="D119:F119"/>
    <mergeCell ref="A119:C122"/>
    <mergeCell ref="A31:A36"/>
    <mergeCell ref="B31:B36"/>
    <mergeCell ref="B111:B115"/>
    <mergeCell ref="C125:E125"/>
    <mergeCell ref="H104:H110"/>
    <mergeCell ref="D121:F121"/>
    <mergeCell ref="D122:F122"/>
    <mergeCell ref="C124:E124"/>
    <mergeCell ref="D120:F120"/>
    <mergeCell ref="H111:H115"/>
    <mergeCell ref="C123:H123"/>
    <mergeCell ref="H124:I124"/>
    <mergeCell ref="H125:I125"/>
    <mergeCell ref="A118:H118"/>
    <mergeCell ref="H37:H41"/>
    <mergeCell ref="I85:I90"/>
    <mergeCell ref="I91:I94"/>
    <mergeCell ref="I95:I98"/>
    <mergeCell ref="I104:I110"/>
    <mergeCell ref="I111:I115"/>
    <mergeCell ref="I48:I53"/>
    <mergeCell ref="I54:I58"/>
    <mergeCell ref="I59:I64"/>
    <mergeCell ref="I71:I77"/>
    <mergeCell ref="I78:I84"/>
    <mergeCell ref="H132:I132"/>
    <mergeCell ref="I99:I103"/>
    <mergeCell ref="H133:I133"/>
    <mergeCell ref="H134:I134"/>
    <mergeCell ref="H135:I135"/>
    <mergeCell ref="H136:I136"/>
    <mergeCell ref="H127:I127"/>
    <mergeCell ref="H128:I128"/>
    <mergeCell ref="H129:I129"/>
    <mergeCell ref="H130:I130"/>
    <mergeCell ref="H131:I131"/>
    <mergeCell ref="H142:I142"/>
    <mergeCell ref="H143:I143"/>
    <mergeCell ref="H144:I144"/>
    <mergeCell ref="H145:I145"/>
    <mergeCell ref="H146:I146"/>
    <mergeCell ref="H137:I137"/>
    <mergeCell ref="H138:I138"/>
    <mergeCell ref="H139:I139"/>
    <mergeCell ref="H140:I140"/>
    <mergeCell ref="H141:I141"/>
    <mergeCell ref="H152:I152"/>
    <mergeCell ref="H153:I153"/>
    <mergeCell ref="H154:I154"/>
    <mergeCell ref="H155:I155"/>
    <mergeCell ref="H156:I156"/>
    <mergeCell ref="H147:I147"/>
    <mergeCell ref="H148:I148"/>
    <mergeCell ref="H149:I149"/>
    <mergeCell ref="H150:I150"/>
    <mergeCell ref="H151:I151"/>
    <mergeCell ref="H162:I162"/>
    <mergeCell ref="H163:I163"/>
    <mergeCell ref="H164:I164"/>
    <mergeCell ref="H165:I165"/>
    <mergeCell ref="H166:I166"/>
    <mergeCell ref="H157:I157"/>
    <mergeCell ref="H158:I158"/>
    <mergeCell ref="H159:I159"/>
    <mergeCell ref="H160:I160"/>
    <mergeCell ref="H161:I161"/>
    <mergeCell ref="H172:I172"/>
    <mergeCell ref="H173:I173"/>
    <mergeCell ref="H174:I174"/>
    <mergeCell ref="H175:I175"/>
    <mergeCell ref="H176:I176"/>
    <mergeCell ref="H167:I167"/>
    <mergeCell ref="H168:I168"/>
    <mergeCell ref="H169:I169"/>
    <mergeCell ref="H170:I170"/>
    <mergeCell ref="H171:I171"/>
    <mergeCell ref="H182:I182"/>
    <mergeCell ref="H183:I183"/>
    <mergeCell ref="H184:I184"/>
    <mergeCell ref="H185:I185"/>
    <mergeCell ref="H177:I177"/>
    <mergeCell ref="H178:I178"/>
    <mergeCell ref="H179:I179"/>
    <mergeCell ref="H180:I180"/>
    <mergeCell ref="H181:I181"/>
  </mergeCells>
  <phoneticPr fontId="2" type="noConversion"/>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sheetPr codeName="Sheet33"/>
  <dimension ref="A1:J148"/>
  <sheetViews>
    <sheetView zoomScaleNormal="100" workbookViewId="0">
      <selection sqref="A1:B1"/>
    </sheetView>
  </sheetViews>
  <sheetFormatPr defaultColWidth="9.33203125" defaultRowHeight="13.8"/>
  <cols>
    <col min="1" max="1" width="5.77734375" style="33" customWidth="1"/>
    <col min="2" max="2" width="18.77734375" style="7" customWidth="1"/>
    <col min="3" max="3" width="69.77734375" style="7" customWidth="1"/>
    <col min="4" max="6" width="6.77734375" style="157" customWidth="1"/>
    <col min="7" max="7" width="9.77734375" style="156" customWidth="1"/>
    <col min="8" max="8" width="69.77734375" style="8" customWidth="1"/>
    <col min="9" max="9" width="11.77734375" style="8" customWidth="1"/>
    <col min="10" max="10" width="9.33203125" style="138"/>
    <col min="11" max="16384" width="9.33203125" style="7"/>
  </cols>
  <sheetData>
    <row r="1" spans="1:10" s="130" customFormat="1" ht="69" customHeight="1" thickBot="1">
      <c r="A1" s="2604" t="s">
        <v>2991</v>
      </c>
      <c r="B1" s="2605"/>
      <c r="C1" s="124" t="s">
        <v>2992</v>
      </c>
      <c r="D1" s="153" t="s">
        <v>1238</v>
      </c>
      <c r="E1" s="2477"/>
      <c r="F1" s="2478"/>
      <c r="G1" s="2478"/>
      <c r="H1" s="2478"/>
      <c r="I1" s="2478"/>
      <c r="J1" s="138"/>
    </row>
    <row r="2" spans="1:10" s="138" customFormat="1" ht="36" customHeight="1" thickBot="1">
      <c r="A2" s="1555" t="s">
        <v>168</v>
      </c>
      <c r="B2" s="1555" t="s">
        <v>1391</v>
      </c>
      <c r="C2" s="1596" t="s">
        <v>1354</v>
      </c>
      <c r="D2" s="1555" t="s">
        <v>64</v>
      </c>
      <c r="E2" s="1668" t="s">
        <v>1383</v>
      </c>
      <c r="F2" s="1669" t="s">
        <v>1384</v>
      </c>
      <c r="G2" s="1670" t="s">
        <v>1293</v>
      </c>
      <c r="H2" s="1555" t="s">
        <v>1294</v>
      </c>
      <c r="I2" s="1648" t="s">
        <v>2622</v>
      </c>
    </row>
    <row r="3" spans="1:10" ht="21" customHeight="1" thickBot="1">
      <c r="A3" s="2600" t="str">
        <f>OF!A122</f>
        <v>OF27</v>
      </c>
      <c r="B3" s="2606" t="str">
        <f>OF!B122</f>
        <v>Internal Flow Distance (Path Length)</v>
      </c>
      <c r="C3" s="686" t="str">
        <f>OF!C122</f>
        <v xml:space="preserve">The horizontal flow distance from the wetland's inlet to outlet is: </v>
      </c>
      <c r="D3" s="360"/>
      <c r="E3" s="379"/>
      <c r="F3" s="363"/>
      <c r="G3" s="538">
        <f>MAX(F4:F9)/MAX(E4:E9)</f>
        <v>0</v>
      </c>
      <c r="H3" s="2148" t="s">
        <v>1171</v>
      </c>
      <c r="I3" s="2148" t="s">
        <v>1190</v>
      </c>
    </row>
    <row r="4" spans="1:10" ht="15" customHeight="1">
      <c r="A4" s="2601"/>
      <c r="B4" s="2607"/>
      <c r="C4" s="533" t="str">
        <f>OF!C123</f>
        <v>&lt;10 m</v>
      </c>
      <c r="D4" s="258">
        <f>OF!D123</f>
        <v>0</v>
      </c>
      <c r="E4" s="377">
        <v>1</v>
      </c>
      <c r="F4" s="361">
        <f t="shared" ref="F4:F9" si="0">D4*E4</f>
        <v>0</v>
      </c>
      <c r="G4" s="630"/>
      <c r="H4" s="2146"/>
      <c r="I4" s="2146"/>
    </row>
    <row r="5" spans="1:10" ht="15" customHeight="1">
      <c r="A5" s="2601"/>
      <c r="B5" s="2607"/>
      <c r="C5" s="533" t="str">
        <f>OF!C124</f>
        <v>10 - 50 m</v>
      </c>
      <c r="D5" s="258">
        <f>OF!D124</f>
        <v>0</v>
      </c>
      <c r="E5" s="377">
        <v>2</v>
      </c>
      <c r="F5" s="361">
        <f t="shared" si="0"/>
        <v>0</v>
      </c>
      <c r="G5" s="630"/>
      <c r="H5" s="2146"/>
      <c r="I5" s="2146"/>
    </row>
    <row r="6" spans="1:10" ht="15" customHeight="1">
      <c r="A6" s="2601"/>
      <c r="B6" s="2607"/>
      <c r="C6" s="533" t="str">
        <f>OF!C125</f>
        <v>50 - 100 m</v>
      </c>
      <c r="D6" s="258">
        <f>OF!D125</f>
        <v>0</v>
      </c>
      <c r="E6" s="377">
        <v>3</v>
      </c>
      <c r="F6" s="361">
        <f t="shared" si="0"/>
        <v>0</v>
      </c>
      <c r="G6" s="630"/>
      <c r="H6" s="2146"/>
      <c r="I6" s="2146"/>
    </row>
    <row r="7" spans="1:10" ht="15" customHeight="1">
      <c r="A7" s="2601"/>
      <c r="B7" s="2607"/>
      <c r="C7" s="533" t="str">
        <f>OF!C126</f>
        <v>100 - 1000 m</v>
      </c>
      <c r="D7" s="258">
        <f>OF!D126</f>
        <v>0</v>
      </c>
      <c r="E7" s="377">
        <v>4</v>
      </c>
      <c r="F7" s="361">
        <f t="shared" si="0"/>
        <v>0</v>
      </c>
      <c r="G7" s="630"/>
      <c r="H7" s="2146"/>
      <c r="I7" s="2146"/>
    </row>
    <row r="8" spans="1:10" ht="15" customHeight="1">
      <c r="A8" s="2601"/>
      <c r="B8" s="2607"/>
      <c r="C8" s="533" t="str">
        <f>OF!C127</f>
        <v>1- 2 km</v>
      </c>
      <c r="D8" s="258">
        <f>OF!D127</f>
        <v>0</v>
      </c>
      <c r="E8" s="377">
        <v>5</v>
      </c>
      <c r="F8" s="361">
        <f t="shared" si="0"/>
        <v>0</v>
      </c>
      <c r="G8" s="630"/>
      <c r="H8" s="2146"/>
      <c r="I8" s="2146"/>
    </row>
    <row r="9" spans="1:10" ht="15" customHeight="1" thickBot="1">
      <c r="A9" s="2602"/>
      <c r="B9" s="2608"/>
      <c r="C9" s="671" t="str">
        <f>OF!C128</f>
        <v>&gt;2 km, or wetland lacks an outlet.</v>
      </c>
      <c r="D9" s="287">
        <f>OF!D128</f>
        <v>0</v>
      </c>
      <c r="E9" s="378">
        <v>6</v>
      </c>
      <c r="F9" s="362">
        <f t="shared" si="0"/>
        <v>0</v>
      </c>
      <c r="G9" s="631"/>
      <c r="H9" s="2149"/>
      <c r="I9" s="2149"/>
    </row>
    <row r="10" spans="1:10" ht="30" customHeight="1" thickBot="1">
      <c r="A10" s="2329" t="str">
        <f>OF!A129</f>
        <v>OF28</v>
      </c>
      <c r="B10" s="2341" t="str">
        <f>OF!B129</f>
        <v>Growing Degree Days</v>
      </c>
      <c r="C10" s="561" t="str">
        <f>OF!C129</f>
        <v>According to Figure A-1 in Appendix A of the Manual, the mean annual Growing Degree Days (GDD) in the vicinity of the AA is approximately:</v>
      </c>
      <c r="D10" s="365"/>
      <c r="E10" s="367"/>
      <c r="F10" s="368"/>
      <c r="G10" s="584">
        <f>MAX(F11:F16)/MAX(E11:E16)</f>
        <v>0</v>
      </c>
      <c r="H10" s="2146" t="s">
        <v>1823</v>
      </c>
      <c r="I10" s="2148" t="s">
        <v>1189</v>
      </c>
    </row>
    <row r="11" spans="1:10" ht="15" customHeight="1">
      <c r="A11" s="2329"/>
      <c r="B11" s="2341"/>
      <c r="C11" s="170" t="str">
        <f>OF!C130</f>
        <v>800-1000 days</v>
      </c>
      <c r="D11" s="261">
        <f>OF!D130</f>
        <v>0</v>
      </c>
      <c r="E11" s="369">
        <v>0</v>
      </c>
      <c r="F11" s="370">
        <f t="shared" ref="F11:F16" si="1">D11*E11</f>
        <v>0</v>
      </c>
      <c r="G11" s="578"/>
      <c r="H11" s="2146"/>
      <c r="I11" s="2146"/>
    </row>
    <row r="12" spans="1:10" ht="15" customHeight="1">
      <c r="A12" s="2329"/>
      <c r="B12" s="2341"/>
      <c r="C12" s="82" t="str">
        <f>OF!C131</f>
        <v>1000-1200</v>
      </c>
      <c r="D12" s="245">
        <f>OF!D131</f>
        <v>0</v>
      </c>
      <c r="E12" s="369">
        <v>1</v>
      </c>
      <c r="F12" s="370">
        <f t="shared" si="1"/>
        <v>0</v>
      </c>
      <c r="G12" s="578"/>
      <c r="H12" s="2146"/>
      <c r="I12" s="2146"/>
    </row>
    <row r="13" spans="1:10" ht="15" customHeight="1">
      <c r="A13" s="2329"/>
      <c r="B13" s="2341"/>
      <c r="C13" s="82" t="str">
        <f>OF!C132</f>
        <v>1200-1400</v>
      </c>
      <c r="D13" s="245">
        <f>OF!D132</f>
        <v>0</v>
      </c>
      <c r="E13" s="369">
        <v>2</v>
      </c>
      <c r="F13" s="370">
        <f t="shared" si="1"/>
        <v>0</v>
      </c>
      <c r="G13" s="578"/>
      <c r="H13" s="2146"/>
      <c r="I13" s="2146"/>
    </row>
    <row r="14" spans="1:10" ht="15" customHeight="1">
      <c r="A14" s="2329"/>
      <c r="B14" s="2341"/>
      <c r="C14" s="82" t="str">
        <f>OF!C133</f>
        <v>1400-1600</v>
      </c>
      <c r="D14" s="245">
        <f>OF!D133</f>
        <v>0</v>
      </c>
      <c r="E14" s="369">
        <v>3</v>
      </c>
      <c r="F14" s="370">
        <f t="shared" si="1"/>
        <v>0</v>
      </c>
      <c r="G14" s="578"/>
      <c r="H14" s="2146"/>
      <c r="I14" s="2146"/>
    </row>
    <row r="15" spans="1:10" ht="15" customHeight="1">
      <c r="A15" s="2329"/>
      <c r="B15" s="2341"/>
      <c r="C15" s="82" t="str">
        <f>OF!C134</f>
        <v>1600-1800</v>
      </c>
      <c r="D15" s="245">
        <f>OF!D134</f>
        <v>0</v>
      </c>
      <c r="E15" s="369">
        <v>4</v>
      </c>
      <c r="F15" s="370">
        <f t="shared" si="1"/>
        <v>0</v>
      </c>
      <c r="G15" s="579"/>
      <c r="H15" s="2146"/>
      <c r="I15" s="2146"/>
    </row>
    <row r="16" spans="1:10" ht="15" customHeight="1" thickBot="1">
      <c r="A16" s="2330"/>
      <c r="B16" s="2342"/>
      <c r="C16" s="438" t="str">
        <f>OF!C135</f>
        <v>&gt;1800 days</v>
      </c>
      <c r="D16" s="246">
        <f>OF!D135</f>
        <v>0</v>
      </c>
      <c r="E16" s="580">
        <v>5</v>
      </c>
      <c r="F16" s="581">
        <f t="shared" si="1"/>
        <v>0</v>
      </c>
      <c r="G16" s="582"/>
      <c r="H16" s="2149"/>
      <c r="I16" s="2149"/>
    </row>
    <row r="17" spans="1:10" s="84" customFormat="1" ht="75" customHeight="1" thickBot="1">
      <c r="A17" s="667" t="str">
        <f>OF!A154</f>
        <v>OF38</v>
      </c>
      <c r="B17" s="674" t="str">
        <f>OF!B154</f>
        <v>Calcareous Region</v>
      </c>
      <c r="C17" s="669" t="str">
        <f>OF!C154</f>
        <v>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 If no map coverage, change to blank. In NB: see Figure A-6 in Appendix A of the Manual, or use GIS with Bedrock Geology shapefile at http://www.snb.ca/geonb1/e/DC/catalogue-E.asp</v>
      </c>
      <c r="D17" s="286">
        <f>IF((OF!D154=""),"",OF!D154)</f>
        <v>0</v>
      </c>
      <c r="E17" s="739"/>
      <c r="F17" s="679"/>
      <c r="G17" s="680" t="str">
        <f>IF((D17=0),"",IF((D17=""),"",1))</f>
        <v/>
      </c>
      <c r="H17" s="195" t="s">
        <v>2426</v>
      </c>
      <c r="I17" s="1683" t="s">
        <v>535</v>
      </c>
      <c r="J17" s="144"/>
    </row>
    <row r="18" spans="1:10" ht="21" customHeight="1" thickBot="1">
      <c r="A18" s="2389" t="str">
        <f>F!A4</f>
        <v>F1</v>
      </c>
      <c r="B18" s="2148" t="str">
        <f>F!B4</f>
        <v>Wetland Type</v>
      </c>
      <c r="C18" s="556" t="str">
        <f>F!C4</f>
        <v>The vegetated part of the Assessment Area (AA) is mostly a (select ONE):</v>
      </c>
      <c r="D18" s="365"/>
      <c r="E18" s="360"/>
      <c r="F18" s="360"/>
      <c r="G18" s="538">
        <f>MAX(F19:F22)/MAX(E19:E22)</f>
        <v>0</v>
      </c>
      <c r="H18" s="2146" t="s">
        <v>2209</v>
      </c>
      <c r="I18" s="2148" t="s">
        <v>1191</v>
      </c>
    </row>
    <row r="19" spans="1:10" ht="57" customHeight="1">
      <c r="A19" s="2390"/>
      <c r="B19" s="2146"/>
      <c r="C19" s="552"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19" s="354">
        <f>F!D5</f>
        <v>0</v>
      </c>
      <c r="E19" s="361">
        <v>2</v>
      </c>
      <c r="F19" s="361">
        <f>D19*E19</f>
        <v>0</v>
      </c>
      <c r="G19" s="639"/>
      <c r="H19" s="2146"/>
      <c r="I19" s="2146"/>
    </row>
    <row r="20" spans="1:10" ht="57" customHeight="1">
      <c r="A20" s="2390"/>
      <c r="B20" s="2146"/>
      <c r="C20" s="437"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20" s="254">
        <f>F!D6</f>
        <v>0</v>
      </c>
      <c r="E20" s="361">
        <v>1</v>
      </c>
      <c r="F20" s="361">
        <f>D20*E20</f>
        <v>0</v>
      </c>
      <c r="G20" s="639"/>
      <c r="H20" s="2146"/>
      <c r="I20" s="2146"/>
    </row>
    <row r="21" spans="1:10" ht="69" customHeight="1">
      <c r="A21" s="2390"/>
      <c r="B21" s="2146"/>
      <c r="C21" s="437"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21" s="254">
        <f>F!D7</f>
        <v>0</v>
      </c>
      <c r="E21" s="361">
        <v>4</v>
      </c>
      <c r="F21" s="361">
        <f>D21*E21</f>
        <v>0</v>
      </c>
      <c r="G21" s="639"/>
      <c r="H21" s="2146"/>
      <c r="I21" s="2146"/>
    </row>
    <row r="22" spans="1:10" ht="69" customHeight="1" thickBot="1">
      <c r="A22" s="2390"/>
      <c r="B22" s="2146"/>
      <c r="C22" s="437"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22" s="254">
        <f>F!D8</f>
        <v>0</v>
      </c>
      <c r="E22" s="364">
        <v>3</v>
      </c>
      <c r="F22" s="364">
        <f>D22*E22</f>
        <v>0</v>
      </c>
      <c r="G22" s="639"/>
      <c r="H22" s="2146"/>
      <c r="I22" s="2149"/>
    </row>
    <row r="23" spans="1:10" ht="30" customHeight="1" thickBot="1">
      <c r="A23" s="2218" t="str">
        <f>F!A45</f>
        <v>F9</v>
      </c>
      <c r="B23" s="2218" t="str">
        <f>F!B45</f>
        <v>N Fixers</v>
      </c>
      <c r="C23" s="436" t="str">
        <f>F!C45</f>
        <v>The percentage of the AA's shrub plus ground cover that contains nitrogen-fixing plants (e.g., alder, bayberry, clover, lupine, alfalfa, other legumes) is:</v>
      </c>
      <c r="D23" s="365"/>
      <c r="E23" s="365"/>
      <c r="F23" s="366"/>
      <c r="G23" s="537">
        <f>MAX(F24:F28)/MAX(E24:E28)</f>
        <v>0</v>
      </c>
      <c r="H23" s="2584" t="s">
        <v>729</v>
      </c>
      <c r="I23" s="2146" t="s">
        <v>175</v>
      </c>
    </row>
    <row r="24" spans="1:10" ht="15" customHeight="1">
      <c r="A24" s="2211"/>
      <c r="B24" s="2211"/>
      <c r="C24" s="30" t="str">
        <f>F!C46</f>
        <v>&lt;1% or none</v>
      </c>
      <c r="D24" s="256">
        <f>F!D46</f>
        <v>0</v>
      </c>
      <c r="E24" s="361">
        <v>0</v>
      </c>
      <c r="F24" s="361">
        <f>D24*E24</f>
        <v>0</v>
      </c>
      <c r="G24" s="629"/>
      <c r="H24" s="2585"/>
      <c r="I24" s="2146"/>
    </row>
    <row r="25" spans="1:10" ht="15" customHeight="1">
      <c r="A25" s="2211"/>
      <c r="B25" s="2211"/>
      <c r="C25" s="30" t="str">
        <f>F!C47</f>
        <v>1-25% of the shrub plus ground cover, in the AA or along its water edge (whichever has more).</v>
      </c>
      <c r="D25" s="256">
        <f>F!D47</f>
        <v>0</v>
      </c>
      <c r="E25" s="361">
        <v>1</v>
      </c>
      <c r="F25" s="361">
        <f>D25*E25</f>
        <v>0</v>
      </c>
      <c r="G25" s="630"/>
      <c r="H25" s="2585"/>
      <c r="I25" s="2146"/>
    </row>
    <row r="26" spans="1:10" ht="15" customHeight="1">
      <c r="A26" s="2211"/>
      <c r="B26" s="2211"/>
      <c r="C26" s="30" t="str">
        <f>F!C48</f>
        <v>25-50% of the shrub plus ground cover, in the AA or along its water edge (whichever has more).</v>
      </c>
      <c r="D26" s="256">
        <f>F!D48</f>
        <v>0</v>
      </c>
      <c r="E26" s="361">
        <v>2</v>
      </c>
      <c r="F26" s="361">
        <f>D26*E26</f>
        <v>0</v>
      </c>
      <c r="G26" s="630"/>
      <c r="H26" s="2585"/>
      <c r="I26" s="2146"/>
    </row>
    <row r="27" spans="1:10" ht="15" customHeight="1">
      <c r="A27" s="2211"/>
      <c r="B27" s="2211"/>
      <c r="C27" s="30" t="str">
        <f>F!C49</f>
        <v>50-75% of the shrub plus ground cover, in the AA or along its water edge (whichever has more).</v>
      </c>
      <c r="D27" s="256">
        <f>F!D49</f>
        <v>0</v>
      </c>
      <c r="E27" s="361">
        <v>3</v>
      </c>
      <c r="F27" s="361">
        <f>D27*E27</f>
        <v>0</v>
      </c>
      <c r="G27" s="630"/>
      <c r="H27" s="2585"/>
      <c r="I27" s="2146"/>
    </row>
    <row r="28" spans="1:10" ht="15" customHeight="1" thickBot="1">
      <c r="A28" s="2420"/>
      <c r="B28" s="2420"/>
      <c r="C28" s="1624" t="str">
        <f>F!C50</f>
        <v>&gt;75% of the shrub plus ground cover, in the AA or along its water edge (whichever has more).</v>
      </c>
      <c r="D28" s="290">
        <f>F!D50</f>
        <v>0</v>
      </c>
      <c r="E28" s="362">
        <v>4</v>
      </c>
      <c r="F28" s="362">
        <f>D28*E28</f>
        <v>0</v>
      </c>
      <c r="G28" s="631"/>
      <c r="H28" s="2586"/>
      <c r="I28" s="2149"/>
    </row>
    <row r="29" spans="1:10" ht="30" customHeight="1" thickBot="1">
      <c r="A29" s="2316" t="str">
        <f>F!A57</f>
        <v>F11</v>
      </c>
      <c r="B29" s="2218" t="str">
        <f>F!B57</f>
        <v>% Bare Ground &amp; Thatch</v>
      </c>
      <c r="C29" s="436" t="str">
        <f>F!C57</f>
        <v>Consider the parts of the AA that lack surface water at the driest time of the growing season. Viewed from directly above the ground layer, the predominant condition in those areas at that time is:</v>
      </c>
      <c r="D29" s="365"/>
      <c r="E29" s="365"/>
      <c r="F29" s="366"/>
      <c r="G29" s="537">
        <f>MAX(F30:F33)/MAX(E30:E33)</f>
        <v>0</v>
      </c>
      <c r="H29" s="2584" t="s">
        <v>2152</v>
      </c>
      <c r="I29" s="2148" t="s">
        <v>176</v>
      </c>
    </row>
    <row r="30" spans="1:10" ht="42" customHeight="1">
      <c r="A30" s="2201"/>
      <c r="B30" s="2211"/>
      <c r="C30" s="30" t="str">
        <f>F!C58</f>
        <v>Little or no (&lt;5%) bare ground is visible between erect stems or under canopy anywhere in the vegetated AA. Ground is extensively blanketed by dense thatch, moss, lichens, graminoids with great stem densities, or plants with ground-hugging foliage. </v>
      </c>
      <c r="D30" s="256">
        <f>F!D58</f>
        <v>0</v>
      </c>
      <c r="E30" s="361">
        <v>3</v>
      </c>
      <c r="F30" s="361">
        <f>D30*E30</f>
        <v>0</v>
      </c>
      <c r="G30" s="629"/>
      <c r="H30" s="2585"/>
      <c r="I30" s="2146"/>
    </row>
    <row r="31" spans="1:10" ht="27" customHeight="1">
      <c r="A31" s="2201"/>
      <c r="B31" s="2211"/>
      <c r="C31" s="6" t="str">
        <f>F!C59</f>
        <v>Slightly bare ground (5-20% bare between plants) is visible in places, but those areas comprise less than 5% of the unflooded parts of the AA.</v>
      </c>
      <c r="D31" s="247">
        <f>F!D59</f>
        <v>0</v>
      </c>
      <c r="E31" s="361">
        <v>2</v>
      </c>
      <c r="F31" s="361">
        <f>D31*E31</f>
        <v>0</v>
      </c>
      <c r="G31" s="630"/>
      <c r="H31" s="2585"/>
      <c r="I31" s="2146"/>
    </row>
    <row r="32" spans="1:10" ht="27" customHeight="1">
      <c r="A32" s="2201"/>
      <c r="B32" s="2211"/>
      <c r="C32" s="6" t="str">
        <f>F!C60</f>
        <v>Much bare ground (20-50% bare between plants) is visible in places, and those areas comprise more than 5% of the unflooded parts of the AA. </v>
      </c>
      <c r="D32" s="247">
        <f>F!D60</f>
        <v>0</v>
      </c>
      <c r="E32" s="361">
        <v>1</v>
      </c>
      <c r="F32" s="361">
        <f>D32*E32</f>
        <v>0</v>
      </c>
      <c r="G32" s="630"/>
      <c r="H32" s="2585"/>
      <c r="I32" s="2146"/>
    </row>
    <row r="33" spans="1:9" ht="15" customHeight="1" thickBot="1">
      <c r="A33" s="2317"/>
      <c r="B33" s="2420"/>
      <c r="C33" s="194" t="str">
        <f>F!C61</f>
        <v>Other conditions.</v>
      </c>
      <c r="D33" s="248">
        <f>F!D61</f>
        <v>0</v>
      </c>
      <c r="E33" s="362">
        <v>0</v>
      </c>
      <c r="F33" s="362">
        <f>D33*E33</f>
        <v>0</v>
      </c>
      <c r="G33" s="631"/>
      <c r="H33" s="2586"/>
      <c r="I33" s="2149"/>
    </row>
    <row r="34" spans="1:9" ht="45" customHeight="1" thickBot="1">
      <c r="A34" s="2361" t="str">
        <f>F!A71</f>
        <v>F14</v>
      </c>
      <c r="B34" s="2148" t="str">
        <f>F!B71</f>
        <v>Soil Texture</v>
      </c>
      <c r="C34" s="436" t="str">
        <f>F!C71</f>
        <v xml:space="preserve">In parts of the AA that lack persistent water, the texture of soil in the uppermost layer is mostly:  [To determine this, use a trowel to check in at least 3 widely spaced locations, and use the soil texture key (Figure A-7 in the Manual. ] </v>
      </c>
      <c r="D34" s="365"/>
      <c r="E34" s="365"/>
      <c r="F34" s="366"/>
      <c r="G34" s="665">
        <f>MAX(F35:F39)/MAX(E35:E39)</f>
        <v>0</v>
      </c>
      <c r="H34" s="2588" t="s">
        <v>1091</v>
      </c>
      <c r="I34" s="2148" t="s">
        <v>177</v>
      </c>
    </row>
    <row r="35" spans="1:9" ht="15" customHeight="1">
      <c r="A35" s="2361"/>
      <c r="B35" s="2146"/>
      <c r="C35" s="30" t="str">
        <f>F!C72</f>
        <v>Loamy: includes loam, sandy loam.</v>
      </c>
      <c r="D35" s="256">
        <f>F!D72</f>
        <v>0</v>
      </c>
      <c r="E35" s="361">
        <v>2</v>
      </c>
      <c r="F35" s="361">
        <f>D35*E35</f>
        <v>0</v>
      </c>
      <c r="G35" s="763"/>
      <c r="H35" s="2585"/>
      <c r="I35" s="2146"/>
    </row>
    <row r="36" spans="1:9" ht="27" customHeight="1">
      <c r="A36" s="2361"/>
      <c r="B36" s="2146"/>
      <c r="C36" s="6" t="str">
        <f>F!C73</f>
        <v>Fines: includes silt, clay, clay loam, silty clay, silty clay loam, sandy clay, sandy clay loam.</v>
      </c>
      <c r="D36" s="247">
        <f>F!D73</f>
        <v>0</v>
      </c>
      <c r="E36" s="361">
        <v>1</v>
      </c>
      <c r="F36" s="361">
        <f>D36*E36</f>
        <v>0</v>
      </c>
      <c r="G36" s="764"/>
      <c r="H36" s="2585"/>
      <c r="I36" s="2146"/>
    </row>
    <row r="37" spans="1:9" ht="15" customHeight="1">
      <c r="A37" s="2361"/>
      <c r="B37" s="2146"/>
      <c r="C37" s="6" t="str">
        <f>F!C74</f>
        <v>Peat, to 40 cm depth or greater.</v>
      </c>
      <c r="D37" s="247">
        <f>F!D74</f>
        <v>0</v>
      </c>
      <c r="E37" s="361">
        <v>3</v>
      </c>
      <c r="F37" s="361">
        <f>D37*E37</f>
        <v>0</v>
      </c>
      <c r="G37" s="764"/>
      <c r="H37" s="2585"/>
      <c r="I37" s="2146"/>
    </row>
    <row r="38" spans="1:9" ht="15" customHeight="1">
      <c r="A38" s="2361"/>
      <c r="B38" s="2146"/>
      <c r="C38" s="6" t="str">
        <f>F!C75</f>
        <v xml:space="preserve">Peat or organic &lt;40 cm deep. </v>
      </c>
      <c r="D38" s="247">
        <f>F!D75</f>
        <v>0</v>
      </c>
      <c r="E38" s="361">
        <v>4</v>
      </c>
      <c r="F38" s="361">
        <f>D38*E38</f>
        <v>0</v>
      </c>
      <c r="G38" s="1021"/>
      <c r="H38" s="2585"/>
      <c r="I38" s="2146"/>
    </row>
    <row r="39" spans="1:9" ht="27" customHeight="1" thickBot="1">
      <c r="A39" s="2361"/>
      <c r="B39" s="2149"/>
      <c r="C39" s="194" t="str">
        <f>F!C76</f>
        <v>Coarse: includes sand, loamy sand, gravel, cobble, stones, boulders, fluvents, fluvaquents, riverwash.</v>
      </c>
      <c r="D39" s="248">
        <f>F!D76</f>
        <v>0</v>
      </c>
      <c r="E39" s="362">
        <v>0</v>
      </c>
      <c r="F39" s="362">
        <f>D39*E39</f>
        <v>0</v>
      </c>
      <c r="G39" s="765"/>
      <c r="H39" s="2589"/>
      <c r="I39" s="2149"/>
    </row>
    <row r="40" spans="1:9" ht="30" customHeight="1" thickBot="1">
      <c r="A40" s="2155" t="str">
        <f>F!A157</f>
        <v>F31</v>
      </c>
      <c r="B40" s="2593" t="str">
        <f>F!B157</f>
        <v>% of Water That Is Ponded (not Flowing)</v>
      </c>
      <c r="C40" s="532" t="str">
        <f>F!C157</f>
        <v>During most times when surface water is present, the percentage that is ponded (stagnant, or flows so slowly that fine sediment is not held in suspension) is:</v>
      </c>
      <c r="D40" s="365"/>
      <c r="E40" s="365"/>
      <c r="F40" s="636"/>
      <c r="G40" s="537">
        <f>IF((AllSat1=1),"",MAX(F41:F45)/MAX(E41:E45))</f>
        <v>0</v>
      </c>
      <c r="H40" s="2148" t="s">
        <v>2300</v>
      </c>
      <c r="I40" s="2148" t="s">
        <v>1163</v>
      </c>
    </row>
    <row r="41" spans="1:9" ht="27" customHeight="1">
      <c r="A41" s="2145"/>
      <c r="B41" s="2432"/>
      <c r="C41" s="672" t="str">
        <f>F!C158</f>
        <v>&lt;5% of the water, or it occupies &lt;100 sq.m cumulatively. Nearly all the surface water is flowing. SKIP to F34.</v>
      </c>
      <c r="D41" s="1193">
        <f>F!D158</f>
        <v>0</v>
      </c>
      <c r="E41" s="361">
        <v>4</v>
      </c>
      <c r="F41" s="364">
        <f>D41*E41</f>
        <v>0</v>
      </c>
      <c r="G41" s="630"/>
      <c r="H41" s="2146"/>
      <c r="I41" s="2146"/>
    </row>
    <row r="42" spans="1:9" ht="15" customHeight="1">
      <c r="A42" s="2145"/>
      <c r="B42" s="2432"/>
      <c r="C42" s="535" t="str">
        <f>F!C159</f>
        <v>5-30% of the water.</v>
      </c>
      <c r="D42" s="1194">
        <f>F!D159</f>
        <v>0</v>
      </c>
      <c r="E42" s="361">
        <v>3</v>
      </c>
      <c r="F42" s="364">
        <f>D42*E42</f>
        <v>0</v>
      </c>
      <c r="G42" s="630"/>
      <c r="H42" s="2146"/>
      <c r="I42" s="2146"/>
    </row>
    <row r="43" spans="1:9" ht="15" customHeight="1">
      <c r="A43" s="2145"/>
      <c r="B43" s="2432"/>
      <c r="C43" s="535" t="str">
        <f>F!C160</f>
        <v>30-70% of the water.</v>
      </c>
      <c r="D43" s="1194">
        <f>F!D160</f>
        <v>0</v>
      </c>
      <c r="E43" s="361">
        <v>2</v>
      </c>
      <c r="F43" s="364">
        <f>D43*E43</f>
        <v>0</v>
      </c>
      <c r="G43" s="630"/>
      <c r="H43" s="2146"/>
      <c r="I43" s="2146"/>
    </row>
    <row r="44" spans="1:9" ht="15" customHeight="1">
      <c r="A44" s="2145"/>
      <c r="B44" s="2432"/>
      <c r="C44" s="535" t="str">
        <f>F!C161</f>
        <v>70-95% of the water.</v>
      </c>
      <c r="D44" s="1194">
        <f>F!D161</f>
        <v>0</v>
      </c>
      <c r="E44" s="361">
        <v>1</v>
      </c>
      <c r="F44" s="364">
        <f>D44*E44</f>
        <v>0</v>
      </c>
      <c r="G44" s="630"/>
      <c r="H44" s="2146"/>
      <c r="I44" s="2146"/>
    </row>
    <row r="45" spans="1:9" ht="15" customHeight="1" thickBot="1">
      <c r="A45" s="2163"/>
      <c r="B45" s="2594"/>
      <c r="C45" s="668" t="str">
        <f>F!C162</f>
        <v>&gt;95% of the water.</v>
      </c>
      <c r="D45" s="1195">
        <f>F!D162</f>
        <v>0</v>
      </c>
      <c r="E45" s="362">
        <v>0</v>
      </c>
      <c r="F45" s="362">
        <f>D45*E45</f>
        <v>0</v>
      </c>
      <c r="G45" s="631"/>
      <c r="H45" s="2149"/>
      <c r="I45" s="2149"/>
    </row>
    <row r="46" spans="1:9" ht="30" customHeight="1" thickBot="1">
      <c r="A46" s="2150" t="str">
        <f>F!A134</f>
        <v>F27</v>
      </c>
      <c r="B46" s="2148" t="str">
        <f>F!B134</f>
        <v>% of AA that is Flooded Only Seasonally</v>
      </c>
      <c r="C46" s="436" t="str">
        <f>F!C134</f>
        <v>The percentage of the AA that is covered by unfrozen surface water only during the wettest time of the year during most years is:</v>
      </c>
      <c r="D46" s="365"/>
      <c r="E46" s="365"/>
      <c r="F46" s="366"/>
      <c r="G46" s="537">
        <f>IF((AllSat1&gt;0),"", MAX(F47:F51)/MAX(E47:E51))</f>
        <v>0</v>
      </c>
      <c r="H46" s="2584" t="s">
        <v>2301</v>
      </c>
      <c r="I46" s="2148" t="s">
        <v>634</v>
      </c>
    </row>
    <row r="47" spans="1:9" ht="15" customHeight="1">
      <c r="A47" s="2151"/>
      <c r="B47" s="2146"/>
      <c r="C47" s="552" t="str">
        <f>F!C135</f>
        <v xml:space="preserve">None, or &lt;0.01 hectare and &lt;1% of the AA. </v>
      </c>
      <c r="D47" s="354">
        <f>F!D135</f>
        <v>0</v>
      </c>
      <c r="E47" s="361">
        <v>0</v>
      </c>
      <c r="F47" s="361">
        <f>D47*E47</f>
        <v>0</v>
      </c>
      <c r="G47" s="629"/>
      <c r="H47" s="2585"/>
      <c r="I47" s="2146"/>
    </row>
    <row r="48" spans="1:9" ht="15" customHeight="1">
      <c r="A48" s="2151"/>
      <c r="B48" s="2146"/>
      <c r="C48" s="437" t="str">
        <f>F!C136</f>
        <v>1-20% of the AA, or &lt;1% but &gt;0.01 ha.</v>
      </c>
      <c r="D48" s="254">
        <f>F!D136</f>
        <v>0</v>
      </c>
      <c r="E48" s="361">
        <v>1</v>
      </c>
      <c r="F48" s="361">
        <f>D48*E48</f>
        <v>0</v>
      </c>
      <c r="G48" s="630"/>
      <c r="H48" s="2585"/>
      <c r="I48" s="2146"/>
    </row>
    <row r="49" spans="1:9" ht="15" customHeight="1">
      <c r="A49" s="2151"/>
      <c r="B49" s="2146"/>
      <c r="C49" s="437" t="str">
        <f>F!C137</f>
        <v>20-50% of the AA.</v>
      </c>
      <c r="D49" s="254">
        <f>F!D137</f>
        <v>0</v>
      </c>
      <c r="E49" s="361">
        <v>2</v>
      </c>
      <c r="F49" s="361">
        <f>D49*E49</f>
        <v>0</v>
      </c>
      <c r="G49" s="630"/>
      <c r="H49" s="2585"/>
      <c r="I49" s="2146"/>
    </row>
    <row r="50" spans="1:9" ht="15" customHeight="1">
      <c r="A50" s="2151"/>
      <c r="B50" s="2146"/>
      <c r="C50" s="437" t="str">
        <f>F!C138</f>
        <v>50-95% of the AA.</v>
      </c>
      <c r="D50" s="254">
        <f>F!D138</f>
        <v>0</v>
      </c>
      <c r="E50" s="361">
        <v>3</v>
      </c>
      <c r="F50" s="361">
        <f>D50*E50</f>
        <v>0</v>
      </c>
      <c r="G50" s="630"/>
      <c r="H50" s="2585"/>
      <c r="I50" s="2146"/>
    </row>
    <row r="51" spans="1:9" ht="15" customHeight="1" thickBot="1">
      <c r="A51" s="2152"/>
      <c r="B51" s="2149"/>
      <c r="C51" s="194" t="str">
        <f>F!C139</f>
        <v xml:space="preserve">&gt;95% of the AA. </v>
      </c>
      <c r="D51" s="248">
        <f>F!D139</f>
        <v>0</v>
      </c>
      <c r="E51" s="362">
        <v>4</v>
      </c>
      <c r="F51" s="362">
        <f>D51*E51</f>
        <v>0</v>
      </c>
      <c r="G51" s="631"/>
      <c r="H51" s="2586"/>
      <c r="I51" s="2149"/>
    </row>
    <row r="52" spans="1:9" ht="30" customHeight="1" thickBot="1">
      <c r="A52" s="2388" t="str">
        <f>F!A140</f>
        <v>F28</v>
      </c>
      <c r="B52" s="2211" t="str">
        <f>F!B140</f>
        <v>Annual Water Fluctuation Range</v>
      </c>
      <c r="C52" s="448" t="str">
        <f>F!C140</f>
        <v>The annual fluctuation in surface water level within most of the parts of the AA that contain surface water is:</v>
      </c>
      <c r="D52" s="365"/>
      <c r="E52" s="360"/>
      <c r="F52" s="363"/>
      <c r="G52" s="538">
        <f>IF((AllSat1&gt;0),"", IF((NoSeasonal=1),"",MAX(F53:F56)/MAX(E53:E56)))</f>
        <v>0</v>
      </c>
      <c r="H52" s="2588" t="s">
        <v>2302</v>
      </c>
      <c r="I52" s="2148" t="s">
        <v>169</v>
      </c>
    </row>
    <row r="53" spans="1:9" ht="15" customHeight="1">
      <c r="A53" s="2388"/>
      <c r="B53" s="2208"/>
      <c r="C53" s="440" t="str">
        <f>F!C141</f>
        <v>&lt;10 cm change (stable or nearly so).</v>
      </c>
      <c r="D53" s="255">
        <f>F!D141</f>
        <v>0</v>
      </c>
      <c r="E53" s="361">
        <v>0</v>
      </c>
      <c r="F53" s="361">
        <f>D53*E53</f>
        <v>0</v>
      </c>
      <c r="G53" s="629"/>
      <c r="H53" s="2585"/>
      <c r="I53" s="2146"/>
    </row>
    <row r="54" spans="1:9" ht="15" customHeight="1">
      <c r="A54" s="2388"/>
      <c r="B54" s="2208"/>
      <c r="C54" s="545" t="str">
        <f>F!C142</f>
        <v>10 cm - 50 cm change.</v>
      </c>
      <c r="D54" s="78">
        <f>F!D142</f>
        <v>0</v>
      </c>
      <c r="E54" s="361">
        <v>1</v>
      </c>
      <c r="F54" s="361">
        <f>D54*E54</f>
        <v>0</v>
      </c>
      <c r="G54" s="630"/>
      <c r="H54" s="2585"/>
      <c r="I54" s="2146"/>
    </row>
    <row r="55" spans="1:9" ht="15" customHeight="1">
      <c r="A55" s="2388"/>
      <c r="B55" s="2208"/>
      <c r="C55" s="545" t="str">
        <f>F!C143</f>
        <v>0.5 - 1 m change.</v>
      </c>
      <c r="D55" s="78">
        <f>F!D143</f>
        <v>0</v>
      </c>
      <c r="E55" s="361">
        <v>2</v>
      </c>
      <c r="F55" s="361">
        <f>D55*E55</f>
        <v>0</v>
      </c>
      <c r="G55" s="630"/>
      <c r="H55" s="2585"/>
      <c r="I55" s="2146"/>
    </row>
    <row r="56" spans="1:9" ht="15" customHeight="1" thickBot="1">
      <c r="A56" s="2388"/>
      <c r="B56" s="2208"/>
      <c r="C56" s="447" t="str">
        <f>F!C144</f>
        <v>1-2 m change.</v>
      </c>
      <c r="D56" s="549">
        <f>F!D144</f>
        <v>0</v>
      </c>
      <c r="E56" s="364">
        <v>3</v>
      </c>
      <c r="F56" s="364">
        <f>D56*E56</f>
        <v>0</v>
      </c>
      <c r="G56" s="639"/>
      <c r="H56" s="2589"/>
      <c r="I56" s="2149"/>
    </row>
    <row r="57" spans="1:9" ht="30" customHeight="1" thickBot="1">
      <c r="A57" s="2150" t="str">
        <f>F!A147</f>
        <v>F29</v>
      </c>
      <c r="B57" s="2218" t="str">
        <f>F!B147</f>
        <v>Predominant Depth Class</v>
      </c>
      <c r="C57" s="436" t="str">
        <f>F!C147</f>
        <v>During most of the time when surface water is present during the growing season, its depth, averaged over the entire inundated part of the AA, is:</v>
      </c>
      <c r="D57" s="365"/>
      <c r="E57" s="365"/>
      <c r="F57" s="366"/>
      <c r="G57" s="537">
        <f>IF((AllSat1&gt;0),"",IF((TooSmall=1),"",MAX(F58:F62)/MAX(E58:E62)))</f>
        <v>0</v>
      </c>
      <c r="H57" s="2218" t="s">
        <v>2303</v>
      </c>
      <c r="I57" s="2148" t="s">
        <v>170</v>
      </c>
    </row>
    <row r="58" spans="1:9" ht="15" customHeight="1">
      <c r="A58" s="2151"/>
      <c r="B58" s="2211"/>
      <c r="C58" s="30" t="str">
        <f>F!C148</f>
        <v>&lt;10 cm deep (but &gt;0).</v>
      </c>
      <c r="D58" s="256">
        <f>F!D148</f>
        <v>0</v>
      </c>
      <c r="E58" s="361">
        <v>5</v>
      </c>
      <c r="F58" s="361">
        <f>D58*E58</f>
        <v>0</v>
      </c>
      <c r="G58" s="629"/>
      <c r="H58" s="2211"/>
      <c r="I58" s="2146"/>
    </row>
    <row r="59" spans="1:9" ht="15" customHeight="1">
      <c r="A59" s="2151"/>
      <c r="B59" s="2211"/>
      <c r="C59" s="6" t="str">
        <f>F!C149</f>
        <v>10 - 50 cm deep.</v>
      </c>
      <c r="D59" s="247">
        <f>F!D149</f>
        <v>0</v>
      </c>
      <c r="E59" s="361">
        <v>4</v>
      </c>
      <c r="F59" s="361">
        <f>D59*E59</f>
        <v>0</v>
      </c>
      <c r="G59" s="630"/>
      <c r="H59" s="2211"/>
      <c r="I59" s="2146"/>
    </row>
    <row r="60" spans="1:9" ht="15" customHeight="1">
      <c r="A60" s="2151"/>
      <c r="B60" s="2211"/>
      <c r="C60" s="6" t="str">
        <f>F!C150</f>
        <v>0.5 - 1 m deep.</v>
      </c>
      <c r="D60" s="247">
        <f>F!D150</f>
        <v>0</v>
      </c>
      <c r="E60" s="361">
        <v>2</v>
      </c>
      <c r="F60" s="361">
        <f>D60*E60</f>
        <v>0</v>
      </c>
      <c r="G60" s="630"/>
      <c r="H60" s="2211"/>
      <c r="I60" s="2146"/>
    </row>
    <row r="61" spans="1:9" ht="15" customHeight="1">
      <c r="A61" s="2151"/>
      <c r="B61" s="2211"/>
      <c r="C61" s="6" t="str">
        <f>F!C151</f>
        <v>1 - 2 m deep.</v>
      </c>
      <c r="D61" s="247">
        <f>F!D151</f>
        <v>0</v>
      </c>
      <c r="E61" s="361">
        <v>1</v>
      </c>
      <c r="F61" s="361">
        <f>D61*E61</f>
        <v>0</v>
      </c>
      <c r="G61" s="630"/>
      <c r="H61" s="2211"/>
      <c r="I61" s="2146"/>
    </row>
    <row r="62" spans="1:9" ht="15" customHeight="1" thickBot="1">
      <c r="A62" s="2152"/>
      <c r="B62" s="2420"/>
      <c r="C62" s="194" t="str">
        <f>F!C152</f>
        <v>&gt;2 m deep. True for many fringe wetlands.</v>
      </c>
      <c r="D62" s="248">
        <f>F!D152</f>
        <v>0</v>
      </c>
      <c r="E62" s="362">
        <v>0</v>
      </c>
      <c r="F62" s="390">
        <f>D62*E62</f>
        <v>0</v>
      </c>
      <c r="G62" s="631"/>
      <c r="H62" s="2420"/>
      <c r="I62" s="2149"/>
    </row>
    <row r="63" spans="1:9" ht="30" customHeight="1" thickBot="1">
      <c r="A63" s="2595" t="str">
        <f>F!A164</f>
        <v>F33</v>
      </c>
      <c r="B63" s="2593" t="str">
        <f>F!B164</f>
        <v xml:space="preserve">% of Ponded Water that is Open </v>
      </c>
      <c r="C63" s="171" t="str">
        <f>F!C164</f>
        <v>In ducks-eye aerial view, the percentage of the ponded water that is open (lacking emergent vegetation during most of the growing season, and unhidden by a forest or shrub canopy) is:</v>
      </c>
      <c r="D63" s="1370"/>
      <c r="E63" s="365"/>
      <c r="F63" s="365"/>
      <c r="G63" s="537">
        <f>IF((AllSat1&gt;0),"",IF((TooSmall=1),"",IF((NoPonded=1),"",MAX(F64:F69)/MAX(E64:E69))))</f>
        <v>0</v>
      </c>
      <c r="H63" s="2148" t="s">
        <v>2304</v>
      </c>
      <c r="I63" s="2148" t="s">
        <v>180</v>
      </c>
    </row>
    <row r="64" spans="1:9" ht="27" customHeight="1">
      <c r="A64" s="2596"/>
      <c r="B64" s="2432"/>
      <c r="C64" s="1688" t="str">
        <f>F!C165</f>
        <v>None, or &lt;1% of the AA and largest pool occupies &lt;0.01 hectares. Enter "1" and SKIP to F41 (Floating Algae &amp; Duckweed).</v>
      </c>
      <c r="D64" s="260">
        <f>F!D165</f>
        <v>0</v>
      </c>
      <c r="E64" s="377">
        <v>6</v>
      </c>
      <c r="F64" s="364">
        <f t="shared" ref="F64:F69" si="2">D64*E64</f>
        <v>0</v>
      </c>
      <c r="G64" s="630"/>
      <c r="H64" s="2146"/>
      <c r="I64" s="2146"/>
    </row>
    <row r="65" spans="1:9" ht="15" customHeight="1">
      <c r="A65" s="2596"/>
      <c r="B65" s="2432"/>
      <c r="C65" s="672" t="str">
        <f>F!C166</f>
        <v>1-4% of the ponded water. Enter "1" and SKIP to F40 (Floating Algae &amp; Duckweed).</v>
      </c>
      <c r="D65" s="259">
        <f>F!D166</f>
        <v>0</v>
      </c>
      <c r="E65" s="377">
        <v>5</v>
      </c>
      <c r="F65" s="364">
        <f t="shared" si="2"/>
        <v>0</v>
      </c>
      <c r="G65" s="630"/>
      <c r="H65" s="2146"/>
      <c r="I65" s="2146"/>
    </row>
    <row r="66" spans="1:9" ht="15" customHeight="1">
      <c r="A66" s="2596"/>
      <c r="B66" s="2432"/>
      <c r="C66" s="1081" t="str">
        <f>F!C167</f>
        <v>5-30% of the ponded water.</v>
      </c>
      <c r="D66" s="259">
        <f>F!D167</f>
        <v>0</v>
      </c>
      <c r="E66" s="377">
        <v>4</v>
      </c>
      <c r="F66" s="364">
        <f t="shared" si="2"/>
        <v>0</v>
      </c>
      <c r="G66" s="630"/>
      <c r="H66" s="2146"/>
      <c r="I66" s="2146"/>
    </row>
    <row r="67" spans="1:9" ht="15" customHeight="1">
      <c r="A67" s="2596"/>
      <c r="B67" s="2432"/>
      <c r="C67" s="1081" t="str">
        <f>F!C168</f>
        <v>30-70% of the ponded water.</v>
      </c>
      <c r="D67" s="288">
        <f>F!D168</f>
        <v>0</v>
      </c>
      <c r="E67" s="377">
        <v>3</v>
      </c>
      <c r="F67" s="364">
        <f t="shared" si="2"/>
        <v>0</v>
      </c>
      <c r="G67" s="630"/>
      <c r="H67" s="2146"/>
      <c r="I67" s="2146"/>
    </row>
    <row r="68" spans="1:9" ht="15" customHeight="1">
      <c r="A68" s="2596"/>
      <c r="B68" s="2432"/>
      <c r="C68" s="1081" t="str">
        <f>F!C169</f>
        <v>70-99% of the ponded water.</v>
      </c>
      <c r="D68" s="260">
        <f>F!D169</f>
        <v>0</v>
      </c>
      <c r="E68" s="377">
        <v>2</v>
      </c>
      <c r="F68" s="364">
        <f t="shared" si="2"/>
        <v>0</v>
      </c>
      <c r="G68" s="630"/>
      <c r="H68" s="2146"/>
      <c r="I68" s="2146"/>
    </row>
    <row r="69" spans="1:9" ht="15" customHeight="1" thickBot="1">
      <c r="A69" s="2597"/>
      <c r="B69" s="2594"/>
      <c r="C69" s="1687" t="str">
        <f>F!C170</f>
        <v xml:space="preserve">100% of the ponded water. </v>
      </c>
      <c r="D69" s="285">
        <f>F!D170</f>
        <v>0</v>
      </c>
      <c r="E69" s="378">
        <v>1</v>
      </c>
      <c r="F69" s="362">
        <f t="shared" si="2"/>
        <v>0</v>
      </c>
      <c r="G69" s="631"/>
      <c r="H69" s="2149"/>
      <c r="I69" s="2149"/>
    </row>
    <row r="70" spans="1:9" ht="30" customHeight="1" thickBot="1">
      <c r="A70" s="2431" t="str">
        <f>F!A171</f>
        <v>F34</v>
      </c>
      <c r="B70" s="2432" t="str">
        <f>F!B171</f>
        <v>Width of Vegetated Zone within Wetland</v>
      </c>
      <c r="C70" s="556" t="str">
        <f>F!C171</f>
        <v>At the time during the growing season when the AA's water level is lowest, the average width of vegetated area in the AA that separates adjoining uplands from open water within the AA is:</v>
      </c>
      <c r="D70" s="365"/>
      <c r="E70" s="360"/>
      <c r="F70" s="363"/>
      <c r="G70" s="538">
        <f>IF((AllSat1&gt;0),"",IF((TooSmall=1),"",IF((NoOpenPonded=1),"",MAX(F71:F76)/MAX(E71:E76))))</f>
        <v>0</v>
      </c>
      <c r="H70" s="2588" t="s">
        <v>2306</v>
      </c>
      <c r="I70" s="2148" t="s">
        <v>171</v>
      </c>
    </row>
    <row r="71" spans="1:9" ht="15" customHeight="1">
      <c r="A71" s="2361"/>
      <c r="B71" s="2146"/>
      <c r="C71" s="30" t="str">
        <f>F!C172</f>
        <v>&lt;1 m</v>
      </c>
      <c r="D71" s="256">
        <f>F!D172</f>
        <v>0</v>
      </c>
      <c r="E71" s="361">
        <v>4</v>
      </c>
      <c r="F71" s="361">
        <f t="shared" ref="F71:F76" si="3">D71*E71</f>
        <v>0</v>
      </c>
      <c r="G71" s="629"/>
      <c r="H71" s="2585"/>
      <c r="I71" s="2146"/>
    </row>
    <row r="72" spans="1:9" ht="15" customHeight="1">
      <c r="A72" s="2361"/>
      <c r="B72" s="2146"/>
      <c r="C72" s="6" t="str">
        <f>F!C173</f>
        <v>1 - 9 m</v>
      </c>
      <c r="D72" s="247">
        <f>F!D173</f>
        <v>0</v>
      </c>
      <c r="E72" s="361">
        <v>5</v>
      </c>
      <c r="F72" s="361">
        <f t="shared" si="3"/>
        <v>0</v>
      </c>
      <c r="G72" s="630"/>
      <c r="H72" s="2585"/>
      <c r="I72" s="2146"/>
    </row>
    <row r="73" spans="1:9" ht="15" customHeight="1">
      <c r="A73" s="2361"/>
      <c r="B73" s="2146"/>
      <c r="C73" s="6" t="str">
        <f>F!C174</f>
        <v>10 - 29 m</v>
      </c>
      <c r="D73" s="247">
        <f>F!D174</f>
        <v>0</v>
      </c>
      <c r="E73" s="361">
        <v>4</v>
      </c>
      <c r="F73" s="361">
        <f t="shared" si="3"/>
        <v>0</v>
      </c>
      <c r="G73" s="630"/>
      <c r="H73" s="2585"/>
      <c r="I73" s="2146"/>
    </row>
    <row r="74" spans="1:9" ht="15" customHeight="1">
      <c r="A74" s="2361"/>
      <c r="B74" s="2146"/>
      <c r="C74" s="6" t="str">
        <f>F!C175</f>
        <v>30 - 49 m</v>
      </c>
      <c r="D74" s="247">
        <f>F!D175</f>
        <v>0</v>
      </c>
      <c r="E74" s="361">
        <v>3</v>
      </c>
      <c r="F74" s="361">
        <f t="shared" si="3"/>
        <v>0</v>
      </c>
      <c r="G74" s="630"/>
      <c r="H74" s="2585"/>
      <c r="I74" s="2146"/>
    </row>
    <row r="75" spans="1:9" ht="15" customHeight="1">
      <c r="A75" s="2361"/>
      <c r="B75" s="2146"/>
      <c r="C75" s="6" t="str">
        <f>F!C176</f>
        <v>50 - 100 m</v>
      </c>
      <c r="D75" s="247">
        <f>F!D176</f>
        <v>0</v>
      </c>
      <c r="E75" s="361">
        <v>2</v>
      </c>
      <c r="F75" s="361">
        <f t="shared" si="3"/>
        <v>0</v>
      </c>
      <c r="G75" s="630"/>
      <c r="H75" s="2585"/>
      <c r="I75" s="2146"/>
    </row>
    <row r="76" spans="1:9" ht="15" customHeight="1" thickBot="1">
      <c r="A76" s="2361"/>
      <c r="B76" s="2146"/>
      <c r="C76" s="6" t="str">
        <f>F!C177</f>
        <v>&gt; 100 m</v>
      </c>
      <c r="D76" s="247">
        <f>F!D177</f>
        <v>0</v>
      </c>
      <c r="E76" s="361">
        <v>1</v>
      </c>
      <c r="F76" s="364">
        <f t="shared" si="3"/>
        <v>0</v>
      </c>
      <c r="G76" s="639"/>
      <c r="H76" s="2589"/>
      <c r="I76" s="2149"/>
    </row>
    <row r="77" spans="1:9" ht="30" customHeight="1" thickBot="1">
      <c r="A77" s="2155" t="str">
        <f>F!A189</f>
        <v>F37</v>
      </c>
      <c r="B77" s="2593" t="str">
        <f>F!B189</f>
        <v>Interspersion of Robust Emergents &amp; Open Water</v>
      </c>
      <c r="C77" s="670" t="str">
        <f>F!C189</f>
        <v>During most of the part of the growing season when water is present, the spatial pattern of robust herbaceous vegetation (e.g., cattail, tall bulrush, buckbean) is mostly:</v>
      </c>
      <c r="D77" s="365"/>
      <c r="E77" s="365"/>
      <c r="F77" s="366"/>
      <c r="G77" s="537">
        <f>IF((AllSat1&gt;0),"",IF((TooSmall=1),"",IF((NoOpenPonded=1),"",IF((AllOpenPond=1),"",MAX(F78:F80)/MAX(E78:E80)))))</f>
        <v>0</v>
      </c>
      <c r="H77" s="2148" t="s">
        <v>2305</v>
      </c>
      <c r="I77" s="2148" t="s">
        <v>1192</v>
      </c>
    </row>
    <row r="78" spans="1:9" ht="15" customHeight="1">
      <c r="A78" s="2145"/>
      <c r="B78" s="2432"/>
      <c r="C78" s="494" t="str">
        <f>F!C190</f>
        <v>Scattered. More than 30% of such vegetation forms small islands or corridors surrounded by water.</v>
      </c>
      <c r="D78" s="258">
        <f>F!D190</f>
        <v>0</v>
      </c>
      <c r="E78" s="361">
        <v>2</v>
      </c>
      <c r="F78" s="364">
        <f>D78*E78</f>
        <v>0</v>
      </c>
      <c r="G78" s="630"/>
      <c r="H78" s="2146"/>
      <c r="I78" s="2146"/>
    </row>
    <row r="79" spans="1:9" ht="15" customHeight="1">
      <c r="A79" s="2145"/>
      <c r="B79" s="2432"/>
      <c r="C79" s="494" t="str">
        <f>F!C191</f>
        <v>Intermediate.</v>
      </c>
      <c r="D79" s="258">
        <f>F!D191</f>
        <v>0</v>
      </c>
      <c r="E79" s="361">
        <v>1</v>
      </c>
      <c r="F79" s="364">
        <f>D79*E79</f>
        <v>0</v>
      </c>
      <c r="G79" s="630"/>
      <c r="H79" s="2146"/>
      <c r="I79" s="2146"/>
    </row>
    <row r="80" spans="1:9" ht="27" customHeight="1" thickBot="1">
      <c r="A80" s="2163"/>
      <c r="B80" s="2594"/>
      <c r="C80" s="673" t="str">
        <f>F!C192</f>
        <v>Clumped. More than 70% of such vegetation is in bands along the wetland perimeter or is clumped at one or a few sides of the surface water area.</v>
      </c>
      <c r="D80" s="287">
        <f>F!D192</f>
        <v>0</v>
      </c>
      <c r="E80" s="362">
        <v>0</v>
      </c>
      <c r="F80" s="362">
        <f>D80*E80</f>
        <v>0</v>
      </c>
      <c r="G80" s="631"/>
      <c r="H80" s="2149"/>
      <c r="I80" s="2149"/>
    </row>
    <row r="81" spans="1:9" ht="30" customHeight="1" thickBot="1">
      <c r="A81" s="2150" t="str">
        <f>F!A200</f>
        <v>F42</v>
      </c>
      <c r="B81" s="2218" t="str">
        <f>F!B200</f>
        <v>Channel Connection &amp; Outflow Duration</v>
      </c>
      <c r="C81" s="436" t="str">
        <f>F!C200</f>
        <v>The most persistent surface water connection (outlet channel or pipe, ditch, or overbank water exchange) between the AA and the closest larger water body located downslope is:</v>
      </c>
      <c r="D81" s="365"/>
      <c r="E81" s="365"/>
      <c r="F81" s="366"/>
      <c r="G81" s="537">
        <f>IF((AllSat1&gt;0),"",MAX(F82:F86)/MAX(E82:E86))</f>
        <v>0</v>
      </c>
      <c r="H81" s="2584" t="s">
        <v>2153</v>
      </c>
      <c r="I81" s="2148" t="s">
        <v>172</v>
      </c>
    </row>
    <row r="82" spans="1:9" ht="15" customHeight="1">
      <c r="A82" s="2151"/>
      <c r="B82" s="2211"/>
      <c r="C82" s="30" t="str">
        <f>F!C201</f>
        <v>persistent (&gt;9 months/year, regardless of whether frozen or not).</v>
      </c>
      <c r="D82" s="256">
        <f>F!D201</f>
        <v>0</v>
      </c>
      <c r="E82" s="361">
        <v>5</v>
      </c>
      <c r="F82" s="361">
        <f>D82*E82</f>
        <v>0</v>
      </c>
      <c r="G82" s="629"/>
      <c r="H82" s="2585"/>
      <c r="I82" s="2146"/>
    </row>
    <row r="83" spans="1:9" ht="15" customHeight="1">
      <c r="A83" s="2151"/>
      <c r="B83" s="2211"/>
      <c r="C83" s="6" t="str">
        <f>F!C202</f>
        <v>seasonal (14 days to 9 months/year, not necessarily consecutive, including times when frozen).</v>
      </c>
      <c r="D83" s="247">
        <f>F!D202</f>
        <v>0</v>
      </c>
      <c r="E83" s="361">
        <v>4</v>
      </c>
      <c r="F83" s="361">
        <f>D83*E83</f>
        <v>0</v>
      </c>
      <c r="G83" s="630"/>
      <c r="H83" s="2585"/>
      <c r="I83" s="2146"/>
    </row>
    <row r="84" spans="1:9" ht="15" customHeight="1">
      <c r="A84" s="2151"/>
      <c r="B84" s="2211"/>
      <c r="C84" s="6" t="str">
        <f>F!C203</f>
        <v>temporary (&lt;14 days, not necessarily consecutive, but must be unfrozen).</v>
      </c>
      <c r="D84" s="247">
        <f>F!D203</f>
        <v>0</v>
      </c>
      <c r="E84" s="361">
        <v>3</v>
      </c>
      <c r="F84" s="361">
        <f>D84*E84</f>
        <v>0</v>
      </c>
      <c r="G84" s="630"/>
      <c r="H84" s="2585"/>
      <c r="I84" s="2146"/>
    </row>
    <row r="85" spans="1:9" ht="27" customHeight="1">
      <c r="A85" s="2151"/>
      <c r="B85" s="2211"/>
      <c r="C85" s="6" t="str">
        <f>F!C204</f>
        <v>none -- but maps show a stream or other water body that is downslope from the AA and within a distance that is less than the AA's length. SKIP to F44 (Tributary Channel).</v>
      </c>
      <c r="D85" s="247">
        <f>F!D204</f>
        <v>0</v>
      </c>
      <c r="E85" s="361">
        <v>1</v>
      </c>
      <c r="F85" s="361">
        <f>D85*E85</f>
        <v>0</v>
      </c>
      <c r="G85" s="630"/>
      <c r="H85" s="2585"/>
      <c r="I85" s="2146"/>
    </row>
    <row r="86" spans="1:9" ht="42" customHeight="1" thickBot="1">
      <c r="A86" s="2152"/>
      <c r="B86" s="2420"/>
      <c r="C86" s="194" t="str">
        <f>F!C205</f>
        <v>no surface water flows out of the wetland except possibly during extreme events (&lt;once per 10 years). Or, water flows only into a wetland, ditch, or lake that lacks an outlet. SKIP to F47 (pH Measurement).</v>
      </c>
      <c r="D86" s="248">
        <f>F!D205</f>
        <v>0</v>
      </c>
      <c r="E86" s="378">
        <v>0</v>
      </c>
      <c r="F86" s="362">
        <f>D86*E86</f>
        <v>0</v>
      </c>
      <c r="G86" s="631"/>
      <c r="H86" s="2586"/>
      <c r="I86" s="2149"/>
    </row>
    <row r="87" spans="1:9" ht="30" customHeight="1" thickBot="1">
      <c r="A87" s="2316" t="str">
        <f>F!A206</f>
        <v>F43</v>
      </c>
      <c r="B87" s="2218" t="str">
        <f>F!B206</f>
        <v xml:space="preserve">Outflow Confinement </v>
      </c>
      <c r="C87" s="436" t="str">
        <f>F!C206</f>
        <v>During major runoff events, in the places where surface water exits the AA or connected waters nearby, the water:</v>
      </c>
      <c r="D87" s="365"/>
      <c r="E87" s="365"/>
      <c r="F87" s="366"/>
      <c r="G87" s="537">
        <f>IF((OutNone + OutNone1&gt;0),"",MAX(F88:F90)/MAX(E88:E90))</f>
        <v>0</v>
      </c>
      <c r="H87" s="2584" t="s">
        <v>2154</v>
      </c>
      <c r="I87" s="2148" t="s">
        <v>173</v>
      </c>
    </row>
    <row r="88" spans="1:9" ht="42" customHeight="1">
      <c r="A88" s="2201"/>
      <c r="B88" s="2211"/>
      <c r="C88" s="30" t="str">
        <f>F!C207</f>
        <v>mostly passes through a pipe, culvert, narrowly breached dike, berm, beaver dam, or other partial obstruction (other than natural topography) that does not appear to drain the wetland artificially during most of the growing season.</v>
      </c>
      <c r="D88" s="256">
        <f>F!D207</f>
        <v>0</v>
      </c>
      <c r="E88" s="361">
        <v>0</v>
      </c>
      <c r="F88" s="361">
        <f>D88*E88</f>
        <v>0</v>
      </c>
      <c r="G88" s="629"/>
      <c r="H88" s="2585"/>
      <c r="I88" s="2146"/>
    </row>
    <row r="89" spans="1:9" ht="27" customHeight="1">
      <c r="A89" s="2201"/>
      <c r="B89" s="2211"/>
      <c r="C89" s="1214" t="str">
        <f>F!C208</f>
        <v>leaves through natural exits (channels or diffuse outflow), not mainly through artificial or temporary features.</v>
      </c>
      <c r="D89" s="247">
        <f>F!D208</f>
        <v>0</v>
      </c>
      <c r="E89" s="361">
        <v>1</v>
      </c>
      <c r="F89" s="361">
        <f>D89*E89</f>
        <v>0</v>
      </c>
      <c r="G89" s="643"/>
      <c r="H89" s="2585"/>
      <c r="I89" s="2146"/>
    </row>
    <row r="90" spans="1:9" ht="27" customHeight="1" thickBot="1">
      <c r="A90" s="2317"/>
      <c r="B90" s="2420"/>
      <c r="C90" s="194" t="str">
        <f>F!C209</f>
        <v>exported more quickly than usual due to ditches or pipes within the AA (or connected to its outlet or within 10 m of the AA's edge) which drain the wetland artificially, or water is pumped out of the AA.</v>
      </c>
      <c r="D90" s="248">
        <f>F!D209</f>
        <v>0</v>
      </c>
      <c r="E90" s="362">
        <v>2</v>
      </c>
      <c r="F90" s="362">
        <f>D90*E90</f>
        <v>0</v>
      </c>
      <c r="G90" s="631"/>
      <c r="H90" s="2586"/>
      <c r="I90" s="2149"/>
    </row>
    <row r="91" spans="1:9" ht="30" customHeight="1" thickBot="1">
      <c r="A91" s="2592" t="str">
        <f>F!A212</f>
        <v>F46</v>
      </c>
      <c r="B91" s="2211" t="str">
        <f>F!B212</f>
        <v>Throughflow Resistance</v>
      </c>
      <c r="C91" s="556" t="str">
        <f>F!C212</f>
        <v>During its travel through the AA at the time of peak annual flow, water arriving in channels: [select only the ONE encountered by most of the incoming water].</v>
      </c>
      <c r="D91" s="360"/>
      <c r="E91" s="360"/>
      <c r="F91" s="363"/>
      <c r="G91" s="538">
        <f>IF(AND(Inflows=0,OutNone=1,OutNone1=1),"",MAX(F92:F96)/MAX(E92:E96))</f>
        <v>0</v>
      </c>
      <c r="H91" s="2588" t="s">
        <v>2155</v>
      </c>
      <c r="I91" s="2148" t="s">
        <v>174</v>
      </c>
    </row>
    <row r="92" spans="1:9" ht="42" customHeight="1">
      <c r="A92" s="2592"/>
      <c r="B92" s="2211"/>
      <c r="C92" s="3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92" s="256">
        <f>F!D213</f>
        <v>0</v>
      </c>
      <c r="E92" s="361">
        <v>0</v>
      </c>
      <c r="F92" s="361">
        <f>D92*E92</f>
        <v>0</v>
      </c>
      <c r="G92" s="629"/>
      <c r="H92" s="2585"/>
      <c r="I92" s="2146"/>
    </row>
    <row r="93" spans="1:9" ht="15" customHeight="1">
      <c r="A93" s="2592"/>
      <c r="B93" s="2211"/>
      <c r="C93" s="6" t="str">
        <f>F!C214</f>
        <v>bumps into herbaceous vegetation but mostly remains in fairly straight channels.</v>
      </c>
      <c r="D93" s="247">
        <f>F!D214</f>
        <v>0</v>
      </c>
      <c r="E93" s="361">
        <v>1</v>
      </c>
      <c r="F93" s="361">
        <f>D93*E93</f>
        <v>0</v>
      </c>
      <c r="G93" s="630"/>
      <c r="H93" s="2585"/>
      <c r="I93" s="2146"/>
    </row>
    <row r="94" spans="1:9" ht="27" customHeight="1">
      <c r="A94" s="2592"/>
      <c r="B94" s="2211"/>
      <c r="C94" s="6" t="str">
        <f>F!C215</f>
        <v>bumps into herbaceous vegetation and mostly spreads throughout, or is in widely meandering, multi-branched, or braided channels.</v>
      </c>
      <c r="D94" s="247">
        <f>F!D215</f>
        <v>0</v>
      </c>
      <c r="E94" s="361">
        <v>2</v>
      </c>
      <c r="F94" s="361">
        <f>D94*E94</f>
        <v>0</v>
      </c>
      <c r="G94" s="630"/>
      <c r="H94" s="2585"/>
      <c r="I94" s="2146"/>
    </row>
    <row r="95" spans="1:9" ht="15" customHeight="1">
      <c r="A95" s="2592"/>
      <c r="B95" s="2211"/>
      <c r="C95" s="6" t="str">
        <f>F!C216</f>
        <v>bumps into tree trunks and/or shrub stems but mostly remains in fairly straight channels.</v>
      </c>
      <c r="D95" s="247">
        <f>F!D216</f>
        <v>0</v>
      </c>
      <c r="E95" s="361">
        <v>1</v>
      </c>
      <c r="F95" s="361">
        <f>D95*E95</f>
        <v>0</v>
      </c>
      <c r="G95" s="630"/>
      <c r="H95" s="2585"/>
      <c r="I95" s="2146"/>
    </row>
    <row r="96" spans="1:9" ht="27" customHeight="1" thickBot="1">
      <c r="A96" s="2592"/>
      <c r="B96" s="2211"/>
      <c r="C96" s="437" t="str">
        <f>F!C217</f>
        <v>bumps into tree trunks and/or shrub stems and follows a fairly indirect path from entrance to exit (meandering, multi-branched, or braided).</v>
      </c>
      <c r="D96" s="254">
        <f>F!D217</f>
        <v>0</v>
      </c>
      <c r="E96" s="364">
        <v>2</v>
      </c>
      <c r="F96" s="364">
        <f>D96*E96</f>
        <v>0</v>
      </c>
      <c r="G96" s="639"/>
      <c r="H96" s="2589"/>
      <c r="I96" s="2149"/>
    </row>
    <row r="97" spans="1:9" ht="21" customHeight="1" thickBot="1">
      <c r="A97" s="2150" t="str">
        <f>F!A231</f>
        <v>F50</v>
      </c>
      <c r="B97" s="2148" t="str">
        <f>F!B231</f>
        <v>Groundwater Strength of Evidence</v>
      </c>
      <c r="C97" s="436" t="str">
        <f>F!C231</f>
        <v xml:space="preserve">Select first applicable choice. </v>
      </c>
      <c r="D97" s="365"/>
      <c r="E97" s="365"/>
      <c r="F97" s="365"/>
      <c r="G97" s="537">
        <f>IF((D100=1),"",MAX(F98:F100)/MAX(E98:E100))</f>
        <v>0</v>
      </c>
      <c r="H97" s="2148" t="s">
        <v>2156</v>
      </c>
      <c r="I97" s="2148" t="s">
        <v>527</v>
      </c>
    </row>
    <row r="98" spans="1:9" ht="42" customHeight="1">
      <c r="A98" s="2151"/>
      <c r="B98" s="2146"/>
      <c r="C98" s="30" t="str">
        <f>F!C232</f>
        <v>Groundwater monitoring has demonstrated that groundwater primarily discharges to the wetland for longer periods during the year than periods when the wetland recharges the groundwater. Or, springs are known to be present within the AA.</v>
      </c>
      <c r="D98" s="256">
        <f>F!D232</f>
        <v>0</v>
      </c>
      <c r="E98" s="361">
        <v>2</v>
      </c>
      <c r="F98" s="361">
        <f>D98*E98</f>
        <v>0</v>
      </c>
      <c r="G98" s="630"/>
      <c r="H98" s="2146"/>
      <c r="I98" s="2146"/>
    </row>
    <row r="99" spans="1:9" ht="42" customHeight="1">
      <c r="A99" s="2151"/>
      <c r="B99" s="2146"/>
      <c r="C99" s="6" t="str">
        <f>F!C233</f>
        <v>The upper end of the AA is located very close to the base of (but mostly not ON) a natural slope much steeper (usually &gt;15%) than that within the AA and longer than 100 m AND if surface water was measured, its pH (Q47) is &gt;5.5.</v>
      </c>
      <c r="D99" s="247">
        <f>F!D233</f>
        <v>0</v>
      </c>
      <c r="E99" s="361">
        <v>1</v>
      </c>
      <c r="F99" s="361">
        <f>D99*E99</f>
        <v>0</v>
      </c>
      <c r="G99" s="630"/>
      <c r="H99" s="2146"/>
      <c r="I99" s="2146"/>
    </row>
    <row r="100" spans="1:9" ht="27" customHeight="1" thickBot="1">
      <c r="A100" s="2152"/>
      <c r="B100" s="2149"/>
      <c r="C100" s="194" t="str">
        <f>F!C234</f>
        <v>Neither of above is true, although some groundwater may discharge to or flow through the AA. Or groundwater influx is unknown.</v>
      </c>
      <c r="D100" s="248">
        <f>F!D234</f>
        <v>0</v>
      </c>
      <c r="E100" s="362">
        <v>0</v>
      </c>
      <c r="F100" s="362">
        <f>D100*E100</f>
        <v>0</v>
      </c>
      <c r="G100" s="631"/>
      <c r="H100" s="2149"/>
      <c r="I100" s="2149"/>
    </row>
    <row r="101" spans="1:9" ht="21" customHeight="1" thickBot="1">
      <c r="A101" s="2211" t="str">
        <f>F!A235</f>
        <v>F51</v>
      </c>
      <c r="B101" s="2218" t="str">
        <f>F!B235</f>
        <v>Internal Gradient</v>
      </c>
      <c r="C101" s="436" t="str">
        <f>F!C235</f>
        <v>The gradient along most of the flow path within the AA is:</v>
      </c>
      <c r="D101" s="636"/>
      <c r="E101" s="365"/>
      <c r="F101" s="366"/>
      <c r="G101" s="665">
        <f>MAX(F102:F105)/MAX(E102:E105)</f>
        <v>0</v>
      </c>
      <c r="H101" s="2218" t="s">
        <v>106</v>
      </c>
      <c r="I101" s="2148" t="s">
        <v>178</v>
      </c>
    </row>
    <row r="102" spans="1:9" ht="15" customHeight="1">
      <c r="A102" s="2211"/>
      <c r="B102" s="2211"/>
      <c r="C102" s="30" t="str">
        <f>F!C236</f>
        <v>&lt;2% or the AA has no surface water outlet (not even seasonally)</v>
      </c>
      <c r="D102" s="247">
        <f>F!D236</f>
        <v>0</v>
      </c>
      <c r="E102" s="377">
        <v>0</v>
      </c>
      <c r="F102" s="361">
        <f>D102*E102</f>
        <v>0</v>
      </c>
      <c r="G102" s="763"/>
      <c r="H102" s="2211"/>
      <c r="I102" s="2146"/>
    </row>
    <row r="103" spans="1:9" ht="15" customHeight="1">
      <c r="A103" s="2211"/>
      <c r="B103" s="2211"/>
      <c r="C103" s="1621" t="str">
        <f>F!C237</f>
        <v>2-5%</v>
      </c>
      <c r="D103" s="247">
        <f>F!D237</f>
        <v>0</v>
      </c>
      <c r="E103" s="377">
        <v>2</v>
      </c>
      <c r="F103" s="361">
        <f>D103*E103</f>
        <v>0</v>
      </c>
      <c r="G103" s="764"/>
      <c r="H103" s="2211"/>
      <c r="I103" s="2146"/>
    </row>
    <row r="104" spans="1:9" ht="15" customHeight="1">
      <c r="A104" s="2211"/>
      <c r="B104" s="2211"/>
      <c r="C104" s="1621" t="str">
        <f>F!C238</f>
        <v>6-10%</v>
      </c>
      <c r="D104" s="247">
        <f>F!D238</f>
        <v>0</v>
      </c>
      <c r="E104" s="377">
        <v>3</v>
      </c>
      <c r="F104" s="361">
        <f>D104*E104</f>
        <v>0</v>
      </c>
      <c r="G104" s="764"/>
      <c r="H104" s="2211"/>
      <c r="I104" s="2146"/>
    </row>
    <row r="105" spans="1:9" ht="15" customHeight="1" thickBot="1">
      <c r="A105" s="2211"/>
      <c r="B105" s="2420"/>
      <c r="C105" s="194" t="str">
        <f>F!C239</f>
        <v>&gt;10%</v>
      </c>
      <c r="D105" s="248">
        <f>F!D239</f>
        <v>0</v>
      </c>
      <c r="E105" s="378">
        <v>4</v>
      </c>
      <c r="F105" s="362">
        <f>D105*E105</f>
        <v>0</v>
      </c>
      <c r="G105" s="765"/>
      <c r="H105" s="2210"/>
      <c r="I105" s="2149"/>
    </row>
    <row r="106" spans="1:9" ht="30" customHeight="1" thickBot="1">
      <c r="A106" s="2519" t="str">
        <f>F!A255</f>
        <v>F56</v>
      </c>
      <c r="B106" s="2519" t="str">
        <f>F!B255</f>
        <v>New Wetland</v>
      </c>
      <c r="C106" s="674" t="str">
        <f>F!C255</f>
        <v>The AA is (or is within, or contains) a "new" wetland resulting from human actions (e.g., excavation, impoundment) or debris flows, or other factors affecting what once was upland (non-hydric) soil.</v>
      </c>
      <c r="D106" s="376"/>
      <c r="E106" s="376"/>
      <c r="F106" s="366"/>
      <c r="G106" s="537">
        <f>IF((D112=1),"",MAX(F107:F111)/MAX(E107:E111))</f>
        <v>0</v>
      </c>
      <c r="H106" s="2148" t="s">
        <v>1637</v>
      </c>
      <c r="I106" s="2148" t="s">
        <v>179</v>
      </c>
    </row>
    <row r="107" spans="1:9" ht="15" customHeight="1">
      <c r="A107" s="2520"/>
      <c r="B107" s="2520"/>
      <c r="C107" s="1686" t="str">
        <f>F!C256</f>
        <v>No.</v>
      </c>
      <c r="D107" s="1086">
        <f>F!D256</f>
        <v>0</v>
      </c>
      <c r="E107" s="530">
        <v>5</v>
      </c>
      <c r="F107" s="361">
        <f>D107*E107</f>
        <v>0</v>
      </c>
      <c r="G107" s="629"/>
      <c r="H107" s="2146"/>
      <c r="I107" s="2146"/>
    </row>
    <row r="108" spans="1:9" ht="15" customHeight="1">
      <c r="A108" s="2520"/>
      <c r="B108" s="2520"/>
      <c r="C108" s="1684" t="str">
        <f>F!C257</f>
        <v xml:space="preserve">yes, and created 20 - 100 years ago. </v>
      </c>
      <c r="D108" s="1086">
        <f>F!D257</f>
        <v>0</v>
      </c>
      <c r="E108" s="530">
        <v>2</v>
      </c>
      <c r="F108" s="361">
        <f>D108*E108</f>
        <v>0</v>
      </c>
      <c r="G108" s="630"/>
      <c r="H108" s="2146"/>
      <c r="I108" s="2146"/>
    </row>
    <row r="109" spans="1:9" ht="15" customHeight="1">
      <c r="A109" s="2520"/>
      <c r="B109" s="2520"/>
      <c r="C109" s="1684" t="str">
        <f>F!C258</f>
        <v>yes, and created 3-20 years ago.</v>
      </c>
      <c r="D109" s="1086">
        <f>F!D258</f>
        <v>0</v>
      </c>
      <c r="E109" s="530">
        <v>1</v>
      </c>
      <c r="F109" s="361">
        <f>D109*E109</f>
        <v>0</v>
      </c>
      <c r="G109" s="630"/>
      <c r="H109" s="2146"/>
      <c r="I109" s="2146"/>
    </row>
    <row r="110" spans="1:9" ht="15" customHeight="1">
      <c r="A110" s="2520"/>
      <c r="B110" s="2520"/>
      <c r="C110" s="1684" t="str">
        <f>F!C259</f>
        <v>yes, and created within last 3 years.</v>
      </c>
      <c r="D110" s="1086">
        <f>F!D259</f>
        <v>0</v>
      </c>
      <c r="E110" s="530">
        <v>0</v>
      </c>
      <c r="F110" s="361">
        <f>D110*E110</f>
        <v>0</v>
      </c>
      <c r="G110" s="630"/>
      <c r="H110" s="2146"/>
      <c r="I110" s="2146"/>
    </row>
    <row r="111" spans="1:9" ht="15" customHeight="1">
      <c r="A111" s="2520"/>
      <c r="B111" s="2520"/>
      <c r="C111" s="1684" t="str">
        <f>F!C260</f>
        <v>yes, but time of origin unknown.</v>
      </c>
      <c r="D111" s="1086">
        <f>F!D260</f>
        <v>0</v>
      </c>
      <c r="E111" s="530">
        <v>1</v>
      </c>
      <c r="F111" s="361">
        <f>D111*E111</f>
        <v>0</v>
      </c>
      <c r="G111" s="630"/>
      <c r="H111" s="2146"/>
      <c r="I111" s="2146"/>
    </row>
    <row r="112" spans="1:9" ht="15" customHeight="1" thickBot="1">
      <c r="A112" s="2521"/>
      <c r="B112" s="2521"/>
      <c r="C112" s="1685" t="str">
        <f>F!C261</f>
        <v>unknown if new within 20 years or not.</v>
      </c>
      <c r="D112" s="1372">
        <f>F!D261</f>
        <v>0</v>
      </c>
      <c r="E112" s="378"/>
      <c r="F112" s="390"/>
      <c r="G112" s="631"/>
      <c r="H112" s="2149"/>
      <c r="I112" s="2149"/>
    </row>
    <row r="113" spans="1:9" ht="21" customHeight="1" thickBot="1">
      <c r="A113" s="2587"/>
      <c r="B113" s="2587"/>
      <c r="C113" s="2587"/>
      <c r="D113" s="2587"/>
      <c r="E113" s="2587"/>
      <c r="F113" s="2587"/>
      <c r="G113" s="2587"/>
      <c r="H113" s="2587"/>
      <c r="I113" s="1243"/>
    </row>
    <row r="114" spans="1:9" ht="21" customHeight="1">
      <c r="A114" s="2603"/>
      <c r="B114" s="2603"/>
      <c r="C114" s="2603"/>
      <c r="D114" s="2456" t="s">
        <v>1324</v>
      </c>
      <c r="E114" s="2457"/>
      <c r="F114" s="2457"/>
      <c r="G114" s="1691">
        <f>AVERAGE(SoilTex6,NewWet6)</f>
        <v>0</v>
      </c>
      <c r="H114" s="1907" t="s">
        <v>2679</v>
      </c>
      <c r="I114" s="1908" t="s">
        <v>2736</v>
      </c>
    </row>
    <row r="115" spans="1:9" ht="21" customHeight="1">
      <c r="A115" s="2603"/>
      <c r="B115" s="2603"/>
      <c r="C115" s="2603"/>
      <c r="D115" s="2598" t="s">
        <v>1325</v>
      </c>
      <c r="E115" s="2599"/>
      <c r="F115" s="2599"/>
      <c r="G115" s="1692">
        <f>AVERAGE(FrozDur6,PlantCov6,NutrAvail6)</f>
        <v>0</v>
      </c>
      <c r="H115" s="1858" t="s">
        <v>1326</v>
      </c>
      <c r="I115" s="1899" t="s">
        <v>2737</v>
      </c>
    </row>
    <row r="116" spans="1:9" ht="21" customHeight="1">
      <c r="A116" s="2603"/>
      <c r="B116" s="2603"/>
      <c r="C116" s="2603"/>
      <c r="D116" s="2590" t="s">
        <v>1308</v>
      </c>
      <c r="E116" s="2591"/>
      <c r="F116" s="2591"/>
      <c r="G116" s="1692">
        <f>AVERAGE(Warmth6,Groundw6)</f>
        <v>0</v>
      </c>
      <c r="H116" s="1920" t="s">
        <v>2819</v>
      </c>
      <c r="I116" s="1899" t="s">
        <v>2738</v>
      </c>
    </row>
    <row r="117" spans="1:9" ht="21" customHeight="1">
      <c r="A117" s="2603"/>
      <c r="B117" s="2603"/>
      <c r="C117" s="2603"/>
      <c r="D117" s="2590" t="s">
        <v>1337</v>
      </c>
      <c r="E117" s="2591"/>
      <c r="F117" s="2591"/>
      <c r="G117" s="1692">
        <f>AVERAGE(AqPlantCov6,Gcover6, Depth6)</f>
        <v>0</v>
      </c>
      <c r="H117" s="1858" t="s">
        <v>1336</v>
      </c>
      <c r="I117" s="1899" t="s">
        <v>2739</v>
      </c>
    </row>
    <row r="118" spans="1:9" ht="21" customHeight="1">
      <c r="A118" s="2603"/>
      <c r="B118" s="2603"/>
      <c r="C118" s="2603"/>
      <c r="D118" s="2590" t="s">
        <v>1309</v>
      </c>
      <c r="E118" s="2591"/>
      <c r="F118" s="2591"/>
      <c r="G118" s="1692">
        <f>AVERAGE(Wettype6,SeasWpct6, Fluctu6, Karst6a,Nfixer6)</f>
        <v>0</v>
      </c>
      <c r="H118" s="1902" t="s">
        <v>2680</v>
      </c>
      <c r="I118" s="1899" t="s">
        <v>2740</v>
      </c>
    </row>
    <row r="119" spans="1:9" ht="30" customHeight="1" thickBot="1">
      <c r="A119" s="2603"/>
      <c r="B119" s="2603"/>
      <c r="C119" s="2603"/>
      <c r="D119" s="2533" t="s">
        <v>1310</v>
      </c>
      <c r="E119" s="2534"/>
      <c r="F119" s="2534"/>
      <c r="G119" s="1693">
        <f>AVERAGE(OutDura6, Gradient6, FloDist6,AVERAGE(Constric6, ThruFlo6, Interspers6,VwidthAbs6, PondedPct6))</f>
        <v>0</v>
      </c>
      <c r="H119" s="1900" t="s">
        <v>2816</v>
      </c>
      <c r="I119" s="1901" t="s">
        <v>2741</v>
      </c>
    </row>
    <row r="120" spans="1:9" ht="21" customHeight="1" thickBot="1">
      <c r="A120" s="2603"/>
      <c r="B120" s="2603"/>
      <c r="C120" s="2603"/>
      <c r="D120" s="1222"/>
      <c r="E120" s="1222"/>
      <c r="F120" s="1222"/>
      <c r="G120" s="1222"/>
      <c r="I120" s="553"/>
    </row>
    <row r="121" spans="1:9" ht="30" customHeight="1" thickBot="1">
      <c r="A121" s="2536"/>
      <c r="B121" s="2430"/>
      <c r="C121" s="2394" t="s">
        <v>1359</v>
      </c>
      <c r="D121" s="2395"/>
      <c r="E121" s="2396"/>
      <c r="F121" s="1690" t="s">
        <v>75</v>
      </c>
      <c r="G121" s="1689">
        <f>10*(IF((NoOutlet6=1),0,(3*ExportPot6 + 2*Productiv6 + HistAccum6)))/6</f>
        <v>0</v>
      </c>
      <c r="H121" s="2363" t="s">
        <v>1911</v>
      </c>
      <c r="I121" s="2364"/>
    </row>
    <row r="122" spans="1:9" ht="21" customHeight="1" thickBot="1">
      <c r="A122" s="1237"/>
      <c r="B122" s="1238"/>
      <c r="C122" s="1337"/>
      <c r="D122" s="1337"/>
      <c r="E122" s="1337"/>
      <c r="F122" s="1338"/>
      <c r="G122" s="749"/>
      <c r="H122" s="553"/>
      <c r="I122" s="553"/>
    </row>
    <row r="123" spans="1:9" ht="21" customHeight="1" thickBot="1">
      <c r="A123" s="7"/>
      <c r="D123" s="7"/>
      <c r="E123" s="7"/>
      <c r="F123" s="7"/>
      <c r="G123" s="7"/>
      <c r="H123" s="2468" t="s">
        <v>806</v>
      </c>
      <c r="I123" s="2469"/>
    </row>
    <row r="124" spans="1:9" ht="42" customHeight="1">
      <c r="A124" s="7"/>
      <c r="D124" s="7"/>
      <c r="E124" s="7"/>
      <c r="F124" s="7"/>
      <c r="G124" s="7"/>
      <c r="H124" s="2582" t="s">
        <v>930</v>
      </c>
      <c r="I124" s="2583"/>
    </row>
    <row r="125" spans="1:9" ht="42" customHeight="1">
      <c r="A125" s="7"/>
      <c r="D125" s="7"/>
      <c r="E125" s="7"/>
      <c r="F125" s="7"/>
      <c r="G125" s="7"/>
      <c r="H125" s="2367" t="s">
        <v>855</v>
      </c>
      <c r="I125" s="2368"/>
    </row>
    <row r="126" spans="1:9" ht="27" customHeight="1">
      <c r="A126" s="7"/>
      <c r="D126" s="7"/>
      <c r="E126" s="7"/>
      <c r="F126" s="7"/>
      <c r="G126" s="7"/>
      <c r="H126" s="2367" t="s">
        <v>856</v>
      </c>
      <c r="I126" s="2368"/>
    </row>
    <row r="127" spans="1:9" ht="27" customHeight="1">
      <c r="A127" s="7"/>
      <c r="D127" s="7"/>
      <c r="E127" s="7"/>
      <c r="F127" s="7"/>
      <c r="G127" s="7"/>
      <c r="H127" s="2367" t="s">
        <v>1652</v>
      </c>
      <c r="I127" s="2368"/>
    </row>
    <row r="128" spans="1:9" ht="42" customHeight="1">
      <c r="A128" s="7"/>
      <c r="D128" s="7"/>
      <c r="E128" s="7"/>
      <c r="F128" s="7"/>
      <c r="G128" s="7"/>
      <c r="H128" s="2367" t="s">
        <v>888</v>
      </c>
      <c r="I128" s="2368"/>
    </row>
    <row r="129" spans="1:9" ht="27" customHeight="1">
      <c r="A129" s="7"/>
      <c r="D129" s="7"/>
      <c r="E129" s="7"/>
      <c r="F129" s="7"/>
      <c r="G129" s="7"/>
      <c r="H129" s="2367" t="s">
        <v>1895</v>
      </c>
      <c r="I129" s="2368"/>
    </row>
    <row r="130" spans="1:9" ht="42" customHeight="1">
      <c r="A130" s="7"/>
      <c r="D130" s="7"/>
      <c r="E130" s="7"/>
      <c r="F130" s="7"/>
      <c r="G130" s="7"/>
      <c r="H130" s="2367" t="s">
        <v>931</v>
      </c>
      <c r="I130" s="2368"/>
    </row>
    <row r="131" spans="1:9" ht="27" customHeight="1">
      <c r="A131" s="7"/>
      <c r="D131" s="7"/>
      <c r="E131" s="7"/>
      <c r="F131" s="7"/>
      <c r="G131" s="7"/>
      <c r="H131" s="2371" t="s">
        <v>1891</v>
      </c>
      <c r="I131" s="2372"/>
    </row>
    <row r="132" spans="1:9" ht="27" customHeight="1">
      <c r="A132" s="7"/>
      <c r="D132" s="7"/>
      <c r="E132" s="7"/>
      <c r="F132" s="7"/>
      <c r="G132" s="7"/>
      <c r="H132" s="2367" t="s">
        <v>1892</v>
      </c>
      <c r="I132" s="2368"/>
    </row>
    <row r="133" spans="1:9" ht="27" customHeight="1">
      <c r="A133" s="7"/>
      <c r="D133" s="7"/>
      <c r="E133" s="7"/>
      <c r="F133" s="7"/>
      <c r="G133" s="7"/>
      <c r="H133" s="2367" t="s">
        <v>932</v>
      </c>
      <c r="I133" s="2368"/>
    </row>
    <row r="134" spans="1:9" ht="27" customHeight="1">
      <c r="A134" s="7"/>
      <c r="D134" s="7"/>
      <c r="E134" s="7"/>
      <c r="F134" s="7"/>
      <c r="G134" s="7"/>
      <c r="H134" s="2367" t="s">
        <v>1260</v>
      </c>
      <c r="I134" s="2368"/>
    </row>
    <row r="135" spans="1:9" ht="27" customHeight="1">
      <c r="A135" s="7"/>
      <c r="D135" s="7"/>
      <c r="E135" s="7"/>
      <c r="F135" s="7"/>
      <c r="G135" s="7"/>
      <c r="H135" s="2367" t="s">
        <v>1893</v>
      </c>
      <c r="I135" s="2368"/>
    </row>
    <row r="136" spans="1:9" ht="42" customHeight="1">
      <c r="A136" s="7"/>
      <c r="D136" s="7"/>
      <c r="E136" s="7"/>
      <c r="F136" s="7"/>
      <c r="G136" s="7"/>
      <c r="H136" s="2367" t="s">
        <v>1651</v>
      </c>
      <c r="I136" s="2368"/>
    </row>
    <row r="137" spans="1:9" ht="21" customHeight="1">
      <c r="A137" s="7"/>
      <c r="D137" s="7"/>
      <c r="E137" s="7"/>
      <c r="F137" s="7"/>
      <c r="G137" s="7"/>
      <c r="H137" s="2367" t="s">
        <v>896</v>
      </c>
      <c r="I137" s="2368"/>
    </row>
    <row r="138" spans="1:9" ht="57" customHeight="1">
      <c r="A138" s="7"/>
      <c r="D138" s="7"/>
      <c r="E138" s="7"/>
      <c r="F138" s="7"/>
      <c r="G138" s="7"/>
      <c r="H138" s="2367" t="s">
        <v>1821</v>
      </c>
      <c r="I138" s="2368"/>
    </row>
    <row r="139" spans="1:9" ht="27" customHeight="1">
      <c r="A139" s="7"/>
      <c r="D139" s="7"/>
      <c r="E139" s="7"/>
      <c r="F139" s="7"/>
      <c r="G139" s="7"/>
      <c r="H139" s="2373" t="s">
        <v>1068</v>
      </c>
      <c r="I139" s="2374"/>
    </row>
    <row r="140" spans="1:9" ht="27" customHeight="1">
      <c r="A140" s="7"/>
      <c r="D140" s="7"/>
      <c r="E140" s="7"/>
      <c r="F140" s="7"/>
      <c r="G140" s="7"/>
      <c r="H140" s="2373" t="s">
        <v>1261</v>
      </c>
      <c r="I140" s="2374"/>
    </row>
    <row r="141" spans="1:9" ht="27" customHeight="1">
      <c r="A141" s="7"/>
      <c r="D141" s="7"/>
      <c r="E141" s="7"/>
      <c r="F141" s="7"/>
      <c r="G141" s="7"/>
      <c r="H141" s="2373" t="s">
        <v>1696</v>
      </c>
      <c r="I141" s="2374"/>
    </row>
    <row r="142" spans="1:9" ht="42" customHeight="1" thickBot="1">
      <c r="A142" s="7"/>
      <c r="D142" s="7"/>
      <c r="E142" s="7"/>
      <c r="F142" s="7"/>
      <c r="G142" s="7"/>
      <c r="H142" s="2407" t="s">
        <v>1894</v>
      </c>
      <c r="I142" s="2408"/>
    </row>
    <row r="143" spans="1:9">
      <c r="A143" s="7"/>
      <c r="D143" s="7"/>
      <c r="E143" s="7"/>
      <c r="F143" s="7"/>
      <c r="G143" s="7"/>
    </row>
    <row r="144" spans="1:9">
      <c r="A144" s="7"/>
      <c r="D144" s="7"/>
      <c r="E144" s="7"/>
      <c r="F144" s="7"/>
      <c r="G144" s="7"/>
    </row>
    <row r="145" spans="1:7">
      <c r="A145" s="7"/>
      <c r="D145" s="7"/>
      <c r="E145" s="7"/>
      <c r="F145" s="7"/>
      <c r="G145" s="7"/>
    </row>
    <row r="146" spans="1:7">
      <c r="A146" s="7"/>
      <c r="D146" s="7"/>
      <c r="E146" s="7"/>
      <c r="F146" s="7"/>
      <c r="G146" s="7"/>
    </row>
    <row r="147" spans="1:7">
      <c r="A147" s="7"/>
      <c r="D147" s="7"/>
      <c r="E147" s="7"/>
      <c r="F147" s="7"/>
      <c r="G147" s="7"/>
    </row>
    <row r="148" spans="1:7">
      <c r="A148" s="7"/>
      <c r="D148" s="7"/>
      <c r="E148" s="7"/>
      <c r="F148" s="7"/>
      <c r="G148" s="7"/>
    </row>
  </sheetData>
  <sheetProtection password="C74A" sheet="1" objects="1" scenarios="1" formatCells="0" formatColumns="0" formatRows="0"/>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109">
    <mergeCell ref="B3:B9"/>
    <mergeCell ref="H3:H9"/>
    <mergeCell ref="H10:H16"/>
    <mergeCell ref="B52:B56"/>
    <mergeCell ref="B81:B86"/>
    <mergeCell ref="H46:H51"/>
    <mergeCell ref="H52:H56"/>
    <mergeCell ref="A57:A62"/>
    <mergeCell ref="B63:B69"/>
    <mergeCell ref="H63:H69"/>
    <mergeCell ref="H81:H86"/>
    <mergeCell ref="B70:B76"/>
    <mergeCell ref="B23:B28"/>
    <mergeCell ref="A23:A28"/>
    <mergeCell ref="A52:A56"/>
    <mergeCell ref="E1:I1"/>
    <mergeCell ref="I101:I105"/>
    <mergeCell ref="I3:I9"/>
    <mergeCell ref="I10:I16"/>
    <mergeCell ref="D117:F117"/>
    <mergeCell ref="A10:A16"/>
    <mergeCell ref="A3:A9"/>
    <mergeCell ref="A101:A105"/>
    <mergeCell ref="A40:A45"/>
    <mergeCell ref="B40:B45"/>
    <mergeCell ref="B46:B51"/>
    <mergeCell ref="B10:B16"/>
    <mergeCell ref="H29:H33"/>
    <mergeCell ref="B18:B22"/>
    <mergeCell ref="B34:B39"/>
    <mergeCell ref="B97:B100"/>
    <mergeCell ref="B87:B90"/>
    <mergeCell ref="A113:C120"/>
    <mergeCell ref="B91:B96"/>
    <mergeCell ref="A87:A90"/>
    <mergeCell ref="D114:F114"/>
    <mergeCell ref="A106:A112"/>
    <mergeCell ref="A18:A22"/>
    <mergeCell ref="A1:B1"/>
    <mergeCell ref="A46:A51"/>
    <mergeCell ref="A29:A33"/>
    <mergeCell ref="H18:H22"/>
    <mergeCell ref="A63:A69"/>
    <mergeCell ref="I18:I22"/>
    <mergeCell ref="I29:I33"/>
    <mergeCell ref="I34:I39"/>
    <mergeCell ref="I40:I45"/>
    <mergeCell ref="I46:I51"/>
    <mergeCell ref="I52:I56"/>
    <mergeCell ref="H34:H39"/>
    <mergeCell ref="H40:H45"/>
    <mergeCell ref="A34:A39"/>
    <mergeCell ref="B29:B33"/>
    <mergeCell ref="A121:B121"/>
    <mergeCell ref="D113:H113"/>
    <mergeCell ref="H70:H76"/>
    <mergeCell ref="H57:H62"/>
    <mergeCell ref="H77:H80"/>
    <mergeCell ref="D118:F118"/>
    <mergeCell ref="C121:E121"/>
    <mergeCell ref="D119:F119"/>
    <mergeCell ref="H91:H96"/>
    <mergeCell ref="A97:A100"/>
    <mergeCell ref="A91:A96"/>
    <mergeCell ref="B106:B112"/>
    <mergeCell ref="H106:H112"/>
    <mergeCell ref="A81:A86"/>
    <mergeCell ref="A77:A80"/>
    <mergeCell ref="B57:B62"/>
    <mergeCell ref="B77:B80"/>
    <mergeCell ref="A70:A76"/>
    <mergeCell ref="D115:F115"/>
    <mergeCell ref="D116:F116"/>
    <mergeCell ref="H101:H105"/>
    <mergeCell ref="B101:B105"/>
    <mergeCell ref="H97:H100"/>
    <mergeCell ref="I81:I86"/>
    <mergeCell ref="I87:I90"/>
    <mergeCell ref="I91:I96"/>
    <mergeCell ref="I97:I100"/>
    <mergeCell ref="I23:I28"/>
    <mergeCell ref="H127:I127"/>
    <mergeCell ref="H128:I128"/>
    <mergeCell ref="H129:I129"/>
    <mergeCell ref="H130:I130"/>
    <mergeCell ref="I106:I112"/>
    <mergeCell ref="H87:H90"/>
    <mergeCell ref="I57:I62"/>
    <mergeCell ref="I63:I69"/>
    <mergeCell ref="I70:I76"/>
    <mergeCell ref="I77:I80"/>
    <mergeCell ref="H23:H28"/>
    <mergeCell ref="H131:I131"/>
    <mergeCell ref="H121:I121"/>
    <mergeCell ref="H123:I123"/>
    <mergeCell ref="H124:I124"/>
    <mergeCell ref="H125:I125"/>
    <mergeCell ref="H126:I126"/>
    <mergeCell ref="H142:I142"/>
    <mergeCell ref="H137:I137"/>
    <mergeCell ref="H138:I138"/>
    <mergeCell ref="H139:I139"/>
    <mergeCell ref="H140:I140"/>
    <mergeCell ref="H141:I141"/>
    <mergeCell ref="H132:I132"/>
    <mergeCell ref="H133:I133"/>
    <mergeCell ref="H134:I134"/>
    <mergeCell ref="H135:I135"/>
    <mergeCell ref="H136:I136"/>
  </mergeCells>
  <phoneticPr fontId="2" type="noConversion"/>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sheetPr codeName="Sheet12"/>
  <dimension ref="A1:K688"/>
  <sheetViews>
    <sheetView zoomScaleNormal="100" workbookViewId="0">
      <selection sqref="A1:B1"/>
    </sheetView>
  </sheetViews>
  <sheetFormatPr defaultColWidth="9.33203125" defaultRowHeight="13.8"/>
  <cols>
    <col min="1" max="1" width="5.77734375" style="52" customWidth="1"/>
    <col min="2" max="2" width="18.77734375" style="12" customWidth="1"/>
    <col min="3" max="3" width="69.77734375" style="7" customWidth="1"/>
    <col min="4" max="6" width="6.77734375" style="180" customWidth="1"/>
    <col min="7" max="7" width="9.77734375" style="178" customWidth="1"/>
    <col min="8" max="8" width="69.77734375" style="24" customWidth="1"/>
    <col min="9" max="9" width="11.77734375" style="12" customWidth="1"/>
    <col min="10" max="10" width="9.33203125" style="142"/>
    <col min="11" max="16384" width="9.33203125" style="12"/>
  </cols>
  <sheetData>
    <row r="1" spans="1:10" s="129" customFormat="1" ht="48" customHeight="1" thickBot="1">
      <c r="A1" s="2386" t="s">
        <v>1641</v>
      </c>
      <c r="B1" s="2387"/>
      <c r="C1" s="125" t="s">
        <v>1640</v>
      </c>
      <c r="D1" s="150" t="s">
        <v>1239</v>
      </c>
      <c r="E1" s="2614"/>
      <c r="F1" s="2615"/>
      <c r="G1" s="2615"/>
      <c r="H1" s="2615"/>
      <c r="I1" s="2615"/>
      <c r="J1" s="142"/>
    </row>
    <row r="2" spans="1:10" s="138" customFormat="1" ht="36" customHeight="1" thickBot="1">
      <c r="A2" s="1595" t="s">
        <v>168</v>
      </c>
      <c r="B2" s="1555" t="s">
        <v>2629</v>
      </c>
      <c r="C2" s="1596" t="s">
        <v>1354</v>
      </c>
      <c r="D2" s="1555" t="s">
        <v>64</v>
      </c>
      <c r="E2" s="1668" t="s">
        <v>1383</v>
      </c>
      <c r="F2" s="1669" t="s">
        <v>1384</v>
      </c>
      <c r="G2" s="1670" t="s">
        <v>1293</v>
      </c>
      <c r="H2" s="1555" t="s">
        <v>1294</v>
      </c>
      <c r="I2" s="1648" t="s">
        <v>2622</v>
      </c>
      <c r="J2" s="192"/>
    </row>
    <row r="3" spans="1:10" s="2" customFormat="1" ht="21" customHeight="1" thickBot="1">
      <c r="A3" s="2151" t="str">
        <f>OF!A74</f>
        <v>OF14</v>
      </c>
      <c r="B3" s="2629" t="str">
        <f>OF!B74</f>
        <v>Tidal Proximity</v>
      </c>
      <c r="C3" s="1622" t="str">
        <f>OF!C74</f>
        <v>The distance from the AA edge to the closest tidal water body (regardless of its salinity) is:</v>
      </c>
      <c r="D3" s="360"/>
      <c r="E3" s="360"/>
      <c r="F3" s="360"/>
      <c r="G3" s="1708">
        <f>MAX(F4:F8)/MAX(E4:E8)</f>
        <v>0</v>
      </c>
      <c r="H3" s="2146" t="s">
        <v>2820</v>
      </c>
      <c r="I3" s="2148" t="s">
        <v>213</v>
      </c>
      <c r="J3" s="192"/>
    </row>
    <row r="4" spans="1:10" s="2" customFormat="1" ht="15" customHeight="1">
      <c r="A4" s="2151"/>
      <c r="B4" s="2629"/>
      <c r="C4" s="555" t="str">
        <f>OF!C75</f>
        <v>&lt;100 m</v>
      </c>
      <c r="D4" s="256">
        <f>OF!D75</f>
        <v>0</v>
      </c>
      <c r="E4" s="361">
        <v>4</v>
      </c>
      <c r="F4" s="361">
        <f>D4*E4</f>
        <v>0</v>
      </c>
      <c r="G4" s="630"/>
      <c r="H4" s="2146"/>
      <c r="I4" s="2146"/>
      <c r="J4" s="192"/>
    </row>
    <row r="5" spans="1:10" s="2" customFormat="1" ht="15" customHeight="1">
      <c r="A5" s="2151"/>
      <c r="B5" s="2629"/>
      <c r="C5" s="491" t="str">
        <f>OF!C76</f>
        <v>100 m - 1 km</v>
      </c>
      <c r="D5" s="247">
        <f>OF!D76</f>
        <v>0</v>
      </c>
      <c r="E5" s="361">
        <v>4</v>
      </c>
      <c r="F5" s="361">
        <f>D5*E5</f>
        <v>0</v>
      </c>
      <c r="G5" s="630"/>
      <c r="H5" s="2146"/>
      <c r="I5" s="2146"/>
      <c r="J5" s="192"/>
    </row>
    <row r="6" spans="1:10" s="2" customFormat="1" ht="15" customHeight="1">
      <c r="A6" s="2151"/>
      <c r="B6" s="2629"/>
      <c r="C6" s="491" t="str">
        <f>OF!C77</f>
        <v>1 - 5 km</v>
      </c>
      <c r="D6" s="247">
        <f>OF!D77</f>
        <v>0</v>
      </c>
      <c r="E6" s="361">
        <v>3</v>
      </c>
      <c r="F6" s="361">
        <f>D6*E6</f>
        <v>0</v>
      </c>
      <c r="G6" s="630"/>
      <c r="H6" s="2146"/>
      <c r="I6" s="2146"/>
      <c r="J6" s="192"/>
    </row>
    <row r="7" spans="1:10" s="2" customFormat="1" ht="15" customHeight="1">
      <c r="A7" s="2151"/>
      <c r="B7" s="2629"/>
      <c r="C7" s="491" t="str">
        <f>OF!C79</f>
        <v>10-40 km</v>
      </c>
      <c r="D7" s="247">
        <f>OF!D79</f>
        <v>0</v>
      </c>
      <c r="E7" s="361">
        <v>2</v>
      </c>
      <c r="F7" s="361">
        <f>D7*E7</f>
        <v>0</v>
      </c>
      <c r="G7" s="630"/>
      <c r="H7" s="2146"/>
      <c r="I7" s="2146"/>
      <c r="J7" s="192"/>
    </row>
    <row r="8" spans="1:10" s="2" customFormat="1" ht="15" customHeight="1" thickBot="1">
      <c r="A8" s="2152"/>
      <c r="B8" s="2630"/>
      <c r="C8" s="492" t="str">
        <f>OF!C80</f>
        <v>&gt;40 km</v>
      </c>
      <c r="D8" s="248">
        <f>OF!D80</f>
        <v>0</v>
      </c>
      <c r="E8" s="362">
        <v>0</v>
      </c>
      <c r="F8" s="362">
        <f>D8*E8</f>
        <v>0</v>
      </c>
      <c r="G8" s="631"/>
      <c r="H8" s="2149"/>
      <c r="I8" s="2149"/>
      <c r="J8" s="192"/>
    </row>
    <row r="9" spans="1:10" s="2" customFormat="1" ht="45" customHeight="1" thickBot="1">
      <c r="A9" s="2631" t="str">
        <f>OF!A95</f>
        <v>OF21</v>
      </c>
      <c r="B9" s="2148" t="str">
        <f>OF!B95</f>
        <v xml:space="preserve">Degraded Water Upstream </v>
      </c>
      <c r="C9" s="136" t="str">
        <f>OF!C95</f>
        <v xml:space="preserve">Sampling indicates a problem with concentrations of metals, hydrocarbons, nutrients, or other substances (excluding bacteria, high temperatures) being present at levels harmful to aquatic life or humans, and:  </v>
      </c>
      <c r="D9" s="365"/>
      <c r="E9" s="365"/>
      <c r="F9" s="366"/>
      <c r="G9" s="537">
        <f>IF((D13=1),"", IF((D12=1),1, IF((D11=1),0.2, 0)))</f>
        <v>0</v>
      </c>
      <c r="H9" s="2148" t="s">
        <v>1896</v>
      </c>
      <c r="I9" s="2148" t="s">
        <v>531</v>
      </c>
      <c r="J9" s="192"/>
    </row>
    <row r="10" spans="1:10" s="2" customFormat="1" ht="15" customHeight="1">
      <c r="A10" s="2632"/>
      <c r="B10" s="2146"/>
      <c r="C10" s="555" t="str">
        <f>OF!C96</f>
        <v>The condition is present within the AA.</v>
      </c>
      <c r="D10" s="256">
        <f>OF!D96</f>
        <v>0</v>
      </c>
      <c r="E10" s="360"/>
      <c r="F10" s="361"/>
      <c r="G10" s="629"/>
      <c r="H10" s="2146"/>
      <c r="I10" s="2146"/>
      <c r="J10" s="192"/>
    </row>
    <row r="11" spans="1:10" s="2" customFormat="1" ht="27" customHeight="1">
      <c r="A11" s="2632"/>
      <c r="B11" s="2146"/>
      <c r="C11" s="555" t="str">
        <f>OF!C97</f>
        <v>The condition is present in waters within 1 km that flow into the AA, but has not been documented in the AA itself.</v>
      </c>
      <c r="D11" s="256">
        <f>OF!D97</f>
        <v>0</v>
      </c>
      <c r="E11" s="360"/>
      <c r="F11" s="361"/>
      <c r="G11" s="630"/>
      <c r="H11" s="2146"/>
      <c r="I11" s="2146"/>
      <c r="J11" s="192"/>
    </row>
    <row r="12" spans="1:10" s="2" customFormat="1" ht="27" customHeight="1">
      <c r="A12" s="2632"/>
      <c r="B12" s="2146"/>
      <c r="C12" s="555" t="str">
        <f>OF!C98</f>
        <v>Sampling during both low water periods and times with high runoff (storms, snowmelt) indicates no problems in either the AA or inflowing waters.</v>
      </c>
      <c r="D12" s="256">
        <f>OF!D98</f>
        <v>0</v>
      </c>
      <c r="E12" s="360"/>
      <c r="F12" s="361"/>
      <c r="G12" s="630"/>
      <c r="H12" s="2146"/>
      <c r="I12" s="2146"/>
      <c r="J12" s="192"/>
    </row>
    <row r="13" spans="1:10" s="2" customFormat="1" ht="27" customHeight="1" thickBot="1">
      <c r="A13" s="2633"/>
      <c r="B13" s="2149"/>
      <c r="C13" s="685" t="str">
        <f>OF!C99</f>
        <v>Data are insufficient (no or inadequate sampling within 1 km, or condition exists only at &gt;1 km upstream). This is the situation for nearly all NB wetlands.</v>
      </c>
      <c r="D13" s="290">
        <f>OF!D99</f>
        <v>0</v>
      </c>
      <c r="E13" s="375"/>
      <c r="F13" s="362"/>
      <c r="G13" s="631"/>
      <c r="H13" s="2149"/>
      <c r="I13" s="2149"/>
      <c r="J13" s="192"/>
    </row>
    <row r="14" spans="1:10" s="2" customFormat="1" ht="45" customHeight="1" thickBot="1">
      <c r="A14" s="2150" t="str">
        <f>OF!A110</f>
        <v>OF24</v>
      </c>
      <c r="B14" s="2148" t="str">
        <f>OF!B110</f>
        <v>Unvegetated Surface in the Contributing Area</v>
      </c>
      <c r="C14" s="436" t="str">
        <f>OF!C110</f>
        <v>The proportion of the AA's contributing area (measured to no more than 1000 m upslope) that is comprised of buildings, roads, parking lots, other pavement, exposed bedrock, landslides, and other mostly-bare surface is about :</v>
      </c>
      <c r="D14" s="365"/>
      <c r="E14" s="365"/>
      <c r="F14" s="365"/>
      <c r="G14" s="500">
        <f>MAX(F15:F17)/MAX(E15:E17)</f>
        <v>0</v>
      </c>
      <c r="H14" s="2148" t="s">
        <v>787</v>
      </c>
      <c r="I14" s="2148" t="s">
        <v>215</v>
      </c>
      <c r="J14" s="192"/>
    </row>
    <row r="15" spans="1:10" s="2" customFormat="1" ht="15" customHeight="1">
      <c r="A15" s="2151"/>
      <c r="B15" s="2146"/>
      <c r="C15" s="30" t="str">
        <f>OF!C111</f>
        <v>&lt;10%</v>
      </c>
      <c r="D15" s="256">
        <f>OF!D111</f>
        <v>0</v>
      </c>
      <c r="E15" s="361">
        <v>2</v>
      </c>
      <c r="F15" s="361">
        <f>D15*E15</f>
        <v>0</v>
      </c>
      <c r="G15" s="630"/>
      <c r="H15" s="2146"/>
      <c r="I15" s="2146"/>
      <c r="J15" s="192"/>
    </row>
    <row r="16" spans="1:10" s="2" customFormat="1" ht="15" customHeight="1">
      <c r="A16" s="2151"/>
      <c r="B16" s="2146"/>
      <c r="C16" s="6" t="str">
        <f>OF!C112</f>
        <v>10 to 25%</v>
      </c>
      <c r="D16" s="247">
        <f>OF!D112</f>
        <v>0</v>
      </c>
      <c r="E16" s="361">
        <v>1</v>
      </c>
      <c r="F16" s="361">
        <f>D16*E16</f>
        <v>0</v>
      </c>
      <c r="G16" s="630"/>
      <c r="H16" s="2146"/>
      <c r="I16" s="2146"/>
      <c r="J16" s="192"/>
    </row>
    <row r="17" spans="1:10" s="2" customFormat="1" ht="15" customHeight="1" thickBot="1">
      <c r="A17" s="2152"/>
      <c r="B17" s="2149"/>
      <c r="C17" s="194" t="str">
        <f>OF!C113</f>
        <v>&gt;25%</v>
      </c>
      <c r="D17" s="248">
        <f>OF!D113</f>
        <v>0</v>
      </c>
      <c r="E17" s="362">
        <v>0</v>
      </c>
      <c r="F17" s="362">
        <f>D17*E17</f>
        <v>0</v>
      </c>
      <c r="G17" s="631"/>
      <c r="H17" s="2149"/>
      <c r="I17" s="2149"/>
      <c r="J17" s="192"/>
    </row>
    <row r="18" spans="1:10" s="16" customFormat="1" ht="30" customHeight="1" thickBot="1">
      <c r="A18" s="2150" t="str">
        <f>OF!A136</f>
        <v>OF29</v>
      </c>
      <c r="B18" s="2148" t="str">
        <f>OF!B136</f>
        <v>Fish Access or Use</v>
      </c>
      <c r="C18" s="436" t="str">
        <f>OF!C136</f>
        <v>According to agency biologists and/or your own observations, the AA: [mark just the first choice that is true]:</v>
      </c>
      <c r="D18" s="365"/>
      <c r="E18" s="365"/>
      <c r="F18" s="645"/>
      <c r="G18" s="537">
        <f>MAX(F19,F20)/2</f>
        <v>0</v>
      </c>
      <c r="H18" s="2148" t="s">
        <v>34</v>
      </c>
      <c r="I18" s="2148" t="s">
        <v>214</v>
      </c>
      <c r="J18" s="196"/>
    </row>
    <row r="19" spans="1:10" s="16" customFormat="1" ht="28.2" customHeight="1">
      <c r="A19" s="2151"/>
      <c r="B19" s="2146"/>
      <c r="C19" s="30" t="str">
        <f>OF!C137</f>
        <v xml:space="preserve">is known to support Atlantic salmon rearing and/or spawning.  In NB, consult Figure A-2 in Appendix A of the Manual, or local fishery biologists. </v>
      </c>
      <c r="D19" s="256">
        <f>OF!D137</f>
        <v>0</v>
      </c>
      <c r="E19" s="377">
        <v>2</v>
      </c>
      <c r="F19" s="361">
        <f>D19*E19</f>
        <v>0</v>
      </c>
      <c r="G19" s="363"/>
      <c r="H19" s="2146"/>
      <c r="I19" s="2146"/>
      <c r="J19" s="196"/>
    </row>
    <row r="20" spans="1:10" s="16" customFormat="1" ht="27" customHeight="1">
      <c r="A20" s="2151"/>
      <c r="B20" s="2146"/>
      <c r="C20" s="1105" t="str">
        <f>OF!C138</f>
        <v xml:space="preserve">is connected to nearby waters containing Atlantic salmon and is probably salmon-accessible during some conditions, but anadromous salmon have not been documented in the AA. </v>
      </c>
      <c r="D20" s="247">
        <f>OF!D138</f>
        <v>0</v>
      </c>
      <c r="E20" s="377">
        <v>1</v>
      </c>
      <c r="F20" s="361">
        <f>D20*E20</f>
        <v>0</v>
      </c>
      <c r="G20" s="386"/>
      <c r="H20" s="2146"/>
      <c r="I20" s="2146"/>
      <c r="J20" s="196"/>
    </row>
    <row r="21" spans="1:10" s="16" customFormat="1" ht="27" customHeight="1">
      <c r="A21" s="2151"/>
      <c r="B21" s="2146"/>
      <c r="C21" s="1105" t="str">
        <f>OF!C139</f>
        <v>is not connected to nearby salmon waters, but is known or likely to have other fish at least seasonally.  In NB: includes but not limited to:  http://www2.gnb.ca/content/gnb/en/departments/natural_resources/fish/content/StockedWaters.html</v>
      </c>
      <c r="D21" s="247">
        <f>OF!D139</f>
        <v>0</v>
      </c>
      <c r="E21" s="377">
        <v>0</v>
      </c>
      <c r="F21" s="361">
        <f>D21*E21</f>
        <v>0</v>
      </c>
      <c r="G21" s="386"/>
      <c r="H21" s="2146"/>
      <c r="I21" s="2146"/>
      <c r="J21" s="196"/>
    </row>
    <row r="22" spans="1:10" s="16" customFormat="1" ht="15" customHeight="1" thickBot="1">
      <c r="A22" s="2152"/>
      <c r="B22" s="2149"/>
      <c r="C22" s="194" t="str">
        <f>OF!C140</f>
        <v xml:space="preserve">is known or likely to be fishless (e.g., too small, dry, and/or not accessible even temporarily). </v>
      </c>
      <c r="D22" s="248">
        <f>OF!D140</f>
        <v>0</v>
      </c>
      <c r="E22" s="378">
        <v>0</v>
      </c>
      <c r="F22" s="362">
        <f>D22*E22</f>
        <v>0</v>
      </c>
      <c r="G22" s="390"/>
      <c r="H22" s="2149"/>
      <c r="I22" s="2149"/>
      <c r="J22" s="196"/>
    </row>
    <row r="23" spans="1:10" ht="86.4" customHeight="1" thickBot="1">
      <c r="A23" s="198" t="str">
        <f>OF!A154</f>
        <v>OF38</v>
      </c>
      <c r="B23" s="5" t="str">
        <f>OF!B154</f>
        <v>Calcareous Region</v>
      </c>
      <c r="C23" s="204" t="str">
        <f>OF!C154</f>
        <v>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 If no map coverage, change to blank. In NB: see Figure A-6 in Appendix A of the Manual, or use GIS with Bedrock Geology shapefile at http://www.snb.ca/geonb1/e/DC/catalogue-E.asp</v>
      </c>
      <c r="D23" s="289">
        <f>IF((OF!D154=""),"",OF!D154)</f>
        <v>0</v>
      </c>
      <c r="E23" s="701"/>
      <c r="F23" s="373"/>
      <c r="G23" s="500" t="str">
        <f>IF((D23=0),"",IF((D23=""),"",D23/3))</f>
        <v/>
      </c>
      <c r="H23" s="123" t="s">
        <v>1977</v>
      </c>
      <c r="I23" s="1709" t="s">
        <v>530</v>
      </c>
    </row>
    <row r="24" spans="1:10" s="8" customFormat="1" ht="21" customHeight="1" thickBot="1">
      <c r="A24" s="2389" t="str">
        <f>F!A4</f>
        <v>F1</v>
      </c>
      <c r="B24" s="2148" t="str">
        <f>F!B4</f>
        <v>Wetland Type</v>
      </c>
      <c r="C24" s="400" t="str">
        <f>F!C4</f>
        <v>The vegetated part of the Assessment Area (AA) is mostly a (select ONE):</v>
      </c>
      <c r="D24" s="360"/>
      <c r="E24" s="379"/>
      <c r="F24" s="695"/>
      <c r="G24" s="538">
        <f>MAX(F25:F28)/MAX(E25:E28)</f>
        <v>0</v>
      </c>
      <c r="H24" s="2146" t="s">
        <v>1946</v>
      </c>
      <c r="I24" s="2148" t="s">
        <v>235</v>
      </c>
      <c r="J24" s="192"/>
    </row>
    <row r="25" spans="1:10" s="8" customFormat="1" ht="57" customHeight="1">
      <c r="A25" s="2390"/>
      <c r="B25" s="2146"/>
      <c r="C25" s="120"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25" s="247">
        <f>F!D5</f>
        <v>0</v>
      </c>
      <c r="E25" s="377">
        <v>1</v>
      </c>
      <c r="F25" s="361">
        <f>D25*E25</f>
        <v>0</v>
      </c>
      <c r="G25" s="695"/>
      <c r="H25" s="2146"/>
      <c r="I25" s="2146"/>
      <c r="J25" s="192"/>
    </row>
    <row r="26" spans="1:10" s="8" customFormat="1" ht="57" customHeight="1">
      <c r="A26" s="2390"/>
      <c r="B26" s="2146"/>
      <c r="C26" s="406"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26" s="247">
        <f>F!D6</f>
        <v>0</v>
      </c>
      <c r="E26" s="377">
        <v>0</v>
      </c>
      <c r="F26" s="361">
        <f>D26*E26</f>
        <v>0</v>
      </c>
      <c r="G26" s="696"/>
      <c r="H26" s="2146"/>
      <c r="I26" s="2146"/>
      <c r="J26" s="192"/>
    </row>
    <row r="27" spans="1:10" s="8" customFormat="1" ht="69" customHeight="1">
      <c r="A27" s="2390"/>
      <c r="B27" s="2146"/>
      <c r="C27" s="406"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27" s="247">
        <f>F!D7</f>
        <v>0</v>
      </c>
      <c r="E27" s="377">
        <v>2</v>
      </c>
      <c r="F27" s="361">
        <f>D27*E27</f>
        <v>0</v>
      </c>
      <c r="G27" s="696"/>
      <c r="H27" s="2146"/>
      <c r="I27" s="2146"/>
      <c r="J27" s="192"/>
    </row>
    <row r="28" spans="1:10" s="8" customFormat="1" ht="69" customHeight="1" thickBot="1">
      <c r="A28" s="2391"/>
      <c r="B28" s="2149"/>
      <c r="C28" s="406"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28" s="247">
        <f>F!D8</f>
        <v>0</v>
      </c>
      <c r="E28" s="377">
        <v>3</v>
      </c>
      <c r="F28" s="361">
        <f>D28*E28</f>
        <v>0</v>
      </c>
      <c r="G28" s="696"/>
      <c r="H28" s="2146"/>
      <c r="I28" s="2149"/>
      <c r="J28" s="192"/>
    </row>
    <row r="29" spans="1:10" s="17" customFormat="1" ht="30" customHeight="1" thickBot="1">
      <c r="A29" s="2150" t="str">
        <f>F!A45</f>
        <v>F9</v>
      </c>
      <c r="B29" s="2148" t="str">
        <f>F!B45</f>
        <v>N Fixers</v>
      </c>
      <c r="C29" s="436" t="str">
        <f>F!C45</f>
        <v>The percentage of the AA's shrub plus ground cover that contains nitrogen-fixing plants (e.g., alder, bayberry, clover, lupine, alfalfa, other legumes) is:</v>
      </c>
      <c r="D29" s="365"/>
      <c r="E29" s="365"/>
      <c r="F29" s="366"/>
      <c r="G29" s="500">
        <f>MAX(F30:F34)/MAX(E30:E34)</f>
        <v>0</v>
      </c>
      <c r="H29" s="2148" t="s">
        <v>1947</v>
      </c>
      <c r="I29" s="2611" t="s">
        <v>529</v>
      </c>
      <c r="J29" s="142"/>
    </row>
    <row r="30" spans="1:10" s="17" customFormat="1" ht="15" customHeight="1">
      <c r="A30" s="2151"/>
      <c r="B30" s="2146"/>
      <c r="C30" s="552" t="str">
        <f>F!C46</f>
        <v>&lt;1% or none</v>
      </c>
      <c r="D30" s="354">
        <f>F!D46</f>
        <v>0</v>
      </c>
      <c r="E30" s="361">
        <v>0</v>
      </c>
      <c r="F30" s="361">
        <f>D30*E30</f>
        <v>0</v>
      </c>
      <c r="G30" s="501"/>
      <c r="H30" s="2146"/>
      <c r="I30" s="2612"/>
      <c r="J30" s="142"/>
    </row>
    <row r="31" spans="1:10" s="17" customFormat="1" ht="15" customHeight="1">
      <c r="A31" s="2151"/>
      <c r="B31" s="2146"/>
      <c r="C31" s="437" t="str">
        <f>F!C47</f>
        <v>1-25% of the shrub plus ground cover, in the AA or along its water edge (whichever has more).</v>
      </c>
      <c r="D31" s="254">
        <f>F!D47</f>
        <v>0</v>
      </c>
      <c r="E31" s="361">
        <v>1</v>
      </c>
      <c r="F31" s="361">
        <f>D31*E31</f>
        <v>0</v>
      </c>
      <c r="G31" s="502"/>
      <c r="H31" s="2146"/>
      <c r="I31" s="2612"/>
      <c r="J31" s="142"/>
    </row>
    <row r="32" spans="1:10" s="17" customFormat="1" ht="15" customHeight="1">
      <c r="A32" s="2151"/>
      <c r="B32" s="2146"/>
      <c r="C32" s="437" t="str">
        <f>F!C48</f>
        <v>25-50% of the shrub plus ground cover, in the AA or along its water edge (whichever has more).</v>
      </c>
      <c r="D32" s="254">
        <f>F!D48</f>
        <v>0</v>
      </c>
      <c r="E32" s="361">
        <v>2</v>
      </c>
      <c r="F32" s="361">
        <f>D32*E32</f>
        <v>0</v>
      </c>
      <c r="G32" s="502"/>
      <c r="H32" s="2146"/>
      <c r="I32" s="2612"/>
      <c r="J32" s="142"/>
    </row>
    <row r="33" spans="1:10" s="17" customFormat="1" ht="15" customHeight="1">
      <c r="A33" s="2151"/>
      <c r="B33" s="2146"/>
      <c r="C33" s="437" t="str">
        <f>F!C49</f>
        <v>50-75% of the shrub plus ground cover, in the AA or along its water edge (whichever has more).</v>
      </c>
      <c r="D33" s="254">
        <f>F!D49</f>
        <v>0</v>
      </c>
      <c r="E33" s="361">
        <v>3</v>
      </c>
      <c r="F33" s="361">
        <f>D33*E33</f>
        <v>0</v>
      </c>
      <c r="G33" s="502"/>
      <c r="H33" s="2146"/>
      <c r="I33" s="2612"/>
      <c r="J33" s="142"/>
    </row>
    <row r="34" spans="1:10" s="17" customFormat="1" ht="15" customHeight="1" thickBot="1">
      <c r="A34" s="2152"/>
      <c r="B34" s="2149"/>
      <c r="C34" s="194" t="str">
        <f>F!C50</f>
        <v>&gt;75% of the shrub plus ground cover, in the AA or along its water edge (whichever has more).</v>
      </c>
      <c r="D34" s="248">
        <f>F!D50</f>
        <v>0</v>
      </c>
      <c r="E34" s="362">
        <v>4</v>
      </c>
      <c r="F34" s="362">
        <f>D34*E34</f>
        <v>0</v>
      </c>
      <c r="G34" s="503"/>
      <c r="H34" s="2149"/>
      <c r="I34" s="2613"/>
      <c r="J34" s="142"/>
    </row>
    <row r="35" spans="1:10" s="16" customFormat="1" ht="30" customHeight="1" thickBot="1">
      <c r="A35" s="2150" t="str">
        <f>F!A115</f>
        <v>F24</v>
      </c>
      <c r="B35" s="2148" t="str">
        <f>F!B115</f>
        <v>% of AA Without Surface Water</v>
      </c>
      <c r="C35" s="436" t="str">
        <f>F!C115</f>
        <v>The percentage of the AA that never contains surface water during an average year (that is, except perhaps for a few hours after snowmelt or rainstorms), but which is still a wetland, is:</v>
      </c>
      <c r="D35" s="365"/>
      <c r="E35" s="365"/>
      <c r="F35" s="365"/>
      <c r="G35" s="500">
        <f>MAX(F36:F41)/MAX(E36:E41)</f>
        <v>0</v>
      </c>
      <c r="H35" s="2148" t="s">
        <v>791</v>
      </c>
      <c r="I35" s="2148" t="s">
        <v>792</v>
      </c>
      <c r="J35" s="196"/>
    </row>
    <row r="36" spans="1:10" s="16" customFormat="1" ht="27" customHeight="1">
      <c r="A36" s="2151"/>
      <c r="B36" s="2146"/>
      <c r="C36" s="625" t="str">
        <f>F!C116</f>
        <v xml:space="preserve">&lt;1% AND &lt;0.01 hectare (about 10 m on a side) never has surface water. In other words, all or nearly all of the AA is covered by water permanently or at least seasonally.  </v>
      </c>
      <c r="D36" s="279">
        <f>F!D116</f>
        <v>0</v>
      </c>
      <c r="E36" s="361">
        <v>5</v>
      </c>
      <c r="F36" s="361">
        <f t="shared" ref="F36:F41" si="0">D36*E36</f>
        <v>0</v>
      </c>
      <c r="G36" s="630"/>
      <c r="H36" s="2146"/>
      <c r="I36" s="2146"/>
      <c r="J36" s="196"/>
    </row>
    <row r="37" spans="1:10" s="16" customFormat="1" ht="15" customHeight="1">
      <c r="A37" s="2151"/>
      <c r="B37" s="2146"/>
      <c r="C37" s="625" t="str">
        <f>F!C117</f>
        <v>1-25% of the AA,  or &lt;1% but &gt;0.01 ha, never contains surface water.</v>
      </c>
      <c r="D37" s="279">
        <f>F!D117</f>
        <v>0</v>
      </c>
      <c r="E37" s="361">
        <v>4</v>
      </c>
      <c r="F37" s="361">
        <f t="shared" si="0"/>
        <v>0</v>
      </c>
      <c r="G37" s="630"/>
      <c r="H37" s="2146"/>
      <c r="I37" s="2146"/>
      <c r="J37" s="196"/>
    </row>
    <row r="38" spans="1:10" s="16" customFormat="1" ht="15" customHeight="1">
      <c r="A38" s="2151"/>
      <c r="B38" s="2146"/>
      <c r="C38" s="625" t="str">
        <f>F!C118</f>
        <v>25-50% of the AA never contains surface water.</v>
      </c>
      <c r="D38" s="279">
        <f>F!D118</f>
        <v>0</v>
      </c>
      <c r="E38" s="361">
        <v>3</v>
      </c>
      <c r="F38" s="361">
        <f t="shared" si="0"/>
        <v>0</v>
      </c>
      <c r="G38" s="630"/>
      <c r="H38" s="2146"/>
      <c r="I38" s="2146"/>
      <c r="J38" s="196"/>
    </row>
    <row r="39" spans="1:10" s="16" customFormat="1" ht="15" customHeight="1">
      <c r="A39" s="2151"/>
      <c r="B39" s="2146"/>
      <c r="C39" s="625" t="str">
        <f>F!C119</f>
        <v>50-75% of the AA never contains surface water.</v>
      </c>
      <c r="D39" s="279">
        <f>F!D119</f>
        <v>0</v>
      </c>
      <c r="E39" s="361">
        <v>2</v>
      </c>
      <c r="F39" s="361">
        <f t="shared" si="0"/>
        <v>0</v>
      </c>
      <c r="G39" s="630"/>
      <c r="H39" s="2146"/>
      <c r="I39" s="2146"/>
      <c r="J39" s="196"/>
    </row>
    <row r="40" spans="1:10" s="16" customFormat="1" ht="15" customHeight="1">
      <c r="A40" s="2151"/>
      <c r="B40" s="2146"/>
      <c r="C40" s="625" t="str">
        <f>F!C120</f>
        <v>75-99% of the AA never contains surface water.</v>
      </c>
      <c r="D40" s="279">
        <f>F!D120</f>
        <v>0</v>
      </c>
      <c r="E40" s="361">
        <v>1</v>
      </c>
      <c r="F40" s="361">
        <f t="shared" si="0"/>
        <v>0</v>
      </c>
      <c r="G40" s="630"/>
      <c r="H40" s="2146"/>
      <c r="I40" s="2146"/>
      <c r="J40" s="196"/>
    </row>
    <row r="41" spans="1:10" s="16" customFormat="1" ht="27" customHeight="1" thickBot="1">
      <c r="A41" s="2151"/>
      <c r="B41" s="2146"/>
      <c r="C41" s="553" t="str">
        <f>F!C121</f>
        <v>100%. True for many bogs, meadow marshes, swamps that lack vernal pools.  Enter "1" and SKIP to F42 (Channel Connection).</v>
      </c>
      <c r="D41" s="1078">
        <f>F!D121</f>
        <v>0</v>
      </c>
      <c r="E41" s="364">
        <v>0</v>
      </c>
      <c r="F41" s="364">
        <f t="shared" si="0"/>
        <v>0</v>
      </c>
      <c r="G41" s="639"/>
      <c r="H41" s="2146"/>
      <c r="I41" s="2146"/>
      <c r="J41" s="196"/>
    </row>
    <row r="42" spans="1:10" s="17" customFormat="1" ht="45" customHeight="1" thickBot="1">
      <c r="A42" s="2155" t="str">
        <f>F!A122</f>
        <v>F25</v>
      </c>
      <c r="B42" s="2593" t="str">
        <f>F!B122</f>
        <v>% of AA with Persistent Surface Water</v>
      </c>
      <c r="C42" s="532"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42" s="365"/>
      <c r="E42" s="365"/>
      <c r="F42" s="366"/>
      <c r="G42" s="500">
        <f>IF((AllSat1&gt;0),"",MAX(F43:F47)/MAX(E43:E47))</f>
        <v>0</v>
      </c>
      <c r="H42" s="2148" t="s">
        <v>2307</v>
      </c>
      <c r="I42" s="2611" t="s">
        <v>234</v>
      </c>
      <c r="J42" s="142"/>
    </row>
    <row r="43" spans="1:10" s="17" customFormat="1" ht="27" customHeight="1">
      <c r="A43" s="2145"/>
      <c r="B43" s="2432"/>
      <c r="C43" s="534" t="str">
        <f>F!C123</f>
        <v>none. The AA dries up completely (no water in channels either) or never has surface water during most years.</v>
      </c>
      <c r="D43" s="259">
        <f>F!D123</f>
        <v>0</v>
      </c>
      <c r="E43" s="360">
        <v>0</v>
      </c>
      <c r="F43" s="361">
        <f>D43*E43</f>
        <v>0</v>
      </c>
      <c r="G43" s="502"/>
      <c r="H43" s="2146"/>
      <c r="I43" s="2612"/>
      <c r="J43" s="142"/>
    </row>
    <row r="44" spans="1:10" s="17" customFormat="1" ht="15" customHeight="1">
      <c r="A44" s="2145"/>
      <c r="B44" s="2432"/>
      <c r="C44" s="534" t="str">
        <f>F!C124</f>
        <v>1-20% of the AA.</v>
      </c>
      <c r="D44" s="259">
        <f>F!D124</f>
        <v>0</v>
      </c>
      <c r="E44" s="361">
        <v>1</v>
      </c>
      <c r="F44" s="361">
        <f>D44*E44</f>
        <v>0</v>
      </c>
      <c r="G44" s="501"/>
      <c r="H44" s="2146"/>
      <c r="I44" s="2612"/>
      <c r="J44" s="142"/>
    </row>
    <row r="45" spans="1:10" s="17" customFormat="1" ht="15" customHeight="1">
      <c r="A45" s="2145"/>
      <c r="B45" s="2432"/>
      <c r="C45" s="534" t="str">
        <f>F!C125</f>
        <v>20-50% of the AA.</v>
      </c>
      <c r="D45" s="259">
        <f>F!D125</f>
        <v>0</v>
      </c>
      <c r="E45" s="361">
        <v>2</v>
      </c>
      <c r="F45" s="361">
        <f>D45*E45</f>
        <v>0</v>
      </c>
      <c r="G45" s="502"/>
      <c r="H45" s="2146"/>
      <c r="I45" s="2612"/>
      <c r="J45" s="142"/>
    </row>
    <row r="46" spans="1:10" s="17" customFormat="1" ht="15" customHeight="1">
      <c r="A46" s="2145"/>
      <c r="B46" s="2432"/>
      <c r="C46" s="534" t="str">
        <f>F!C126</f>
        <v>50-95% of the AA.</v>
      </c>
      <c r="D46" s="259">
        <f>F!D126</f>
        <v>0</v>
      </c>
      <c r="E46" s="361">
        <v>3</v>
      </c>
      <c r="F46" s="361">
        <f>D46*E46</f>
        <v>0</v>
      </c>
      <c r="G46" s="502"/>
      <c r="H46" s="2146"/>
      <c r="I46" s="2612"/>
      <c r="J46" s="142"/>
    </row>
    <row r="47" spans="1:10" s="17" customFormat="1" ht="15" customHeight="1" thickBot="1">
      <c r="A47" s="2163"/>
      <c r="B47" s="2594"/>
      <c r="C47" s="668" t="str">
        <f>F!C127</f>
        <v>&gt;95% of the AA. True for many fringe wetlands.</v>
      </c>
      <c r="D47" s="285">
        <f>F!D127</f>
        <v>0</v>
      </c>
      <c r="E47" s="362">
        <v>4</v>
      </c>
      <c r="F47" s="362">
        <f>D47*E47</f>
        <v>0</v>
      </c>
      <c r="G47" s="503"/>
      <c r="H47" s="2149"/>
      <c r="I47" s="2613"/>
      <c r="J47" s="142"/>
    </row>
    <row r="48" spans="1:10" ht="36" customHeight="1" thickBot="1">
      <c r="A48" s="2150" t="str">
        <f>F!A128</f>
        <v>F26</v>
      </c>
      <c r="B48" s="2218" t="str">
        <f>F!B128</f>
        <v>% of Summertime Water that Is Shaded</v>
      </c>
      <c r="C48" s="436" t="str">
        <f>F!C128</f>
        <v>At mid-day during the warmest time of year, the area of surface water within the AA that is shaded by vegetation and other features that are within the AA at that time is:</v>
      </c>
      <c r="D48" s="365"/>
      <c r="E48" s="365"/>
      <c r="F48" s="383"/>
      <c r="G48" s="500">
        <f>IF((AllSat1&gt;0),"",IF((NoPersis=1),"",IF((LowerShed=1),"", MAX(F49:F53)/MAX(E49:E53))))</f>
        <v>0</v>
      </c>
      <c r="H48" s="2148" t="s">
        <v>2371</v>
      </c>
      <c r="I48" s="2611" t="s">
        <v>204</v>
      </c>
    </row>
    <row r="49" spans="1:10" ht="24" customHeight="1">
      <c r="A49" s="2151"/>
      <c r="B49" s="2211"/>
      <c r="C49" s="30" t="str">
        <f>F!C129</f>
        <v>&lt;5% of the water is shaded, or no surface water is present then.</v>
      </c>
      <c r="D49" s="256">
        <f>F!D129</f>
        <v>0</v>
      </c>
      <c r="E49" s="361">
        <v>1</v>
      </c>
      <c r="F49" s="361">
        <f>D49*E49</f>
        <v>0</v>
      </c>
      <c r="G49" s="501"/>
      <c r="H49" s="2146"/>
      <c r="I49" s="2612"/>
    </row>
    <row r="50" spans="1:10" ht="24" customHeight="1">
      <c r="A50" s="2151"/>
      <c r="B50" s="2211"/>
      <c r="C50" s="6" t="str">
        <f>F!C130</f>
        <v>5-25% of the water is shaded.</v>
      </c>
      <c r="D50" s="247">
        <f>F!D130</f>
        <v>0</v>
      </c>
      <c r="E50" s="361">
        <v>2</v>
      </c>
      <c r="F50" s="361">
        <f>D50*E50</f>
        <v>0</v>
      </c>
      <c r="G50" s="502"/>
      <c r="H50" s="2146"/>
      <c r="I50" s="2612"/>
    </row>
    <row r="51" spans="1:10" ht="24" customHeight="1">
      <c r="A51" s="2151"/>
      <c r="B51" s="2211"/>
      <c r="C51" s="6" t="str">
        <f>F!C131</f>
        <v>25-50% of the water is shaded.</v>
      </c>
      <c r="D51" s="247">
        <f>F!D131</f>
        <v>0</v>
      </c>
      <c r="E51" s="361">
        <v>3</v>
      </c>
      <c r="F51" s="361">
        <f>D51*E51</f>
        <v>0</v>
      </c>
      <c r="G51" s="502"/>
      <c r="H51" s="2146"/>
      <c r="I51" s="2612"/>
    </row>
    <row r="52" spans="1:10" ht="24" customHeight="1">
      <c r="A52" s="2151"/>
      <c r="B52" s="2211"/>
      <c r="C52" s="6" t="str">
        <f>F!C132</f>
        <v>50-75% of the water is shaded.</v>
      </c>
      <c r="D52" s="247">
        <f>F!D132</f>
        <v>0</v>
      </c>
      <c r="E52" s="361">
        <v>5</v>
      </c>
      <c r="F52" s="361">
        <f>D52*E52</f>
        <v>0</v>
      </c>
      <c r="G52" s="502"/>
      <c r="H52" s="2146"/>
      <c r="I52" s="2612"/>
    </row>
    <row r="53" spans="1:10" ht="24" customHeight="1" thickBot="1">
      <c r="A53" s="2152"/>
      <c r="B53" s="2420"/>
      <c r="C53" s="194" t="str">
        <f>F!C133</f>
        <v>&gt;75% of the water is shaded.</v>
      </c>
      <c r="D53" s="248">
        <f>F!D133</f>
        <v>0</v>
      </c>
      <c r="E53" s="362">
        <v>4</v>
      </c>
      <c r="F53" s="362">
        <f>D53*E53</f>
        <v>0</v>
      </c>
      <c r="G53" s="503"/>
      <c r="H53" s="2149"/>
      <c r="I53" s="2613"/>
    </row>
    <row r="54" spans="1:10" s="17" customFormat="1" ht="30" customHeight="1" thickBot="1">
      <c r="A54" s="2150" t="str">
        <f>F!A134</f>
        <v>F27</v>
      </c>
      <c r="B54" s="2218" t="str">
        <f>F!B134</f>
        <v>% of AA that is Flooded Only Seasonally</v>
      </c>
      <c r="C54" s="436" t="str">
        <f>F!C134</f>
        <v>The percentage of the AA that is covered by unfrozen surface water only during the wettest time of the year during most years is:</v>
      </c>
      <c r="D54" s="365"/>
      <c r="E54" s="365"/>
      <c r="F54" s="383"/>
      <c r="G54" s="500">
        <f>IF((AllSat1&gt;0),"",MAX(F55:F59)/MAX(E55:E59))</f>
        <v>0</v>
      </c>
      <c r="H54" s="2148" t="s">
        <v>1948</v>
      </c>
      <c r="I54" s="2611" t="s">
        <v>203</v>
      </c>
      <c r="J54" s="142"/>
    </row>
    <row r="55" spans="1:10" s="17" customFormat="1" ht="17.100000000000001" customHeight="1">
      <c r="A55" s="2151"/>
      <c r="B55" s="2211"/>
      <c r="C55" s="30" t="str">
        <f>F!C135</f>
        <v xml:space="preserve">None, or &lt;0.01 hectare and &lt;1% of the AA. </v>
      </c>
      <c r="D55" s="256">
        <f>F!D135</f>
        <v>0</v>
      </c>
      <c r="E55" s="361">
        <v>3</v>
      </c>
      <c r="F55" s="361">
        <f>D55*E55</f>
        <v>0</v>
      </c>
      <c r="G55" s="501"/>
      <c r="H55" s="2146"/>
      <c r="I55" s="2612"/>
      <c r="J55" s="142"/>
    </row>
    <row r="56" spans="1:10" s="17" customFormat="1" ht="15" customHeight="1">
      <c r="A56" s="2151"/>
      <c r="B56" s="2211"/>
      <c r="C56" s="6" t="str">
        <f>F!C136</f>
        <v>1-20% of the AA, or &lt;1% but &gt;0.01 ha.</v>
      </c>
      <c r="D56" s="247">
        <f>F!D136</f>
        <v>0</v>
      </c>
      <c r="E56" s="361">
        <v>4</v>
      </c>
      <c r="F56" s="361">
        <f>D56*E56</f>
        <v>0</v>
      </c>
      <c r="G56" s="502"/>
      <c r="H56" s="2146"/>
      <c r="I56" s="2612"/>
      <c r="J56" s="142"/>
    </row>
    <row r="57" spans="1:10" s="17" customFormat="1" ht="15" customHeight="1">
      <c r="A57" s="2151"/>
      <c r="B57" s="2211"/>
      <c r="C57" s="6" t="str">
        <f>F!C137</f>
        <v>20-50% of the AA.</v>
      </c>
      <c r="D57" s="247">
        <f>F!D137</f>
        <v>0</v>
      </c>
      <c r="E57" s="361">
        <v>3</v>
      </c>
      <c r="F57" s="361">
        <f>D57*E57</f>
        <v>0</v>
      </c>
      <c r="G57" s="502"/>
      <c r="H57" s="2146"/>
      <c r="I57" s="2612"/>
      <c r="J57" s="142"/>
    </row>
    <row r="58" spans="1:10" s="17" customFormat="1" ht="15" customHeight="1">
      <c r="A58" s="2151"/>
      <c r="B58" s="2211"/>
      <c r="C58" s="6" t="str">
        <f>F!C138</f>
        <v>50-95% of the AA.</v>
      </c>
      <c r="D58" s="247">
        <f>F!D138</f>
        <v>0</v>
      </c>
      <c r="E58" s="361">
        <v>2</v>
      </c>
      <c r="F58" s="361">
        <f>D58*E58</f>
        <v>0</v>
      </c>
      <c r="G58" s="502"/>
      <c r="H58" s="2146"/>
      <c r="I58" s="2612"/>
      <c r="J58" s="142"/>
    </row>
    <row r="59" spans="1:10" s="17" customFormat="1" ht="15" customHeight="1" thickBot="1">
      <c r="A59" s="2152"/>
      <c r="B59" s="2420"/>
      <c r="C59" s="194" t="str">
        <f>F!C139</f>
        <v xml:space="preserve">&gt;95% of the AA. </v>
      </c>
      <c r="D59" s="248">
        <f>F!D139</f>
        <v>0</v>
      </c>
      <c r="E59" s="362">
        <v>1</v>
      </c>
      <c r="F59" s="362">
        <f>D59*E59</f>
        <v>0</v>
      </c>
      <c r="G59" s="503"/>
      <c r="H59" s="2149"/>
      <c r="I59" s="2613"/>
      <c r="J59" s="142"/>
    </row>
    <row r="60" spans="1:10" s="17" customFormat="1" ht="30" customHeight="1" thickBot="1">
      <c r="A60" s="2361" t="str">
        <f>F!A147</f>
        <v>F29</v>
      </c>
      <c r="B60" s="2211" t="str">
        <f>F!B147</f>
        <v>Predominant Depth Class</v>
      </c>
      <c r="C60" s="556" t="str">
        <f>F!C147</f>
        <v>During most of the time when surface water is present during the growing season, its depth, averaged over the entire inundated part of the AA, is:</v>
      </c>
      <c r="D60" s="365"/>
      <c r="E60" s="360"/>
      <c r="F60" s="363"/>
      <c r="G60" s="506">
        <f>IF((AllSat1&gt;0),"",IF((TooSmall=1),"",MAX(F61:F65)/MAX(E61:E65)))</f>
        <v>0</v>
      </c>
      <c r="H60" s="2146" t="s">
        <v>1642</v>
      </c>
      <c r="I60" s="2611" t="s">
        <v>207</v>
      </c>
      <c r="J60" s="142"/>
    </row>
    <row r="61" spans="1:10" s="17" customFormat="1" ht="15" customHeight="1">
      <c r="A61" s="2361"/>
      <c r="B61" s="2211"/>
      <c r="C61" s="30" t="str">
        <f>F!C148</f>
        <v>&lt;10 cm deep (but &gt;0).</v>
      </c>
      <c r="D61" s="256">
        <f>F!D148</f>
        <v>0</v>
      </c>
      <c r="E61" s="361">
        <v>2</v>
      </c>
      <c r="F61" s="361">
        <f>D61*E61</f>
        <v>0</v>
      </c>
      <c r="G61" s="501"/>
      <c r="H61" s="2146"/>
      <c r="I61" s="2612"/>
      <c r="J61" s="142"/>
    </row>
    <row r="62" spans="1:10" s="17" customFormat="1" ht="15" customHeight="1">
      <c r="A62" s="2361"/>
      <c r="B62" s="2211"/>
      <c r="C62" s="6" t="str">
        <f>F!C149</f>
        <v>10 - 50 cm deep.</v>
      </c>
      <c r="D62" s="247">
        <f>F!D149</f>
        <v>0</v>
      </c>
      <c r="E62" s="361">
        <v>3</v>
      </c>
      <c r="F62" s="361">
        <f>D62*E62</f>
        <v>0</v>
      </c>
      <c r="G62" s="502"/>
      <c r="H62" s="2146"/>
      <c r="I62" s="2612"/>
      <c r="J62" s="142"/>
    </row>
    <row r="63" spans="1:10" s="17" customFormat="1" ht="15" customHeight="1">
      <c r="A63" s="2361"/>
      <c r="B63" s="2211"/>
      <c r="C63" s="6" t="str">
        <f>F!C150</f>
        <v>0.5 - 1 m deep.</v>
      </c>
      <c r="D63" s="247">
        <f>F!D150</f>
        <v>0</v>
      </c>
      <c r="E63" s="361">
        <v>4</v>
      </c>
      <c r="F63" s="361">
        <f>D63*E63</f>
        <v>0</v>
      </c>
      <c r="G63" s="502"/>
      <c r="H63" s="2146"/>
      <c r="I63" s="2612"/>
      <c r="J63" s="142"/>
    </row>
    <row r="64" spans="1:10" s="17" customFormat="1" ht="15" customHeight="1">
      <c r="A64" s="2361"/>
      <c r="B64" s="2211"/>
      <c r="C64" s="6" t="str">
        <f>F!C151</f>
        <v>1 - 2 m deep.</v>
      </c>
      <c r="D64" s="247">
        <f>F!D151</f>
        <v>0</v>
      </c>
      <c r="E64" s="361">
        <v>2</v>
      </c>
      <c r="F64" s="361">
        <f>D64*E64</f>
        <v>0</v>
      </c>
      <c r="G64" s="502"/>
      <c r="H64" s="2146"/>
      <c r="I64" s="2612"/>
      <c r="J64" s="142"/>
    </row>
    <row r="65" spans="1:10" s="17" customFormat="1" ht="15" customHeight="1" thickBot="1">
      <c r="A65" s="2361"/>
      <c r="B65" s="2211"/>
      <c r="C65" s="437" t="str">
        <f>F!C152</f>
        <v>&gt;2 m deep. True for many fringe wetlands.</v>
      </c>
      <c r="D65" s="254">
        <f>F!D152</f>
        <v>0</v>
      </c>
      <c r="E65" s="364">
        <v>1</v>
      </c>
      <c r="F65" s="364">
        <f>D65*E65</f>
        <v>0</v>
      </c>
      <c r="G65" s="511"/>
      <c r="H65" s="2146"/>
      <c r="I65" s="2613"/>
      <c r="J65" s="142"/>
    </row>
    <row r="66" spans="1:10" s="17" customFormat="1" ht="30" customHeight="1" thickBot="1">
      <c r="A66" s="2148" t="str">
        <f>F!A164</f>
        <v>F33</v>
      </c>
      <c r="B66" s="2148" t="str">
        <f>F!B164</f>
        <v xml:space="preserve">% of Ponded Water that is Open </v>
      </c>
      <c r="C66" s="5" t="str">
        <f>F!C164</f>
        <v>In ducks-eye aerial view, the percentage of the ponded water that is open (lacking emergent vegetation during most of the growing season, and unhidden by a forest or shrub canopy) is:</v>
      </c>
      <c r="D66" s="376"/>
      <c r="E66" s="365"/>
      <c r="F66" s="383"/>
      <c r="G66" s="500">
        <f>IF((AllSat1&gt;0),"",IF((TooSmall=1),"",IF((NoPonded=1),"",MAX(F67:F72)/MAX(E67:E72))))</f>
        <v>0</v>
      </c>
      <c r="H66" s="2148" t="s">
        <v>2308</v>
      </c>
      <c r="I66" s="2611" t="s">
        <v>206</v>
      </c>
      <c r="J66" s="142"/>
    </row>
    <row r="67" spans="1:10" s="17" customFormat="1" ht="27" customHeight="1">
      <c r="A67" s="2146"/>
      <c r="B67" s="2146"/>
      <c r="C67" s="552" t="str">
        <f>F!C165</f>
        <v>None, or &lt;1% of the AA and largest pool occupies &lt;0.01 hectares. Enter "1" and SKIP to F41 (Floating Algae &amp; Duckweed).</v>
      </c>
      <c r="D67" s="254">
        <f>F!D165</f>
        <v>0</v>
      </c>
      <c r="E67" s="361">
        <v>0</v>
      </c>
      <c r="F67" s="361">
        <f t="shared" ref="F67:F72" si="1">D67*E67</f>
        <v>0</v>
      </c>
      <c r="G67" s="501"/>
      <c r="H67" s="2146"/>
      <c r="I67" s="2612"/>
      <c r="J67" s="142"/>
    </row>
    <row r="68" spans="1:10" s="17" customFormat="1" ht="15" customHeight="1">
      <c r="A68" s="2146"/>
      <c r="B68" s="2146"/>
      <c r="C68" s="437" t="str">
        <f>F!C166</f>
        <v>1-4% of the ponded water. Enter "1" and SKIP to F40 (Floating Algae &amp; Duckweed).</v>
      </c>
      <c r="D68" s="254">
        <f>F!D166</f>
        <v>0</v>
      </c>
      <c r="E68" s="361">
        <v>3</v>
      </c>
      <c r="F68" s="361">
        <f t="shared" si="1"/>
        <v>0</v>
      </c>
      <c r="G68" s="502"/>
      <c r="H68" s="2146"/>
      <c r="I68" s="2612"/>
      <c r="J68" s="142"/>
    </row>
    <row r="69" spans="1:10" s="17" customFormat="1" ht="15" customHeight="1">
      <c r="A69" s="2146"/>
      <c r="B69" s="2146"/>
      <c r="C69" s="437" t="str">
        <f>F!C167</f>
        <v>5-30% of the ponded water.</v>
      </c>
      <c r="D69" s="254">
        <f>F!D167</f>
        <v>0</v>
      </c>
      <c r="E69" s="361">
        <v>4</v>
      </c>
      <c r="F69" s="361">
        <f t="shared" si="1"/>
        <v>0</v>
      </c>
      <c r="G69" s="502"/>
      <c r="H69" s="2146"/>
      <c r="I69" s="2612"/>
      <c r="J69" s="142"/>
    </row>
    <row r="70" spans="1:10" s="17" customFormat="1" ht="15" customHeight="1">
      <c r="A70" s="2146"/>
      <c r="B70" s="2146"/>
      <c r="C70" s="437" t="str">
        <f>F!C168</f>
        <v>30-70% of the ponded water.</v>
      </c>
      <c r="D70" s="254">
        <f>F!D168</f>
        <v>0</v>
      </c>
      <c r="E70" s="361">
        <v>3</v>
      </c>
      <c r="F70" s="361">
        <f t="shared" si="1"/>
        <v>0</v>
      </c>
      <c r="G70" s="502"/>
      <c r="H70" s="2146"/>
      <c r="I70" s="2612"/>
      <c r="J70" s="142"/>
    </row>
    <row r="71" spans="1:10" s="17" customFormat="1" ht="15" customHeight="1">
      <c r="A71" s="2146"/>
      <c r="B71" s="2146"/>
      <c r="C71" s="437" t="str">
        <f>F!C169</f>
        <v>70-99% of the ponded water.</v>
      </c>
      <c r="D71" s="254">
        <f>F!D169</f>
        <v>0</v>
      </c>
      <c r="E71" s="361">
        <v>2</v>
      </c>
      <c r="F71" s="361">
        <f t="shared" si="1"/>
        <v>0</v>
      </c>
      <c r="G71" s="511"/>
      <c r="H71" s="2146"/>
      <c r="I71" s="2612"/>
      <c r="J71" s="142"/>
    </row>
    <row r="72" spans="1:10" s="17" customFormat="1" ht="15" customHeight="1" thickBot="1">
      <c r="A72" s="2149"/>
      <c r="B72" s="2149"/>
      <c r="C72" s="194" t="str">
        <f>F!C170</f>
        <v xml:space="preserve">100% of the ponded water. </v>
      </c>
      <c r="D72" s="248">
        <f>F!D170</f>
        <v>0</v>
      </c>
      <c r="E72" s="362">
        <v>1</v>
      </c>
      <c r="F72" s="362">
        <f t="shared" si="1"/>
        <v>0</v>
      </c>
      <c r="G72" s="503"/>
      <c r="H72" s="2149"/>
      <c r="I72" s="2613"/>
      <c r="J72" s="142"/>
    </row>
    <row r="73" spans="1:10" s="17" customFormat="1" ht="30" customHeight="1" thickBot="1">
      <c r="A73" s="2626" t="str">
        <f>F!A189</f>
        <v>F37</v>
      </c>
      <c r="B73" s="2146" t="str">
        <f>F!B189</f>
        <v>Interspersion of Robust Emergents &amp; Open Water</v>
      </c>
      <c r="C73" s="400" t="str">
        <f>F!C189</f>
        <v>During most of the part of the growing season when water is present, the spatial pattern of robust herbaceous vegetation (e.g., cattail, tall bulrush, buckbean) is mostly:</v>
      </c>
      <c r="D73" s="360"/>
      <c r="E73" s="360"/>
      <c r="F73" s="363"/>
      <c r="G73" s="506">
        <f>IF((AllSat1&gt;0),"",IF((TooSmall=1),"",IF((AllOpenPond=1),"",IF((NoOpenPonded+NoOpenPonded1&gt;0),"",MAX(F74:F76)/MAX(E74:E76)))))</f>
        <v>0</v>
      </c>
      <c r="H73" s="2146" t="s">
        <v>1949</v>
      </c>
      <c r="I73" s="2611" t="s">
        <v>208</v>
      </c>
      <c r="J73" s="142"/>
    </row>
    <row r="74" spans="1:10" s="17" customFormat="1" ht="15" customHeight="1">
      <c r="A74" s="2627"/>
      <c r="B74" s="2146"/>
      <c r="C74" s="555" t="str">
        <f>F!C190</f>
        <v>Scattered. More than 30% of such vegetation forms small islands or corridors surrounded by water.</v>
      </c>
      <c r="D74" s="256">
        <f>F!D190</f>
        <v>0</v>
      </c>
      <c r="E74" s="361">
        <v>3</v>
      </c>
      <c r="F74" s="361">
        <f>D74*E74</f>
        <v>0</v>
      </c>
      <c r="G74" s="386"/>
      <c r="H74" s="2146"/>
      <c r="I74" s="2612"/>
      <c r="J74" s="142"/>
    </row>
    <row r="75" spans="1:10" s="17" customFormat="1" ht="15" customHeight="1">
      <c r="A75" s="2627"/>
      <c r="B75" s="2146"/>
      <c r="C75" s="491" t="str">
        <f>F!C191</f>
        <v>Intermediate.</v>
      </c>
      <c r="D75" s="247">
        <f>F!D191</f>
        <v>0</v>
      </c>
      <c r="E75" s="361">
        <v>2</v>
      </c>
      <c r="F75" s="361">
        <f>D75*E75</f>
        <v>0</v>
      </c>
      <c r="G75" s="386"/>
      <c r="H75" s="2146"/>
      <c r="I75" s="2612"/>
      <c r="J75" s="142"/>
    </row>
    <row r="76" spans="1:10" s="17" customFormat="1" ht="27" customHeight="1" thickBot="1">
      <c r="A76" s="2628"/>
      <c r="B76" s="2146"/>
      <c r="C76" s="557" t="str">
        <f>F!C192</f>
        <v>Clumped. More than 70% of such vegetation is in bands along the wetland perimeter or is clumped at one or a few sides of the surface water area.</v>
      </c>
      <c r="D76" s="254">
        <f>F!D192</f>
        <v>0</v>
      </c>
      <c r="E76" s="364">
        <v>1</v>
      </c>
      <c r="F76" s="364">
        <f>D76*E76</f>
        <v>0</v>
      </c>
      <c r="G76" s="388"/>
      <c r="H76" s="2146"/>
      <c r="I76" s="2613"/>
      <c r="J76" s="142"/>
    </row>
    <row r="77" spans="1:10" ht="45" customHeight="1" thickBot="1">
      <c r="A77" s="2150" t="str">
        <f>F!A194</f>
        <v>F39</v>
      </c>
      <c r="B77" s="2218" t="str">
        <f>F!B194</f>
        <v>Non-vegetated Aquatic Cover</v>
      </c>
      <c r="C77" s="436" t="str">
        <f>F!C194</f>
        <v>During most of the growing season and in waters deeper than 0.5 m, the cover for fish, aquatic invertebrates, and/or amphibians that is provided NOT by living vegetation, but by accumulations of dead wood and undercut banks is:</v>
      </c>
      <c r="D77" s="365"/>
      <c r="E77" s="365"/>
      <c r="F77" s="366"/>
      <c r="G77" s="537" t="str">
        <f>IF((AllSat1&gt;0),"",IF((TooSmall=1),"",IF((OpenW=0),"",MAX(F78:F80)/MAX(E78:E80))))</f>
        <v/>
      </c>
      <c r="H77" s="2148" t="s">
        <v>2309</v>
      </c>
      <c r="I77" s="2611" t="s">
        <v>205</v>
      </c>
    </row>
    <row r="78" spans="1:10" ht="15" customHeight="1">
      <c r="A78" s="2151"/>
      <c r="B78" s="2211"/>
      <c r="C78" s="30" t="str">
        <f>F!C195</f>
        <v>Little or none.</v>
      </c>
      <c r="D78" s="256">
        <f>F!D195</f>
        <v>0</v>
      </c>
      <c r="E78" s="361">
        <v>0</v>
      </c>
      <c r="F78" s="361">
        <f>D78*E78</f>
        <v>0</v>
      </c>
      <c r="G78" s="501"/>
      <c r="H78" s="2146"/>
      <c r="I78" s="2612"/>
    </row>
    <row r="79" spans="1:10" ht="15" customHeight="1">
      <c r="A79" s="2151"/>
      <c r="B79" s="2211"/>
      <c r="C79" s="6" t="str">
        <f>F!C196</f>
        <v>Intermediate.</v>
      </c>
      <c r="D79" s="247">
        <f>F!D196</f>
        <v>0</v>
      </c>
      <c r="E79" s="361">
        <v>1</v>
      </c>
      <c r="F79" s="361">
        <f>D79*E79</f>
        <v>0</v>
      </c>
      <c r="G79" s="697"/>
      <c r="H79" s="2146"/>
      <c r="I79" s="2612"/>
    </row>
    <row r="80" spans="1:10" ht="15" customHeight="1" thickBot="1">
      <c r="A80" s="2152"/>
      <c r="B80" s="2420"/>
      <c r="C80" s="194" t="str">
        <f>F!C197</f>
        <v>Extensive.</v>
      </c>
      <c r="D80" s="248">
        <f>F!D197</f>
        <v>0</v>
      </c>
      <c r="E80" s="362">
        <v>2</v>
      </c>
      <c r="F80" s="362">
        <f>D80*E80</f>
        <v>0</v>
      </c>
      <c r="G80" s="503"/>
      <c r="H80" s="2149"/>
      <c r="I80" s="2613"/>
    </row>
    <row r="81" spans="1:10" s="17" customFormat="1" ht="30" customHeight="1" thickBot="1">
      <c r="A81" s="2361" t="str">
        <f>F!A200</f>
        <v>F42</v>
      </c>
      <c r="B81" s="2211" t="str">
        <f>F!B200</f>
        <v>Channel Connection &amp; Outflow Duration</v>
      </c>
      <c r="C81" s="556" t="str">
        <f>F!C200</f>
        <v>The most persistent surface water connection (outlet channel or pipe, ditch, or overbank water exchange) between the AA and the closest larger water body located downslope is:</v>
      </c>
      <c r="D81" s="365"/>
      <c r="E81" s="360"/>
      <c r="F81" s="382"/>
      <c r="G81" s="506">
        <f>MAX(F82:F86)/MAX(E82:E86)</f>
        <v>0</v>
      </c>
      <c r="H81" s="2146" t="s">
        <v>2310</v>
      </c>
      <c r="I81" s="2611" t="s">
        <v>210</v>
      </c>
      <c r="J81" s="142"/>
    </row>
    <row r="82" spans="1:10" s="17" customFormat="1" ht="15" customHeight="1">
      <c r="A82" s="2361"/>
      <c r="B82" s="2211"/>
      <c r="C82" s="30" t="str">
        <f>F!C201</f>
        <v>persistent (&gt;9 months/year, regardless of whether frozen or not).</v>
      </c>
      <c r="D82" s="256">
        <f>F!D201</f>
        <v>0</v>
      </c>
      <c r="E82" s="361">
        <v>3</v>
      </c>
      <c r="F82" s="361">
        <f>D82*E82</f>
        <v>0</v>
      </c>
      <c r="G82" s="501"/>
      <c r="H82" s="2146"/>
      <c r="I82" s="2612"/>
      <c r="J82" s="142"/>
    </row>
    <row r="83" spans="1:10" s="17" customFormat="1" ht="15" customHeight="1">
      <c r="A83" s="2361"/>
      <c r="B83" s="2211"/>
      <c r="C83" s="6" t="str">
        <f>F!C202</f>
        <v>seasonal (14 days to 9 months/year, not necessarily consecutive, including times when frozen).</v>
      </c>
      <c r="D83" s="247">
        <f>F!D202</f>
        <v>0</v>
      </c>
      <c r="E83" s="361">
        <v>2</v>
      </c>
      <c r="F83" s="361">
        <f>D83*E83</f>
        <v>0</v>
      </c>
      <c r="G83" s="502"/>
      <c r="H83" s="2146"/>
      <c r="I83" s="2612"/>
      <c r="J83" s="142"/>
    </row>
    <row r="84" spans="1:10" s="17" customFormat="1" ht="15" customHeight="1">
      <c r="A84" s="2361"/>
      <c r="B84" s="2211"/>
      <c r="C84" s="6" t="str">
        <f>F!C203</f>
        <v>temporary (&lt;14 days, not necessarily consecutive, but must be unfrozen).</v>
      </c>
      <c r="D84" s="247">
        <f>F!D203</f>
        <v>0</v>
      </c>
      <c r="E84" s="361">
        <v>1</v>
      </c>
      <c r="F84" s="361">
        <f>D84*E84</f>
        <v>0</v>
      </c>
      <c r="G84" s="502"/>
      <c r="H84" s="2146"/>
      <c r="I84" s="2612"/>
      <c r="J84" s="142"/>
    </row>
    <row r="85" spans="1:10" s="17" customFormat="1" ht="27" customHeight="1">
      <c r="A85" s="2361"/>
      <c r="B85" s="2211"/>
      <c r="C85" s="6" t="str">
        <f>F!C204</f>
        <v>none -- but maps show a stream or other water body that is downslope from the AA and within a distance that is less than the AA's length. SKIP to F44 (Tributary Channel).</v>
      </c>
      <c r="D85" s="247">
        <f>F!D204</f>
        <v>0</v>
      </c>
      <c r="E85" s="377">
        <v>0</v>
      </c>
      <c r="F85" s="361">
        <f>D85*E85</f>
        <v>0</v>
      </c>
      <c r="G85" s="511"/>
      <c r="H85" s="2146"/>
      <c r="I85" s="2612"/>
      <c r="J85" s="142"/>
    </row>
    <row r="86" spans="1:10" s="17" customFormat="1" ht="42" customHeight="1" thickBot="1">
      <c r="A86" s="2361"/>
      <c r="B86" s="2211"/>
      <c r="C86" s="437" t="str">
        <f>F!C205</f>
        <v>no surface water flows out of the wetland except possibly during extreme events (&lt;once per 10 years). Or, water flows only into a wetland, ditch, or lake that lacks an outlet. SKIP to F47 (pH Measurement).</v>
      </c>
      <c r="D86" s="254">
        <f>F!D205</f>
        <v>0</v>
      </c>
      <c r="E86" s="530">
        <v>0</v>
      </c>
      <c r="F86" s="364">
        <f>D86*E86</f>
        <v>0</v>
      </c>
      <c r="G86" s="511"/>
      <c r="H86" s="2146"/>
      <c r="I86" s="2613"/>
      <c r="J86" s="142"/>
    </row>
    <row r="87" spans="1:10" ht="30" customHeight="1" thickBot="1">
      <c r="A87" s="2150" t="str">
        <f>F!A212</f>
        <v>F46</v>
      </c>
      <c r="B87" s="2218" t="str">
        <f>F!B212</f>
        <v>Throughflow Resistance</v>
      </c>
      <c r="C87" s="436" t="str">
        <f>F!C212</f>
        <v>During its travel through the AA at the time of peak annual flow, water arriving in channels: [select only the ONE encountered by most of the incoming water].</v>
      </c>
      <c r="D87" s="365"/>
      <c r="E87" s="365"/>
      <c r="F87" s="383"/>
      <c r="G87" s="537">
        <f>IF(AND(Inflows=0,OutNone=1,OutNone1=1),"",MAX(F88:F92)/MAX(E88:E92))</f>
        <v>0</v>
      </c>
      <c r="H87" s="2148" t="s">
        <v>1397</v>
      </c>
      <c r="I87" s="2611" t="s">
        <v>211</v>
      </c>
    </row>
    <row r="88" spans="1:10" ht="42" customHeight="1">
      <c r="A88" s="2151"/>
      <c r="B88" s="2211"/>
      <c r="C88" s="3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88" s="256">
        <f>F!D213</f>
        <v>0</v>
      </c>
      <c r="E88" s="361">
        <v>0</v>
      </c>
      <c r="F88" s="361">
        <f>D88*E88</f>
        <v>0</v>
      </c>
      <c r="G88" s="629"/>
      <c r="H88" s="2146"/>
      <c r="I88" s="2612"/>
    </row>
    <row r="89" spans="1:10" ht="15" customHeight="1">
      <c r="A89" s="2151"/>
      <c r="B89" s="2211"/>
      <c r="C89" s="6" t="str">
        <f>F!C214</f>
        <v>bumps into herbaceous vegetation but mostly remains in fairly straight channels.</v>
      </c>
      <c r="D89" s="247">
        <f>F!D214</f>
        <v>0</v>
      </c>
      <c r="E89" s="361">
        <v>1</v>
      </c>
      <c r="F89" s="361">
        <f>D89*E89</f>
        <v>0</v>
      </c>
      <c r="G89" s="502"/>
      <c r="H89" s="2146"/>
      <c r="I89" s="2612"/>
    </row>
    <row r="90" spans="1:10" ht="27" customHeight="1">
      <c r="A90" s="2151"/>
      <c r="B90" s="2211"/>
      <c r="C90" s="6" t="str">
        <f>F!C215</f>
        <v>bumps into herbaceous vegetation and mostly spreads throughout, or is in widely meandering, multi-branched, or braided channels.</v>
      </c>
      <c r="D90" s="247">
        <f>F!D215</f>
        <v>0</v>
      </c>
      <c r="E90" s="361">
        <v>3</v>
      </c>
      <c r="F90" s="361">
        <f>D90*E90</f>
        <v>0</v>
      </c>
      <c r="G90" s="502"/>
      <c r="H90" s="2146"/>
      <c r="I90" s="2612"/>
    </row>
    <row r="91" spans="1:10" ht="15" customHeight="1">
      <c r="A91" s="2151"/>
      <c r="B91" s="2211"/>
      <c r="C91" s="6" t="str">
        <f>F!C216</f>
        <v>bumps into tree trunks and/or shrub stems but mostly remains in fairly straight channels.</v>
      </c>
      <c r="D91" s="247">
        <f>F!D216</f>
        <v>0</v>
      </c>
      <c r="E91" s="361">
        <v>2</v>
      </c>
      <c r="F91" s="361">
        <f>D91*E91</f>
        <v>0</v>
      </c>
      <c r="G91" s="502"/>
      <c r="H91" s="2146"/>
      <c r="I91" s="2612"/>
    </row>
    <row r="92" spans="1:10" ht="27" customHeight="1" thickBot="1">
      <c r="A92" s="2151"/>
      <c r="B92" s="2211"/>
      <c r="C92" s="437" t="str">
        <f>F!C217</f>
        <v>bumps into tree trunks and/or shrub stems and follows a fairly indirect path from entrance to exit (meandering, multi-branched, or braided).</v>
      </c>
      <c r="D92" s="254">
        <f>F!D217</f>
        <v>0</v>
      </c>
      <c r="E92" s="364">
        <v>3</v>
      </c>
      <c r="F92" s="364">
        <f>D92*E92</f>
        <v>0</v>
      </c>
      <c r="G92" s="511"/>
      <c r="H92" s="2146"/>
      <c r="I92" s="2612"/>
    </row>
    <row r="93" spans="1:10" ht="21" customHeight="1" thickBot="1">
      <c r="A93" s="2148" t="str">
        <f>F!A218</f>
        <v>F47</v>
      </c>
      <c r="B93" s="2148" t="str">
        <f>F!B218</f>
        <v>pH Measurement</v>
      </c>
      <c r="C93" s="5" t="str">
        <f>F!C218</f>
        <v>The pH in most of the AA's surface water:</v>
      </c>
      <c r="D93" s="376"/>
      <c r="E93" s="365"/>
      <c r="F93" s="366"/>
      <c r="G93" s="1376">
        <f>IF((D94=1),"", IF((D95=1),0.5, IF((D96&gt;5&lt;9),1,0)))</f>
        <v>0</v>
      </c>
      <c r="H93" s="2491" t="s">
        <v>2347</v>
      </c>
      <c r="I93" s="2611" t="s">
        <v>1958</v>
      </c>
    </row>
    <row r="94" spans="1:10" ht="15" customHeight="1">
      <c r="A94" s="2146"/>
      <c r="B94" s="2146"/>
      <c r="C94" s="30" t="str">
        <f>F!C219</f>
        <v>was not measured because no surface water could be found during this visit. Enter "1".</v>
      </c>
      <c r="D94" s="247">
        <f>F!D219</f>
        <v>0</v>
      </c>
      <c r="E94" s="361"/>
      <c r="F94" s="361"/>
      <c r="G94" s="700"/>
      <c r="H94" s="2390"/>
      <c r="I94" s="2612"/>
    </row>
    <row r="95" spans="1:10" ht="27" customHeight="1">
      <c r="A95" s="2146"/>
      <c r="B95" s="2146"/>
      <c r="C95" s="1621" t="str">
        <f>F!C220</f>
        <v xml:space="preserve">was not measured but surface water is present and is darkly tea-coloured.  Or if no surface water, then mosses and plants that indicate peatland (e.g., Labrador tea) are prevalent. Enter "1". </v>
      </c>
      <c r="D95" s="247">
        <f>F!D220</f>
        <v>0</v>
      </c>
      <c r="E95" s="361"/>
      <c r="F95" s="361"/>
      <c r="G95" s="1173"/>
      <c r="H95" s="2390"/>
      <c r="I95" s="2612"/>
    </row>
    <row r="96" spans="1:10" ht="15" customHeight="1" thickBot="1">
      <c r="A96" s="2149"/>
      <c r="B96" s="2149"/>
      <c r="C96" s="1624" t="str">
        <f>F!C221</f>
        <v>was measured, and is:  [enter the reading in the column to the right]:</v>
      </c>
      <c r="D96" s="1377">
        <f>F!D221</f>
        <v>0</v>
      </c>
      <c r="E96" s="362"/>
      <c r="F96" s="362"/>
      <c r="G96" s="1207"/>
      <c r="H96" s="2391"/>
      <c r="I96" s="2613"/>
    </row>
    <row r="97" spans="1:10" s="17" customFormat="1" ht="21" customHeight="1" thickBot="1">
      <c r="A97" s="2145" t="str">
        <f>F!A227</f>
        <v>F49</v>
      </c>
      <c r="B97" s="2432" t="str">
        <f>F!B227</f>
        <v>Beaver Probability</v>
      </c>
      <c r="C97" s="686" t="str">
        <f>F!C227</f>
        <v>Use of the AA by beaver during the past 5 years is (select most applicable ONE):</v>
      </c>
      <c r="D97" s="360"/>
      <c r="E97" s="360"/>
      <c r="F97" s="363"/>
      <c r="G97" s="506">
        <f>IF((AllSat1&gt;0),"",MAX(F98:F100)/MAX(E98:E100))</f>
        <v>0</v>
      </c>
      <c r="H97" s="2146" t="s">
        <v>1959</v>
      </c>
      <c r="I97" s="2612" t="s">
        <v>1194</v>
      </c>
      <c r="J97" s="142"/>
    </row>
    <row r="98" spans="1:10" s="17" customFormat="1" ht="27" customHeight="1">
      <c r="A98" s="2145"/>
      <c r="B98" s="2432"/>
      <c r="C98" s="533" t="str">
        <f>F!C228</f>
        <v>evident from direct observation or presence of gnawed limbs, dams, tracks, dens, lodges, or extensive stands of water-killed trees (snags).</v>
      </c>
      <c r="D98" s="258">
        <f>F!D228</f>
        <v>0</v>
      </c>
      <c r="E98" s="361">
        <v>3</v>
      </c>
      <c r="F98" s="361">
        <f>D98*E98</f>
        <v>0</v>
      </c>
      <c r="G98" s="501"/>
      <c r="H98" s="2146"/>
      <c r="I98" s="2612"/>
      <c r="J98" s="142"/>
    </row>
    <row r="99" spans="1:10" s="17" customFormat="1" ht="57" customHeight="1">
      <c r="A99" s="2145"/>
      <c r="B99" s="2432"/>
      <c r="C99" s="534"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99" s="259">
        <f>F!D229</f>
        <v>0</v>
      </c>
      <c r="E99" s="361">
        <v>2</v>
      </c>
      <c r="F99" s="361">
        <f>D99*E99</f>
        <v>0</v>
      </c>
      <c r="G99" s="502"/>
      <c r="H99" s="2146"/>
      <c r="I99" s="2612"/>
      <c r="J99" s="142"/>
    </row>
    <row r="100" spans="1:10" s="17" customFormat="1" ht="27" customHeight="1" thickBot="1">
      <c r="A100" s="2145"/>
      <c r="B100" s="2432"/>
      <c r="C100" s="534" t="str">
        <f>F!C230</f>
        <v xml:space="preserve">unlikely because site characteristics above are deficient, and/or this is a settled area or other area where beaver are routinely removed. </v>
      </c>
      <c r="D100" s="259">
        <f>F!D230</f>
        <v>0</v>
      </c>
      <c r="E100" s="361">
        <v>0</v>
      </c>
      <c r="F100" s="361">
        <f>D100*E100</f>
        <v>0</v>
      </c>
      <c r="G100" s="502"/>
      <c r="H100" s="2146"/>
      <c r="I100" s="2613"/>
      <c r="J100" s="142"/>
    </row>
    <row r="101" spans="1:10" ht="21" customHeight="1" thickBot="1">
      <c r="A101" s="2150" t="str">
        <f>F!A231</f>
        <v>F50</v>
      </c>
      <c r="B101" s="2148" t="str">
        <f>F!B231</f>
        <v>Groundwater Strength of Evidence</v>
      </c>
      <c r="C101" s="136" t="str">
        <f>F!C231</f>
        <v xml:space="preserve">Select first applicable choice. </v>
      </c>
      <c r="D101" s="365"/>
      <c r="E101" s="365"/>
      <c r="F101" s="366"/>
      <c r="G101" s="537">
        <f>MAX(F102:F104)/MAX(E102:E104)</f>
        <v>0</v>
      </c>
      <c r="H101" s="2148" t="s">
        <v>1950</v>
      </c>
      <c r="I101" s="2611" t="s">
        <v>209</v>
      </c>
    </row>
    <row r="102" spans="1:10" ht="42" customHeight="1">
      <c r="A102" s="2151"/>
      <c r="B102" s="2146"/>
      <c r="C102" s="554" t="str">
        <f>F!C232</f>
        <v>Groundwater monitoring has demonstrated that groundwater primarily discharges to the wetland for longer periods during the year than periods when the wetland recharges the groundwater. Or, springs are known to be present within the AA.</v>
      </c>
      <c r="D102" s="354">
        <f>F!D232</f>
        <v>0</v>
      </c>
      <c r="E102" s="361">
        <v>3</v>
      </c>
      <c r="F102" s="361">
        <f>D102*E102</f>
        <v>0</v>
      </c>
      <c r="G102" s="629"/>
      <c r="H102" s="2146"/>
      <c r="I102" s="2612"/>
    </row>
    <row r="103" spans="1:10" ht="42" customHeight="1">
      <c r="A103" s="2151"/>
      <c r="B103" s="2146"/>
      <c r="C103" s="557" t="str">
        <f>F!C233</f>
        <v>The upper end of the AA is located very close to the base of (but mostly not ON) a natural slope much steeper (usually &gt;15%) than that within the AA and longer than 100 m AND if surface water was measured, its pH (Q47) is &gt;5.5.</v>
      </c>
      <c r="D103" s="254">
        <f>F!D233</f>
        <v>0</v>
      </c>
      <c r="E103" s="361">
        <v>2</v>
      </c>
      <c r="F103" s="361">
        <f>D103*E103</f>
        <v>0</v>
      </c>
      <c r="G103" s="630"/>
      <c r="H103" s="2146"/>
      <c r="I103" s="2612"/>
    </row>
    <row r="104" spans="1:10" ht="27" customHeight="1" thickBot="1">
      <c r="A104" s="2152"/>
      <c r="B104" s="2149"/>
      <c r="C104" s="492" t="str">
        <f>F!C234</f>
        <v>Neither of above is true, although some groundwater may discharge to or flow through the AA. Or groundwater influx is unknown.</v>
      </c>
      <c r="D104" s="248">
        <f>F!D234</f>
        <v>0</v>
      </c>
      <c r="E104" s="362">
        <v>0</v>
      </c>
      <c r="F104" s="362">
        <f>D104*E104</f>
        <v>0</v>
      </c>
      <c r="G104" s="503"/>
      <c r="H104" s="2149"/>
      <c r="I104" s="2613"/>
    </row>
    <row r="105" spans="1:10" ht="36" customHeight="1" thickBot="1">
      <c r="A105" s="2211" t="str">
        <f>F!A240</f>
        <v>F52</v>
      </c>
      <c r="B105" s="2211" t="str">
        <f>F!B240</f>
        <v>Vegetated Buffer as % of Perimeter</v>
      </c>
      <c r="C105" s="556" t="str">
        <f>F!C240</f>
        <v>Along the wetland-upland edge and extending 30 m laterally upslope, the percentage of the upland that contains vegetation cover (except lawns, row crops, heavily grazed land, conifer plantations) is:</v>
      </c>
      <c r="D105" s="365"/>
      <c r="E105" s="360"/>
      <c r="F105" s="382"/>
      <c r="G105" s="506">
        <f>MAX(F106:F110)/MAX(E106:E110)</f>
        <v>0</v>
      </c>
      <c r="H105" s="2211" t="s">
        <v>1956</v>
      </c>
      <c r="I105" s="2611" t="s">
        <v>236</v>
      </c>
    </row>
    <row r="106" spans="1:10" ht="24" customHeight="1">
      <c r="A106" s="2211"/>
      <c r="B106" s="2211"/>
      <c r="C106" s="1714" t="str">
        <f>F!C241</f>
        <v xml:space="preserve">&lt;5% </v>
      </c>
      <c r="D106" s="254">
        <f>F!D241</f>
        <v>0</v>
      </c>
      <c r="E106" s="377">
        <v>0</v>
      </c>
      <c r="F106" s="361">
        <f>D106*E106</f>
        <v>0</v>
      </c>
      <c r="G106" s="501"/>
      <c r="H106" s="2211"/>
      <c r="I106" s="2612"/>
    </row>
    <row r="107" spans="1:10" ht="24" customHeight="1">
      <c r="A107" s="2211"/>
      <c r="B107" s="2211"/>
      <c r="C107" s="1073" t="str">
        <f>F!C242</f>
        <v>5 to 30%</v>
      </c>
      <c r="D107" s="247">
        <f>F!D242</f>
        <v>0</v>
      </c>
      <c r="E107" s="377">
        <v>2</v>
      </c>
      <c r="F107" s="361">
        <f>D107*E107</f>
        <v>0</v>
      </c>
      <c r="G107" s="502"/>
      <c r="H107" s="2211"/>
      <c r="I107" s="2612"/>
    </row>
    <row r="108" spans="1:10" ht="24" customHeight="1">
      <c r="A108" s="2211"/>
      <c r="B108" s="2211"/>
      <c r="C108" s="1073" t="str">
        <f>F!C243</f>
        <v>30 to 60%</v>
      </c>
      <c r="D108" s="247">
        <f>F!D243</f>
        <v>0</v>
      </c>
      <c r="E108" s="377">
        <v>3</v>
      </c>
      <c r="F108" s="361">
        <f>D108*E108</f>
        <v>0</v>
      </c>
      <c r="G108" s="502"/>
      <c r="H108" s="2211"/>
      <c r="I108" s="2612"/>
    </row>
    <row r="109" spans="1:10" ht="24" customHeight="1">
      <c r="A109" s="2211"/>
      <c r="B109" s="2211"/>
      <c r="C109" s="1472" t="str">
        <f>F!C244</f>
        <v>60 to 90%</v>
      </c>
      <c r="D109" s="247">
        <f>F!D244</f>
        <v>0</v>
      </c>
      <c r="E109" s="377">
        <v>4</v>
      </c>
      <c r="F109" s="361">
        <f>D109*E109</f>
        <v>0</v>
      </c>
      <c r="G109" s="502"/>
      <c r="H109" s="2211"/>
      <c r="I109" s="2612"/>
    </row>
    <row r="110" spans="1:10" ht="24" customHeight="1" thickBot="1">
      <c r="A110" s="2211"/>
      <c r="B110" s="2211"/>
      <c r="C110" s="1169" t="str">
        <f>F!C245</f>
        <v>&gt;90%, or all the area within 30 m of the AA edge is other wetlands. SKIP to F55.</v>
      </c>
      <c r="D110" s="248">
        <f>F!D245</f>
        <v>0</v>
      </c>
      <c r="E110" s="530">
        <v>6</v>
      </c>
      <c r="F110" s="364">
        <f>D110*E110</f>
        <v>0</v>
      </c>
      <c r="G110" s="511"/>
      <c r="H110" s="2211"/>
      <c r="I110" s="2613"/>
    </row>
    <row r="111" spans="1:10" s="17" customFormat="1" ht="75" customHeight="1" thickBot="1">
      <c r="A111" s="2218" t="str">
        <f>F!A246</f>
        <v>F53</v>
      </c>
      <c r="B111" s="2218" t="str">
        <f>F!B246</f>
        <v>Type of Cover in Buffer</v>
      </c>
      <c r="C111" s="5" t="str">
        <f>F!C246</f>
        <v>Within 30 m upslope of where the wetland transitions to upland, the upland land cover that is NOT natural is mostly (mark ONE):</v>
      </c>
      <c r="D111" s="376"/>
      <c r="E111" s="365"/>
      <c r="F111" s="383"/>
      <c r="G111" s="500">
        <f>IF((NoCA=1),"",IF((BuffAllNat=1),"",MAX(F112:F113)/MAX(E112:E113)))</f>
        <v>0</v>
      </c>
      <c r="H111" s="2514" t="s">
        <v>2883</v>
      </c>
      <c r="I111" s="2611" t="s">
        <v>212</v>
      </c>
      <c r="J111" s="142"/>
    </row>
    <row r="112" spans="1:10" s="4" customFormat="1" ht="60" customHeight="1">
      <c r="A112" s="2211"/>
      <c r="B112" s="2211"/>
      <c r="C112" s="1494" t="str">
        <f>F!C247</f>
        <v>impervious surface, e.g., paved road, parking lot, building, exposed rock.</v>
      </c>
      <c r="D112" s="247">
        <f>F!D247</f>
        <v>0</v>
      </c>
      <c r="E112" s="377">
        <v>0</v>
      </c>
      <c r="F112" s="361">
        <f>D112*E112</f>
        <v>0</v>
      </c>
      <c r="G112" s="629"/>
      <c r="H112" s="2159"/>
      <c r="I112" s="2612"/>
      <c r="J112" s="192"/>
    </row>
    <row r="113" spans="1:10" s="4" customFormat="1" ht="60" customHeight="1" thickBot="1">
      <c r="A113" s="2420"/>
      <c r="B113" s="2420"/>
      <c r="C113" s="1396" t="str">
        <f>F!C248</f>
        <v>bare or nearly bare pervious surface or managed vegetation, e.g., lawn, row crops, unpaved road, dike, landslide.</v>
      </c>
      <c r="D113" s="1715">
        <f>F!D248</f>
        <v>0</v>
      </c>
      <c r="E113" s="362">
        <v>1</v>
      </c>
      <c r="F113" s="362">
        <f>D113*E113</f>
        <v>0</v>
      </c>
      <c r="G113" s="631"/>
      <c r="H113" s="2515"/>
      <c r="I113" s="2613"/>
      <c r="J113" s="192"/>
    </row>
    <row r="114" spans="1:10" ht="60" customHeight="1" thickBot="1">
      <c r="A114" s="547" t="str">
        <f>S!A66</f>
        <v>S5</v>
      </c>
      <c r="B114" s="693" t="str">
        <f>S!B66</f>
        <v>Altered Timing of Water Inputs</v>
      </c>
      <c r="C114" s="687" t="str">
        <f>S!E80</f>
        <v>Final Score=</v>
      </c>
      <c r="D114" s="683">
        <f>S!F80</f>
        <v>0</v>
      </c>
      <c r="E114" s="698"/>
      <c r="F114" s="374"/>
      <c r="G114" s="694" t="str">
        <f>IF((Inflows=0),"", 1-D114)</f>
        <v/>
      </c>
      <c r="H114" s="1444" t="s">
        <v>2311</v>
      </c>
      <c r="I114" s="1709" t="s">
        <v>216</v>
      </c>
    </row>
    <row r="115" spans="1:10" s="17" customFormat="1" ht="45" customHeight="1" thickBot="1">
      <c r="A115" s="489" t="str">
        <f>S!A81</f>
        <v>S6</v>
      </c>
      <c r="B115" s="5" t="str">
        <f>S!B81</f>
        <v>Accelerated Inputs of Contaminants and/or Salts</v>
      </c>
      <c r="C115" s="188" t="str">
        <f>S!E93</f>
        <v>Final Score=</v>
      </c>
      <c r="D115" s="1044">
        <f>S!F93</f>
        <v>0</v>
      </c>
      <c r="E115" s="395"/>
      <c r="F115" s="373"/>
      <c r="G115" s="500">
        <f>1-D115</f>
        <v>1</v>
      </c>
      <c r="H115" s="81" t="s">
        <v>1957</v>
      </c>
      <c r="I115" s="1709" t="s">
        <v>2080</v>
      </c>
      <c r="J115" s="142"/>
    </row>
    <row r="116" spans="1:10" s="17" customFormat="1" ht="60" customHeight="1" thickBot="1">
      <c r="A116" s="69" t="str">
        <f>S!A107</f>
        <v>S8</v>
      </c>
      <c r="B116" s="548" t="str">
        <f>S!B107</f>
        <v>Excessive Sediment Loading from Contributing Area</v>
      </c>
      <c r="C116" s="30" t="str">
        <f>S!E124</f>
        <v>Final Score=</v>
      </c>
      <c r="D116" s="1045">
        <f>S!F124</f>
        <v>0</v>
      </c>
      <c r="E116" s="391"/>
      <c r="F116" s="363"/>
      <c r="G116" s="506">
        <f>1-D116</f>
        <v>1</v>
      </c>
      <c r="H116" s="1233" t="s">
        <v>1951</v>
      </c>
      <c r="I116" s="1709" t="s">
        <v>217</v>
      </c>
      <c r="J116" s="142"/>
    </row>
    <row r="117" spans="1:10" s="168" customFormat="1" ht="36" customHeight="1" thickBot="1">
      <c r="A117" s="1597" t="s">
        <v>168</v>
      </c>
      <c r="B117" s="1598" t="s">
        <v>2411</v>
      </c>
      <c r="C117" s="1584" t="s">
        <v>1354</v>
      </c>
      <c r="D117" s="1583" t="s">
        <v>64</v>
      </c>
      <c r="E117" s="1705" t="s">
        <v>1383</v>
      </c>
      <c r="F117" s="1706" t="s">
        <v>1384</v>
      </c>
      <c r="G117" s="1707" t="s">
        <v>1293</v>
      </c>
      <c r="H117" s="1582" t="s">
        <v>1294</v>
      </c>
      <c r="I117" s="1710" t="s">
        <v>2622</v>
      </c>
      <c r="J117" s="142"/>
    </row>
    <row r="118" spans="1:10" s="14" customFormat="1" ht="30" customHeight="1" thickBot="1">
      <c r="A118" s="2519" t="str">
        <f>OF!A45</f>
        <v>OF9</v>
      </c>
      <c r="B118" s="2519" t="str">
        <f>OF!B45</f>
        <v>Distance by Road to Nearest Population Center</v>
      </c>
      <c r="C118" s="688" t="str">
        <f>OF!C45</f>
        <v>Measured along the maintained road nearest the AA, the distance to the nearest population center is:</v>
      </c>
      <c r="D118" s="365"/>
      <c r="E118" s="699"/>
      <c r="F118" s="699"/>
      <c r="G118" s="519">
        <f>MAX(F119:F123)/MAX(E119:E123)</f>
        <v>0</v>
      </c>
      <c r="H118" s="2148" t="s">
        <v>1270</v>
      </c>
      <c r="I118" s="2411" t="s">
        <v>2078</v>
      </c>
      <c r="J118" s="142"/>
    </row>
    <row r="119" spans="1:10" s="14" customFormat="1" ht="15" customHeight="1">
      <c r="A119" s="2520"/>
      <c r="B119" s="2520"/>
      <c r="C119" s="689" t="str">
        <f>OF!C46</f>
        <v>&lt;100 m</v>
      </c>
      <c r="D119" s="291">
        <f>OF!D46</f>
        <v>0</v>
      </c>
      <c r="E119" s="385">
        <v>4</v>
      </c>
      <c r="F119" s="361">
        <f>D119*E119</f>
        <v>0</v>
      </c>
      <c r="G119" s="502"/>
      <c r="H119" s="2146"/>
      <c r="I119" s="2412"/>
      <c r="J119" s="142"/>
    </row>
    <row r="120" spans="1:10" s="14" customFormat="1" ht="15" customHeight="1">
      <c r="A120" s="2520"/>
      <c r="B120" s="2520"/>
      <c r="C120" s="690" t="str">
        <f>OF!C47</f>
        <v>100 - 500 m</v>
      </c>
      <c r="D120" s="292">
        <f>OF!D47</f>
        <v>0</v>
      </c>
      <c r="E120" s="385">
        <v>3</v>
      </c>
      <c r="F120" s="361">
        <f>D120*E120</f>
        <v>0</v>
      </c>
      <c r="G120" s="502"/>
      <c r="H120" s="2146"/>
      <c r="I120" s="2412"/>
      <c r="J120" s="142"/>
    </row>
    <row r="121" spans="1:10" s="14" customFormat="1" ht="15" customHeight="1">
      <c r="A121" s="2520"/>
      <c r="B121" s="2520"/>
      <c r="C121" s="690" t="str">
        <f>OF!C48</f>
        <v>0.5- 1 km</v>
      </c>
      <c r="D121" s="292">
        <f>OF!D48</f>
        <v>0</v>
      </c>
      <c r="E121" s="385">
        <v>2</v>
      </c>
      <c r="F121" s="361">
        <f>D121*E121</f>
        <v>0</v>
      </c>
      <c r="G121" s="502"/>
      <c r="H121" s="2146"/>
      <c r="I121" s="2412"/>
      <c r="J121" s="142"/>
    </row>
    <row r="122" spans="1:10" s="14" customFormat="1" ht="15" customHeight="1">
      <c r="A122" s="2520"/>
      <c r="B122" s="2520"/>
      <c r="C122" s="690" t="str">
        <f>OF!C49</f>
        <v>1 - 5 km</v>
      </c>
      <c r="D122" s="292">
        <f>OF!D49</f>
        <v>0</v>
      </c>
      <c r="E122" s="385">
        <v>1</v>
      </c>
      <c r="F122" s="361">
        <f>D122*E122</f>
        <v>0</v>
      </c>
      <c r="G122" s="502"/>
      <c r="H122" s="2146"/>
      <c r="I122" s="2412"/>
      <c r="J122" s="142"/>
    </row>
    <row r="123" spans="1:10" s="14" customFormat="1" ht="15" customHeight="1" thickBot="1">
      <c r="A123" s="2521"/>
      <c r="B123" s="2521"/>
      <c r="C123" s="691" t="str">
        <f>OF!C50</f>
        <v>&gt;5 km</v>
      </c>
      <c r="D123" s="293">
        <f>OF!D50</f>
        <v>0</v>
      </c>
      <c r="E123" s="389">
        <v>0</v>
      </c>
      <c r="F123" s="362">
        <f>D123*E123</f>
        <v>0</v>
      </c>
      <c r="G123" s="503"/>
      <c r="H123" s="2149"/>
      <c r="I123" s="2413"/>
      <c r="J123" s="142"/>
    </row>
    <row r="124" spans="1:10" s="14" customFormat="1" ht="21" customHeight="1" thickBot="1">
      <c r="A124" s="2616" t="str">
        <f>OF!A51</f>
        <v>OF10</v>
      </c>
      <c r="B124" s="2520" t="str">
        <f>OF!B51</f>
        <v>Distance to Nearest Maintained Road</v>
      </c>
      <c r="C124" s="688" t="str">
        <f>OF!C51</f>
        <v>From the center of the AA, the distance to the nearest maintained public road (dirt or paved) is:</v>
      </c>
      <c r="D124" s="365"/>
      <c r="E124" s="391"/>
      <c r="F124" s="700"/>
      <c r="G124" s="513">
        <f>MAX(F125:F130)/MAX(E125:E130)</f>
        <v>0</v>
      </c>
      <c r="H124" s="2146" t="s">
        <v>1271</v>
      </c>
      <c r="I124" s="2411" t="s">
        <v>2079</v>
      </c>
      <c r="J124" s="142"/>
    </row>
    <row r="125" spans="1:10" s="14" customFormat="1" ht="15" customHeight="1">
      <c r="A125" s="2616"/>
      <c r="B125" s="2520"/>
      <c r="C125" s="689" t="str">
        <f>OF!C52</f>
        <v>&lt;10 m</v>
      </c>
      <c r="D125" s="291">
        <f>OF!D52</f>
        <v>0</v>
      </c>
      <c r="E125" s="385">
        <v>5</v>
      </c>
      <c r="F125" s="361">
        <f t="shared" ref="F125:F130" si="2">D125*E125</f>
        <v>0</v>
      </c>
      <c r="G125" s="502"/>
      <c r="H125" s="2146"/>
      <c r="I125" s="2412"/>
      <c r="J125" s="142"/>
    </row>
    <row r="126" spans="1:10" s="14" customFormat="1" ht="15" customHeight="1">
      <c r="A126" s="2616"/>
      <c r="B126" s="2520"/>
      <c r="C126" s="690" t="str">
        <f>OF!C53</f>
        <v>10 - 25 m</v>
      </c>
      <c r="D126" s="292">
        <f>OF!D53</f>
        <v>0</v>
      </c>
      <c r="E126" s="385">
        <v>4</v>
      </c>
      <c r="F126" s="361">
        <f t="shared" si="2"/>
        <v>0</v>
      </c>
      <c r="G126" s="502"/>
      <c r="H126" s="2146"/>
      <c r="I126" s="2412"/>
      <c r="J126" s="142"/>
    </row>
    <row r="127" spans="1:10" s="14" customFormat="1" ht="15" customHeight="1">
      <c r="A127" s="2616"/>
      <c r="B127" s="2520"/>
      <c r="C127" s="690" t="str">
        <f>OF!C54</f>
        <v>25 - 50 m</v>
      </c>
      <c r="D127" s="292">
        <f>OF!D54</f>
        <v>0</v>
      </c>
      <c r="E127" s="385">
        <v>3</v>
      </c>
      <c r="F127" s="361">
        <f t="shared" si="2"/>
        <v>0</v>
      </c>
      <c r="G127" s="502"/>
      <c r="H127" s="2146"/>
      <c r="I127" s="2412"/>
      <c r="J127" s="142"/>
    </row>
    <row r="128" spans="1:10" s="14" customFormat="1" ht="15" customHeight="1">
      <c r="A128" s="2616"/>
      <c r="B128" s="2520"/>
      <c r="C128" s="690" t="str">
        <f>OF!C55</f>
        <v>50 - 100 m</v>
      </c>
      <c r="D128" s="292">
        <f>OF!D55</f>
        <v>0</v>
      </c>
      <c r="E128" s="385">
        <v>2</v>
      </c>
      <c r="F128" s="361">
        <f t="shared" si="2"/>
        <v>0</v>
      </c>
      <c r="G128" s="502"/>
      <c r="H128" s="2146"/>
      <c r="I128" s="2412"/>
      <c r="J128" s="142"/>
    </row>
    <row r="129" spans="1:10" s="14" customFormat="1" ht="15" customHeight="1">
      <c r="A129" s="2616"/>
      <c r="B129" s="2520"/>
      <c r="C129" s="690" t="str">
        <f>OF!C56</f>
        <v>100 - 500 m</v>
      </c>
      <c r="D129" s="292">
        <f>OF!D56</f>
        <v>0</v>
      </c>
      <c r="E129" s="385">
        <v>1</v>
      </c>
      <c r="F129" s="361">
        <f t="shared" si="2"/>
        <v>0</v>
      </c>
      <c r="G129" s="502"/>
      <c r="H129" s="2146"/>
      <c r="I129" s="2412"/>
      <c r="J129" s="142"/>
    </row>
    <row r="130" spans="1:10" s="14" customFormat="1" ht="15" customHeight="1" thickBot="1">
      <c r="A130" s="2616"/>
      <c r="B130" s="2520"/>
      <c r="C130" s="692" t="str">
        <f>OF!C57</f>
        <v>&gt;500 m</v>
      </c>
      <c r="D130" s="294">
        <f>OF!D57</f>
        <v>0</v>
      </c>
      <c r="E130" s="387">
        <v>0</v>
      </c>
      <c r="F130" s="364">
        <f t="shared" si="2"/>
        <v>0</v>
      </c>
      <c r="G130" s="511"/>
      <c r="H130" s="2146"/>
      <c r="I130" s="2413"/>
      <c r="J130" s="142"/>
    </row>
    <row r="131" spans="1:10" ht="60" customHeight="1" thickBot="1">
      <c r="A131" s="2148" t="str">
        <f>F!A280</f>
        <v>F61</v>
      </c>
      <c r="B131" s="2148" t="str">
        <f>F!B280</f>
        <v xml:space="preserve">Unvisited Core Area </v>
      </c>
      <c r="C131" s="436"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31" s="636"/>
      <c r="E131" s="392"/>
      <c r="F131" s="365"/>
      <c r="G131" s="519">
        <f>MAX(F132:F137)/MAX(E132:E137)</f>
        <v>0</v>
      </c>
      <c r="H131" s="2148" t="s">
        <v>1272</v>
      </c>
      <c r="I131" s="2611" t="s">
        <v>1195</v>
      </c>
    </row>
    <row r="132" spans="1:10" ht="15" customHeight="1">
      <c r="A132" s="2146"/>
      <c r="B132" s="2146"/>
      <c r="C132" s="1494" t="str">
        <f>F!C281</f>
        <v>&lt;5% and no inhabited building is within 100 m of the AA.</v>
      </c>
      <c r="D132" s="247">
        <f>F!D281</f>
        <v>0</v>
      </c>
      <c r="E132" s="1162">
        <v>3</v>
      </c>
      <c r="F132" s="361">
        <f t="shared" ref="F132:F137" si="3">D132*E132</f>
        <v>0</v>
      </c>
      <c r="G132" s="502"/>
      <c r="H132" s="2146"/>
      <c r="I132" s="2612"/>
    </row>
    <row r="133" spans="1:10" ht="15" customHeight="1">
      <c r="A133" s="2146"/>
      <c r="B133" s="2146"/>
      <c r="C133" s="1472" t="str">
        <f>F!C282</f>
        <v>&lt;5% and inhabited building is within 100 m of the AA.</v>
      </c>
      <c r="D133" s="354">
        <f>F!D282</f>
        <v>0</v>
      </c>
      <c r="E133" s="1162">
        <v>3</v>
      </c>
      <c r="F133" s="361">
        <f t="shared" si="3"/>
        <v>0</v>
      </c>
      <c r="G133" s="502"/>
      <c r="H133" s="2146"/>
      <c r="I133" s="2612"/>
    </row>
    <row r="134" spans="1:10" ht="15" customHeight="1">
      <c r="A134" s="2146"/>
      <c r="B134" s="2146"/>
      <c r="C134" s="1716" t="str">
        <f>F!C283</f>
        <v>5-50% and no inhabited building is within 100 m of the AA.</v>
      </c>
      <c r="D134" s="247">
        <f>F!D283</f>
        <v>0</v>
      </c>
      <c r="E134" s="1162">
        <v>2</v>
      </c>
      <c r="F134" s="361">
        <f t="shared" si="3"/>
        <v>0</v>
      </c>
      <c r="G134" s="502"/>
      <c r="H134" s="2146"/>
      <c r="I134" s="2612"/>
    </row>
    <row r="135" spans="1:10" ht="15" customHeight="1">
      <c r="A135" s="2146"/>
      <c r="B135" s="2146"/>
      <c r="C135" s="1073" t="str">
        <f>F!C284</f>
        <v>5-50% and inhabited building is within 100 m of the AA.</v>
      </c>
      <c r="D135" s="247">
        <f>F!D284</f>
        <v>0</v>
      </c>
      <c r="E135" s="1162">
        <v>2</v>
      </c>
      <c r="F135" s="361">
        <f t="shared" si="3"/>
        <v>0</v>
      </c>
      <c r="G135" s="502"/>
      <c r="H135" s="2146"/>
      <c r="I135" s="2612"/>
    </row>
    <row r="136" spans="1:10" ht="15" customHeight="1">
      <c r="A136" s="2146"/>
      <c r="B136" s="2146"/>
      <c r="C136" s="1472" t="str">
        <f>F!C285</f>
        <v>50-95%</v>
      </c>
      <c r="D136" s="354">
        <f>F!D285</f>
        <v>0</v>
      </c>
      <c r="E136" s="1162">
        <v>1</v>
      </c>
      <c r="F136" s="361">
        <f t="shared" si="3"/>
        <v>0</v>
      </c>
      <c r="G136" s="502"/>
      <c r="H136" s="2146"/>
      <c r="I136" s="2612"/>
    </row>
    <row r="137" spans="1:10" ht="15" customHeight="1" thickBot="1">
      <c r="A137" s="2146"/>
      <c r="B137" s="2146"/>
      <c r="C137" s="1169" t="str">
        <f>F!C286</f>
        <v>&gt;95% of the AA</v>
      </c>
      <c r="D137" s="248">
        <f>F!D286</f>
        <v>0</v>
      </c>
      <c r="E137" s="1252">
        <v>0</v>
      </c>
      <c r="F137" s="364">
        <f t="shared" si="3"/>
        <v>0</v>
      </c>
      <c r="G137" s="511"/>
      <c r="H137" s="2146"/>
      <c r="I137" s="2613"/>
    </row>
    <row r="138" spans="1:10" s="14" customFormat="1" ht="30" customHeight="1" thickBot="1">
      <c r="A138" s="195" t="str">
        <f>F!A294</f>
        <v>F65</v>
      </c>
      <c r="B138" s="195" t="str">
        <f>F!B294</f>
        <v xml:space="preserve">Consumptive Uses (Provisioning Services)  </v>
      </c>
      <c r="C138" s="202" t="str">
        <f>F!C298</f>
        <v>fishing.</v>
      </c>
      <c r="D138" s="289">
        <f>F!D298</f>
        <v>0</v>
      </c>
      <c r="E138" s="395"/>
      <c r="F138" s="395"/>
      <c r="G138" s="1124"/>
      <c r="H138" s="5" t="s">
        <v>58</v>
      </c>
      <c r="I138" s="1647" t="s">
        <v>218</v>
      </c>
      <c r="J138" s="142"/>
    </row>
    <row r="139" spans="1:10" s="17" customFormat="1" ht="45" customHeight="1" thickBot="1">
      <c r="A139" s="1057"/>
      <c r="B139" s="736" t="str">
        <f>WBF!C164</f>
        <v>Function Score for Feeding Waterbird Habitat</v>
      </c>
      <c r="C139" s="1121"/>
      <c r="D139" s="754"/>
      <c r="E139" s="754"/>
      <c r="F139" s="1122"/>
      <c r="G139" s="1123">
        <f>WBF!G164/10</f>
        <v>0.05</v>
      </c>
      <c r="H139" s="1199" t="s">
        <v>714</v>
      </c>
      <c r="I139" s="1709" t="s">
        <v>219</v>
      </c>
      <c r="J139" s="142"/>
    </row>
    <row r="140" spans="1:10" s="14" customFormat="1" ht="21" customHeight="1" thickBot="1">
      <c r="A140" s="2621"/>
      <c r="B140" s="2621"/>
      <c r="C140" s="2621"/>
      <c r="D140" s="2621"/>
      <c r="E140" s="2621"/>
      <c r="F140" s="2621"/>
      <c r="G140" s="2621"/>
      <c r="H140" s="2621"/>
      <c r="J140" s="142"/>
    </row>
    <row r="141" spans="1:10" ht="21" customHeight="1">
      <c r="A141" s="2622"/>
      <c r="B141" s="2622"/>
      <c r="C141" s="2622"/>
      <c r="D141" s="2529" t="s">
        <v>748</v>
      </c>
      <c r="E141" s="2530"/>
      <c r="F141" s="2530"/>
      <c r="G141" s="1711">
        <f>AVERAGE(SatPct9, Depth9,MAX(SeasWpct9, PermWpct9), Interspers9,ThruFlo9)</f>
        <v>0</v>
      </c>
      <c r="H141" s="1897" t="s">
        <v>2676</v>
      </c>
      <c r="I141" s="1898" t="s">
        <v>2742</v>
      </c>
    </row>
    <row r="142" spans="1:10" ht="21" customHeight="1">
      <c r="A142" s="2622"/>
      <c r="B142" s="2622"/>
      <c r="C142" s="2622"/>
      <c r="D142" s="2617" t="s">
        <v>201</v>
      </c>
      <c r="E142" s="2618"/>
      <c r="F142" s="2618"/>
      <c r="G142" s="1712">
        <f>IF((AllSat1=1),"", AVERAGE(Beaver9,AVERAGE(Wettype9,WoodAbove9, AqPlantCov9, Shade9)))</f>
        <v>0</v>
      </c>
      <c r="H142" s="1858" t="s">
        <v>1290</v>
      </c>
      <c r="I142" s="1899" t="s">
        <v>2743</v>
      </c>
    </row>
    <row r="143" spans="1:10" ht="21" customHeight="1">
      <c r="A143" s="2622"/>
      <c r="B143" s="2622"/>
      <c r="C143" s="2622"/>
      <c r="D143" s="2617" t="s">
        <v>232</v>
      </c>
      <c r="E143" s="2618"/>
      <c r="F143" s="2618"/>
      <c r="G143" s="1712">
        <f>AVERAGE(GroundW9, TidalProx9, Wettype9,Nfix9,Karst9a)</f>
        <v>0</v>
      </c>
      <c r="H143" s="1858" t="s">
        <v>1193</v>
      </c>
      <c r="I143" s="1899" t="s">
        <v>2744</v>
      </c>
    </row>
    <row r="144" spans="1:10" ht="21" customHeight="1">
      <c r="A144" s="2622"/>
      <c r="B144" s="2622"/>
      <c r="C144" s="2622"/>
      <c r="D144" s="2617" t="s">
        <v>198</v>
      </c>
      <c r="E144" s="2618"/>
      <c r="F144" s="2618"/>
      <c r="G144" s="1712">
        <f>AVERAGE(BuffPctNat9,BuffLU9, ImpervCA9)</f>
        <v>0</v>
      </c>
      <c r="H144" s="1858" t="s">
        <v>2677</v>
      </c>
      <c r="I144" s="1899" t="s">
        <v>2745</v>
      </c>
    </row>
    <row r="145" spans="1:11" ht="21" customHeight="1" thickBot="1">
      <c r="A145" s="2622"/>
      <c r="B145" s="2622"/>
      <c r="C145" s="2622"/>
      <c r="D145" s="2619" t="s">
        <v>574</v>
      </c>
      <c r="E145" s="2620"/>
      <c r="F145" s="2620"/>
      <c r="G145" s="1713">
        <f>MIN(Acid9,ToxicIn9,SedIn9,AltTime9,ToxData9)</f>
        <v>0</v>
      </c>
      <c r="H145" s="1900" t="s">
        <v>2678</v>
      </c>
      <c r="I145" s="1901" t="s">
        <v>2746</v>
      </c>
    </row>
    <row r="146" spans="1:11" ht="21" customHeight="1" thickBot="1">
      <c r="A146" s="2622"/>
      <c r="B146" s="2622"/>
      <c r="C146" s="2622"/>
      <c r="D146" s="2623"/>
      <c r="E146" s="2623"/>
      <c r="F146" s="2623"/>
      <c r="G146" s="2623"/>
      <c r="H146" s="2624"/>
    </row>
    <row r="147" spans="1:11" s="17" customFormat="1" ht="45" customHeight="1" thickBot="1">
      <c r="A147" s="2429"/>
      <c r="B147" s="2625"/>
      <c r="C147" s="2394" t="s">
        <v>161</v>
      </c>
      <c r="D147" s="2395"/>
      <c r="E147" s="2396"/>
      <c r="F147" s="1690" t="s">
        <v>75</v>
      </c>
      <c r="G147" s="1694">
        <f>IF((Access9=0),0, IF((AllSat1&gt;0),0, 10*AVERAGE(Access9,OutDura9)*AVERAGE(Hydropd9,Struc9,Produc9,Lscape9,Stress9)))</f>
        <v>0</v>
      </c>
      <c r="H147" s="2363" t="s">
        <v>2993</v>
      </c>
      <c r="I147" s="2364"/>
      <c r="J147" s="197"/>
      <c r="K147" s="14"/>
    </row>
    <row r="148" spans="1:11" s="17" customFormat="1" ht="30" customHeight="1" thickBot="1">
      <c r="A148" s="2429"/>
      <c r="B148" s="2625"/>
      <c r="C148" s="2394" t="s">
        <v>2412</v>
      </c>
      <c r="D148" s="2395"/>
      <c r="E148" s="2396"/>
      <c r="F148" s="1690" t="s">
        <v>76</v>
      </c>
      <c r="G148" s="1701">
        <f>10*(AVERAGE(Fishing9, WbirdFeed,Core9, PopCtr9, DistRd9))</f>
        <v>0.1</v>
      </c>
      <c r="H148" s="2575" t="s">
        <v>1567</v>
      </c>
      <c r="I148" s="2576"/>
      <c r="J148" s="142"/>
    </row>
    <row r="149" spans="1:11" s="17" customFormat="1" ht="21" customHeight="1" thickBot="1">
      <c r="A149" s="11"/>
      <c r="B149" s="11"/>
      <c r="C149" s="11"/>
      <c r="D149" s="11"/>
      <c r="E149" s="11"/>
      <c r="F149" s="11"/>
      <c r="G149" s="11"/>
      <c r="H149" s="11"/>
      <c r="J149" s="142"/>
    </row>
    <row r="150" spans="1:11" s="17" customFormat="1" ht="21" customHeight="1" thickBot="1">
      <c r="A150" s="11"/>
      <c r="B150" s="11"/>
      <c r="C150" s="11"/>
      <c r="D150" s="11"/>
      <c r="E150" s="11"/>
      <c r="F150" s="11"/>
      <c r="G150" s="11"/>
      <c r="H150" s="2609" t="s">
        <v>806</v>
      </c>
      <c r="I150" s="2610"/>
      <c r="J150" s="142"/>
    </row>
    <row r="151" spans="1:11" s="17" customFormat="1" ht="42" customHeight="1">
      <c r="A151" s="11"/>
      <c r="B151" s="11"/>
      <c r="C151" s="11"/>
      <c r="D151" s="11"/>
      <c r="E151" s="11"/>
      <c r="F151" s="11"/>
      <c r="G151" s="11"/>
      <c r="H151" s="2557" t="s">
        <v>824</v>
      </c>
      <c r="I151" s="2558"/>
      <c r="J151" s="142"/>
    </row>
    <row r="152" spans="1:11" s="17" customFormat="1" ht="27" customHeight="1">
      <c r="A152" s="11"/>
      <c r="B152" s="11"/>
      <c r="C152" s="11"/>
      <c r="D152" s="11"/>
      <c r="E152" s="11"/>
      <c r="F152" s="11"/>
      <c r="G152" s="11"/>
      <c r="H152" s="2551" t="s">
        <v>933</v>
      </c>
      <c r="I152" s="2552"/>
      <c r="J152" s="142"/>
    </row>
    <row r="153" spans="1:11" s="17" customFormat="1" ht="42" customHeight="1">
      <c r="A153" s="11"/>
      <c r="B153" s="11"/>
      <c r="C153" s="11"/>
      <c r="D153" s="11"/>
      <c r="E153" s="11"/>
      <c r="F153" s="11"/>
      <c r="G153" s="11"/>
      <c r="H153" s="2373" t="s">
        <v>934</v>
      </c>
      <c r="I153" s="2374"/>
      <c r="J153" s="142"/>
    </row>
    <row r="154" spans="1:11" s="17" customFormat="1" ht="69" customHeight="1">
      <c r="A154" s="11"/>
      <c r="B154" s="11"/>
      <c r="C154" s="11"/>
      <c r="D154" s="11"/>
      <c r="E154" s="11"/>
      <c r="F154" s="11"/>
      <c r="G154" s="11"/>
      <c r="H154" s="2373" t="s">
        <v>1390</v>
      </c>
      <c r="I154" s="2374"/>
      <c r="J154" s="142"/>
    </row>
    <row r="155" spans="1:11" s="17" customFormat="1" ht="42" customHeight="1">
      <c r="A155" s="11"/>
      <c r="B155" s="11"/>
      <c r="C155" s="11"/>
      <c r="D155" s="11"/>
      <c r="E155" s="11"/>
      <c r="F155" s="11"/>
      <c r="G155" s="11"/>
      <c r="H155" s="2373" t="s">
        <v>1628</v>
      </c>
      <c r="I155" s="2374"/>
      <c r="J155" s="142"/>
    </row>
    <row r="156" spans="1:11" s="17" customFormat="1" ht="27" customHeight="1">
      <c r="A156" s="11"/>
      <c r="B156" s="11"/>
      <c r="C156" s="11"/>
      <c r="D156" s="11"/>
      <c r="E156" s="11"/>
      <c r="F156" s="11"/>
      <c r="G156" s="11"/>
      <c r="H156" s="2373" t="s">
        <v>935</v>
      </c>
      <c r="I156" s="2374"/>
      <c r="J156" s="142"/>
    </row>
    <row r="157" spans="1:11" s="17" customFormat="1" ht="27" customHeight="1">
      <c r="A157" s="11"/>
      <c r="B157" s="11"/>
      <c r="C157" s="11"/>
      <c r="D157" s="11"/>
      <c r="E157" s="11"/>
      <c r="F157" s="11"/>
      <c r="G157" s="11"/>
      <c r="H157" s="2373" t="s">
        <v>936</v>
      </c>
      <c r="I157" s="2374"/>
      <c r="J157" s="142"/>
    </row>
    <row r="158" spans="1:11" s="17" customFormat="1" ht="42" customHeight="1">
      <c r="A158" s="11"/>
      <c r="B158" s="11"/>
      <c r="C158" s="11"/>
      <c r="D158" s="11"/>
      <c r="E158" s="11"/>
      <c r="F158" s="11"/>
      <c r="G158" s="11"/>
      <c r="H158" s="2373" t="s">
        <v>937</v>
      </c>
      <c r="I158" s="2374"/>
      <c r="J158" s="142"/>
    </row>
    <row r="159" spans="1:11" s="17" customFormat="1" ht="27" customHeight="1">
      <c r="A159" s="11"/>
      <c r="B159" s="11"/>
      <c r="C159" s="11"/>
      <c r="D159" s="11"/>
      <c r="E159" s="11"/>
      <c r="F159" s="11"/>
      <c r="G159" s="11"/>
      <c r="H159" s="2373" t="s">
        <v>1389</v>
      </c>
      <c r="I159" s="2374"/>
      <c r="J159" s="142"/>
    </row>
    <row r="160" spans="1:11" s="17" customFormat="1" ht="27" customHeight="1">
      <c r="A160" s="11"/>
      <c r="B160" s="11"/>
      <c r="C160" s="11"/>
      <c r="D160" s="11"/>
      <c r="E160" s="11"/>
      <c r="F160" s="11"/>
      <c r="G160" s="11"/>
      <c r="H160" s="2373" t="s">
        <v>2157</v>
      </c>
      <c r="I160" s="2374"/>
      <c r="J160" s="142"/>
    </row>
    <row r="161" spans="1:10" s="17" customFormat="1" ht="27" customHeight="1">
      <c r="A161" s="11"/>
      <c r="B161" s="11"/>
      <c r="C161" s="11"/>
      <c r="D161" s="11"/>
      <c r="E161" s="11"/>
      <c r="F161" s="11"/>
      <c r="G161" s="11"/>
      <c r="H161" s="2373" t="s">
        <v>938</v>
      </c>
      <c r="I161" s="2374"/>
      <c r="J161" s="142"/>
    </row>
    <row r="162" spans="1:10" s="17" customFormat="1" ht="27" customHeight="1">
      <c r="A162" s="11"/>
      <c r="B162" s="11"/>
      <c r="C162" s="11"/>
      <c r="D162" s="11"/>
      <c r="E162" s="11"/>
      <c r="F162" s="11"/>
      <c r="G162" s="11"/>
      <c r="H162" s="2373" t="s">
        <v>939</v>
      </c>
      <c r="I162" s="2374"/>
      <c r="J162" s="142"/>
    </row>
    <row r="163" spans="1:10" s="17" customFormat="1" ht="27" customHeight="1">
      <c r="A163" s="11"/>
      <c r="B163" s="11"/>
      <c r="C163" s="11"/>
      <c r="D163" s="11"/>
      <c r="E163" s="11"/>
      <c r="F163" s="11"/>
      <c r="G163" s="11"/>
      <c r="H163" s="2373" t="s">
        <v>940</v>
      </c>
      <c r="I163" s="2374"/>
      <c r="J163" s="142"/>
    </row>
    <row r="164" spans="1:10" s="17" customFormat="1" ht="42" customHeight="1">
      <c r="A164" s="11"/>
      <c r="B164" s="11"/>
      <c r="C164" s="11"/>
      <c r="D164" s="11"/>
      <c r="E164" s="11"/>
      <c r="F164" s="11"/>
      <c r="G164" s="11"/>
      <c r="H164" s="2373" t="s">
        <v>941</v>
      </c>
      <c r="I164" s="2374"/>
      <c r="J164" s="142"/>
    </row>
    <row r="165" spans="1:10" s="17" customFormat="1" ht="27" customHeight="1">
      <c r="A165" s="11"/>
      <c r="B165" s="11"/>
      <c r="C165" s="11"/>
      <c r="D165" s="11"/>
      <c r="E165" s="11"/>
      <c r="F165" s="11"/>
      <c r="G165" s="11"/>
      <c r="H165" s="2373" t="s">
        <v>942</v>
      </c>
      <c r="I165" s="2374"/>
      <c r="J165" s="142"/>
    </row>
    <row r="166" spans="1:10" s="17" customFormat="1" ht="27" customHeight="1">
      <c r="A166" s="11"/>
      <c r="B166" s="11"/>
      <c r="C166" s="11"/>
      <c r="D166" s="11"/>
      <c r="E166" s="11"/>
      <c r="F166" s="11"/>
      <c r="G166" s="11"/>
      <c r="H166" s="2373" t="s">
        <v>943</v>
      </c>
      <c r="I166" s="2374"/>
      <c r="J166" s="142"/>
    </row>
    <row r="167" spans="1:10" s="17" customFormat="1" ht="27" customHeight="1">
      <c r="A167" s="11"/>
      <c r="B167" s="11"/>
      <c r="C167" s="11"/>
      <c r="D167" s="11"/>
      <c r="E167" s="11"/>
      <c r="F167" s="11"/>
      <c r="G167" s="11"/>
      <c r="H167" s="2551" t="s">
        <v>2158</v>
      </c>
      <c r="I167" s="2552"/>
      <c r="J167" s="142"/>
    </row>
    <row r="168" spans="1:10" s="17" customFormat="1" ht="42" customHeight="1">
      <c r="A168" s="11"/>
      <c r="B168" s="11"/>
      <c r="C168" s="11"/>
      <c r="D168" s="11"/>
      <c r="E168" s="11"/>
      <c r="F168" s="11"/>
      <c r="G168" s="11"/>
      <c r="H168" s="2373" t="s">
        <v>945</v>
      </c>
      <c r="I168" s="2374"/>
      <c r="J168" s="142"/>
    </row>
    <row r="169" spans="1:10" s="17" customFormat="1" ht="27" customHeight="1">
      <c r="A169" s="11"/>
      <c r="B169" s="11"/>
      <c r="C169" s="11"/>
      <c r="D169" s="11"/>
      <c r="E169" s="11"/>
      <c r="F169" s="11"/>
      <c r="G169" s="11"/>
      <c r="H169" s="2373" t="s">
        <v>2159</v>
      </c>
      <c r="I169" s="2374"/>
      <c r="J169" s="142"/>
    </row>
    <row r="170" spans="1:10" s="17" customFormat="1" ht="27" customHeight="1">
      <c r="A170" s="11"/>
      <c r="B170" s="11"/>
      <c r="C170" s="11"/>
      <c r="D170" s="11"/>
      <c r="E170" s="11"/>
      <c r="F170" s="11"/>
      <c r="G170" s="11"/>
      <c r="H170" s="2373" t="s">
        <v>946</v>
      </c>
      <c r="I170" s="2374"/>
      <c r="J170" s="142"/>
    </row>
    <row r="171" spans="1:10" s="17" customFormat="1" ht="42" customHeight="1">
      <c r="A171" s="11"/>
      <c r="B171" s="11"/>
      <c r="C171" s="11"/>
      <c r="D171" s="11"/>
      <c r="E171" s="11"/>
      <c r="F171" s="11"/>
      <c r="G171" s="11"/>
      <c r="H171" s="2373" t="s">
        <v>2160</v>
      </c>
      <c r="I171" s="2374"/>
      <c r="J171" s="142"/>
    </row>
    <row r="172" spans="1:10" s="17" customFormat="1" ht="27" customHeight="1">
      <c r="A172" s="11"/>
      <c r="B172" s="11"/>
      <c r="C172" s="11"/>
      <c r="D172" s="11"/>
      <c r="E172" s="11"/>
      <c r="F172" s="11"/>
      <c r="G172" s="11"/>
      <c r="H172" s="2373" t="s">
        <v>947</v>
      </c>
      <c r="I172" s="2374"/>
      <c r="J172" s="142"/>
    </row>
    <row r="173" spans="1:10" s="17" customFormat="1" ht="27" customHeight="1">
      <c r="A173" s="11"/>
      <c r="B173" s="11"/>
      <c r="C173" s="11"/>
      <c r="D173" s="11"/>
      <c r="E173" s="11"/>
      <c r="F173" s="11"/>
      <c r="G173" s="11"/>
      <c r="H173" s="2373" t="s">
        <v>833</v>
      </c>
      <c r="I173" s="2374"/>
      <c r="J173" s="142"/>
    </row>
    <row r="174" spans="1:10" s="17" customFormat="1" ht="27" customHeight="1">
      <c r="A174" s="11"/>
      <c r="B174" s="11"/>
      <c r="C174" s="11"/>
      <c r="D174" s="11"/>
      <c r="E174" s="11"/>
      <c r="F174" s="11"/>
      <c r="G174" s="11"/>
      <c r="H174" s="2373" t="s">
        <v>2161</v>
      </c>
      <c r="I174" s="2374"/>
      <c r="J174" s="142"/>
    </row>
    <row r="175" spans="1:10" s="17" customFormat="1" ht="42" customHeight="1">
      <c r="A175" s="11"/>
      <c r="B175" s="11"/>
      <c r="C175" s="11"/>
      <c r="D175" s="11"/>
      <c r="E175" s="11"/>
      <c r="F175" s="11"/>
      <c r="G175" s="11"/>
      <c r="H175" s="2373" t="s">
        <v>1629</v>
      </c>
      <c r="I175" s="2374"/>
      <c r="J175" s="142"/>
    </row>
    <row r="176" spans="1:10" s="17" customFormat="1" ht="27" customHeight="1">
      <c r="A176" s="11"/>
      <c r="B176" s="11"/>
      <c r="C176" s="11"/>
      <c r="D176" s="11"/>
      <c r="E176" s="11"/>
      <c r="F176" s="11"/>
      <c r="G176" s="11"/>
      <c r="H176" s="2373" t="s">
        <v>948</v>
      </c>
      <c r="I176" s="2374"/>
      <c r="J176" s="142"/>
    </row>
    <row r="177" spans="1:10" s="17" customFormat="1" ht="27" customHeight="1">
      <c r="A177" s="11"/>
      <c r="B177" s="11"/>
      <c r="C177" s="11"/>
      <c r="D177" s="11"/>
      <c r="E177" s="11"/>
      <c r="F177" s="11"/>
      <c r="G177" s="11"/>
      <c r="H177" s="2373" t="s">
        <v>949</v>
      </c>
      <c r="I177" s="2374"/>
      <c r="J177" s="142"/>
    </row>
    <row r="178" spans="1:10" s="17" customFormat="1" ht="27" customHeight="1">
      <c r="A178" s="11"/>
      <c r="B178" s="11"/>
      <c r="C178" s="11"/>
      <c r="D178" s="11"/>
      <c r="E178" s="11"/>
      <c r="F178" s="11"/>
      <c r="G178" s="11"/>
      <c r="H178" s="2373" t="s">
        <v>1388</v>
      </c>
      <c r="I178" s="2374"/>
      <c r="J178" s="142"/>
    </row>
    <row r="179" spans="1:10" s="17" customFormat="1" ht="27" customHeight="1">
      <c r="A179" s="11"/>
      <c r="B179" s="11"/>
      <c r="C179" s="11"/>
      <c r="D179" s="11"/>
      <c r="E179" s="11"/>
      <c r="F179" s="11"/>
      <c r="G179" s="11"/>
      <c r="H179" s="2373" t="s">
        <v>2163</v>
      </c>
      <c r="I179" s="2374"/>
      <c r="J179" s="142"/>
    </row>
    <row r="180" spans="1:10" s="17" customFormat="1" ht="27" customHeight="1">
      <c r="A180" s="11"/>
      <c r="B180" s="11"/>
      <c r="C180" s="11"/>
      <c r="D180" s="11"/>
      <c r="E180" s="11"/>
      <c r="F180" s="11"/>
      <c r="G180" s="11"/>
      <c r="H180" s="2373" t="s">
        <v>950</v>
      </c>
      <c r="I180" s="2374"/>
      <c r="J180" s="142"/>
    </row>
    <row r="181" spans="1:10" s="17" customFormat="1" ht="27" customHeight="1">
      <c r="A181" s="11"/>
      <c r="B181" s="11"/>
      <c r="C181" s="11"/>
      <c r="D181" s="11"/>
      <c r="E181" s="11"/>
      <c r="F181" s="11"/>
      <c r="G181" s="11"/>
      <c r="H181" s="2373" t="s">
        <v>1285</v>
      </c>
      <c r="I181" s="2374"/>
      <c r="J181" s="142"/>
    </row>
    <row r="182" spans="1:10" s="17" customFormat="1" ht="57" customHeight="1">
      <c r="A182" s="11"/>
      <c r="B182" s="11"/>
      <c r="C182" s="11"/>
      <c r="D182" s="11"/>
      <c r="E182" s="11"/>
      <c r="F182" s="11"/>
      <c r="G182" s="11"/>
      <c r="H182" s="2551" t="s">
        <v>2162</v>
      </c>
      <c r="I182" s="2552"/>
      <c r="J182" s="142"/>
    </row>
    <row r="183" spans="1:10" s="17" customFormat="1" ht="27" customHeight="1">
      <c r="A183" s="11"/>
      <c r="B183" s="11"/>
      <c r="C183" s="11"/>
      <c r="D183" s="11"/>
      <c r="E183" s="11"/>
      <c r="F183" s="11"/>
      <c r="G183" s="11"/>
      <c r="H183" s="2373" t="s">
        <v>951</v>
      </c>
      <c r="I183" s="2374"/>
      <c r="J183" s="142"/>
    </row>
    <row r="184" spans="1:10" s="17" customFormat="1" ht="42" customHeight="1">
      <c r="A184" s="11"/>
      <c r="B184" s="11"/>
      <c r="C184" s="11"/>
      <c r="D184" s="11"/>
      <c r="E184" s="11"/>
      <c r="F184" s="11"/>
      <c r="G184" s="11"/>
      <c r="H184" s="2373" t="s">
        <v>952</v>
      </c>
      <c r="I184" s="2374"/>
      <c r="J184" s="142"/>
    </row>
    <row r="185" spans="1:10" s="17" customFormat="1" ht="27" customHeight="1">
      <c r="A185" s="11"/>
      <c r="B185" s="11"/>
      <c r="C185" s="11"/>
      <c r="D185" s="11"/>
      <c r="E185" s="11"/>
      <c r="F185" s="11"/>
      <c r="G185" s="11"/>
      <c r="H185" s="2373" t="s">
        <v>823</v>
      </c>
      <c r="I185" s="2374"/>
      <c r="J185" s="142"/>
    </row>
    <row r="186" spans="1:10" s="17" customFormat="1" ht="27" customHeight="1">
      <c r="A186" s="11"/>
      <c r="B186" s="11"/>
      <c r="C186" s="11"/>
      <c r="D186" s="11"/>
      <c r="E186" s="11"/>
      <c r="F186" s="11"/>
      <c r="G186" s="11"/>
      <c r="H186" s="2373" t="s">
        <v>953</v>
      </c>
      <c r="I186" s="2374"/>
      <c r="J186" s="142"/>
    </row>
    <row r="187" spans="1:10" s="17" customFormat="1" ht="27" customHeight="1">
      <c r="A187" s="11"/>
      <c r="B187" s="11"/>
      <c r="C187" s="11"/>
      <c r="D187" s="11"/>
      <c r="E187" s="11"/>
      <c r="F187" s="11"/>
      <c r="G187" s="11"/>
      <c r="H187" s="2373" t="s">
        <v>954</v>
      </c>
      <c r="I187" s="2374"/>
      <c r="J187" s="142"/>
    </row>
    <row r="188" spans="1:10" s="17" customFormat="1" ht="27" customHeight="1">
      <c r="A188" s="53"/>
      <c r="B188" s="4"/>
      <c r="C188" s="15"/>
      <c r="D188" s="159"/>
      <c r="E188" s="159"/>
      <c r="F188" s="179"/>
      <c r="G188" s="199"/>
      <c r="H188" s="2373" t="s">
        <v>1630</v>
      </c>
      <c r="I188" s="2374"/>
      <c r="J188" s="142"/>
    </row>
    <row r="189" spans="1:10" s="17" customFormat="1" ht="42" customHeight="1">
      <c r="A189" s="53"/>
      <c r="B189" s="4"/>
      <c r="C189" s="15"/>
      <c r="D189" s="159"/>
      <c r="E189" s="159"/>
      <c r="F189" s="179"/>
      <c r="G189" s="199"/>
      <c r="H189" s="2373" t="s">
        <v>956</v>
      </c>
      <c r="I189" s="2374"/>
      <c r="J189" s="142"/>
    </row>
    <row r="190" spans="1:10" s="17" customFormat="1" ht="42" customHeight="1" thickBot="1">
      <c r="A190" s="53"/>
      <c r="B190" s="4"/>
      <c r="C190" s="15"/>
      <c r="D190" s="159"/>
      <c r="E190" s="159"/>
      <c r="F190" s="179"/>
      <c r="G190" s="199"/>
      <c r="H190" s="2407" t="s">
        <v>957</v>
      </c>
      <c r="I190" s="2408"/>
      <c r="J190" s="142"/>
    </row>
    <row r="191" spans="1:10" s="17" customFormat="1">
      <c r="A191" s="53"/>
      <c r="B191" s="4"/>
      <c r="C191" s="15"/>
      <c r="D191" s="159"/>
      <c r="E191" s="159"/>
      <c r="F191" s="179"/>
      <c r="G191" s="199"/>
      <c r="H191" s="1421"/>
      <c r="J191" s="142"/>
    </row>
    <row r="192" spans="1:10" s="17" customFormat="1">
      <c r="A192" s="53"/>
      <c r="B192" s="4"/>
      <c r="C192" s="15"/>
      <c r="D192" s="159"/>
      <c r="E192" s="159"/>
      <c r="F192" s="179"/>
      <c r="G192" s="199"/>
      <c r="H192" s="1373"/>
      <c r="J192" s="142"/>
    </row>
    <row r="193" spans="1:10" s="17" customFormat="1">
      <c r="A193" s="53"/>
      <c r="B193" s="4"/>
      <c r="C193" s="15"/>
      <c r="D193" s="159"/>
      <c r="E193" s="159"/>
      <c r="F193" s="179"/>
      <c r="G193" s="199"/>
      <c r="H193" s="1367"/>
      <c r="J193" s="142"/>
    </row>
    <row r="194" spans="1:10" s="17" customFormat="1">
      <c r="A194" s="53"/>
      <c r="B194" s="4"/>
      <c r="C194" s="15"/>
      <c r="D194" s="159"/>
      <c r="E194" s="159"/>
      <c r="F194" s="179"/>
      <c r="G194" s="199"/>
      <c r="H194" s="1367"/>
      <c r="J194" s="142"/>
    </row>
    <row r="195" spans="1:10" s="17" customFormat="1">
      <c r="A195" s="53"/>
      <c r="B195" s="4"/>
      <c r="C195" s="15"/>
      <c r="D195" s="159"/>
      <c r="E195" s="159"/>
      <c r="F195" s="179"/>
      <c r="G195" s="199"/>
      <c r="H195" s="1373"/>
      <c r="J195" s="142"/>
    </row>
    <row r="196" spans="1:10" s="17" customFormat="1">
      <c r="A196" s="53"/>
      <c r="B196" s="4"/>
      <c r="C196" s="15"/>
      <c r="D196" s="159"/>
      <c r="E196" s="159"/>
      <c r="F196" s="179"/>
      <c r="G196" s="199"/>
      <c r="H196" s="1373"/>
      <c r="J196" s="142"/>
    </row>
    <row r="197" spans="1:10" s="17" customFormat="1">
      <c r="A197" s="53"/>
      <c r="B197" s="4"/>
      <c r="C197" s="15"/>
      <c r="D197" s="159"/>
      <c r="E197" s="159"/>
      <c r="F197" s="179"/>
      <c r="G197" s="199"/>
      <c r="H197" s="1373"/>
      <c r="J197" s="142"/>
    </row>
    <row r="198" spans="1:10" s="17" customFormat="1">
      <c r="A198" s="53"/>
      <c r="B198" s="4"/>
      <c r="C198" s="15"/>
      <c r="D198" s="159"/>
      <c r="E198" s="159"/>
      <c r="F198" s="179"/>
      <c r="G198" s="199"/>
      <c r="H198" s="1373"/>
      <c r="J198" s="142"/>
    </row>
    <row r="199" spans="1:10" s="17" customFormat="1">
      <c r="A199" s="53"/>
      <c r="B199" s="4"/>
      <c r="C199" s="15"/>
      <c r="D199" s="159"/>
      <c r="E199" s="159"/>
      <c r="F199" s="179"/>
      <c r="G199" s="199"/>
      <c r="H199" s="1421"/>
      <c r="J199" s="142"/>
    </row>
    <row r="200" spans="1:10" s="17" customFormat="1">
      <c r="A200" s="53"/>
      <c r="B200" s="4"/>
      <c r="C200" s="15"/>
      <c r="D200" s="159"/>
      <c r="E200" s="159"/>
      <c r="F200" s="179"/>
      <c r="G200" s="199"/>
      <c r="H200" s="1421"/>
      <c r="J200" s="142"/>
    </row>
    <row r="201" spans="1:10" s="17" customFormat="1">
      <c r="A201" s="53"/>
      <c r="B201" s="4"/>
      <c r="C201" s="15"/>
      <c r="D201" s="159"/>
      <c r="E201" s="159"/>
      <c r="F201" s="179"/>
      <c r="G201" s="199"/>
      <c r="H201" s="1421"/>
      <c r="J201" s="142"/>
    </row>
    <row r="202" spans="1:10" s="17" customFormat="1">
      <c r="A202" s="53"/>
      <c r="B202" s="4"/>
      <c r="C202" s="15"/>
      <c r="D202" s="159"/>
      <c r="E202" s="159"/>
      <c r="F202" s="179"/>
      <c r="G202" s="199"/>
      <c r="H202" s="1421"/>
      <c r="J202" s="142"/>
    </row>
    <row r="203" spans="1:10" s="17" customFormat="1">
      <c r="A203" s="53"/>
      <c r="B203" s="4"/>
      <c r="C203" s="15"/>
      <c r="D203" s="159"/>
      <c r="E203" s="159"/>
      <c r="F203" s="179"/>
      <c r="G203" s="199"/>
      <c r="H203" s="1421"/>
      <c r="J203" s="142"/>
    </row>
    <row r="204" spans="1:10" s="17" customFormat="1">
      <c r="A204" s="53"/>
      <c r="B204" s="4"/>
      <c r="C204" s="15"/>
      <c r="D204" s="159"/>
      <c r="E204" s="159"/>
      <c r="F204" s="179"/>
      <c r="G204" s="199"/>
      <c r="H204" s="1421"/>
      <c r="J204" s="142"/>
    </row>
    <row r="205" spans="1:10" s="17" customFormat="1">
      <c r="A205" s="53"/>
      <c r="B205" s="4"/>
      <c r="C205" s="15"/>
      <c r="D205" s="159"/>
      <c r="E205" s="159"/>
      <c r="F205" s="179"/>
      <c r="G205" s="199"/>
      <c r="H205" s="1421"/>
      <c r="J205" s="142"/>
    </row>
    <row r="206" spans="1:10" s="17" customFormat="1">
      <c r="A206" s="53"/>
      <c r="B206" s="4"/>
      <c r="C206" s="15"/>
      <c r="D206" s="159"/>
      <c r="E206" s="159"/>
      <c r="F206" s="179"/>
      <c r="G206" s="199"/>
      <c r="H206" s="1421"/>
      <c r="J206" s="142"/>
    </row>
    <row r="207" spans="1:10" s="17" customFormat="1">
      <c r="A207" s="53"/>
      <c r="B207" s="4"/>
      <c r="C207" s="15"/>
      <c r="D207" s="159"/>
      <c r="E207" s="159"/>
      <c r="F207" s="179"/>
      <c r="G207" s="199"/>
      <c r="H207" s="1421"/>
      <c r="J207" s="142"/>
    </row>
    <row r="208" spans="1:10" s="17" customFormat="1">
      <c r="A208" s="53"/>
      <c r="B208" s="4"/>
      <c r="C208" s="15"/>
      <c r="D208" s="159"/>
      <c r="E208" s="159"/>
      <c r="F208" s="179"/>
      <c r="G208" s="199"/>
      <c r="H208" s="1421"/>
      <c r="J208" s="142"/>
    </row>
    <row r="209" spans="1:10" s="17" customFormat="1">
      <c r="A209" s="53"/>
      <c r="B209" s="4"/>
      <c r="C209" s="15"/>
      <c r="D209" s="159"/>
      <c r="E209" s="159"/>
      <c r="F209" s="179"/>
      <c r="G209" s="199"/>
      <c r="H209" s="1421"/>
      <c r="J209" s="142"/>
    </row>
    <row r="210" spans="1:10" s="17" customFormat="1">
      <c r="A210" s="53"/>
      <c r="B210" s="4"/>
      <c r="C210" s="15"/>
      <c r="D210" s="159"/>
      <c r="E210" s="159"/>
      <c r="F210" s="179"/>
      <c r="G210" s="199"/>
      <c r="H210" s="1421"/>
      <c r="J210" s="142"/>
    </row>
    <row r="211" spans="1:10" s="17" customFormat="1">
      <c r="A211" s="53"/>
      <c r="B211" s="4"/>
      <c r="C211" s="15"/>
      <c r="D211" s="159"/>
      <c r="E211" s="159"/>
      <c r="F211" s="179"/>
      <c r="G211" s="199"/>
      <c r="H211" s="1421"/>
      <c r="J211" s="142"/>
    </row>
    <row r="212" spans="1:10" s="17" customFormat="1">
      <c r="A212" s="53"/>
      <c r="B212" s="4"/>
      <c r="C212" s="15"/>
      <c r="D212" s="159"/>
      <c r="E212" s="159"/>
      <c r="F212" s="179"/>
      <c r="G212" s="199"/>
      <c r="H212" s="1421"/>
      <c r="J212" s="142"/>
    </row>
    <row r="213" spans="1:10" s="17" customFormat="1">
      <c r="A213" s="53"/>
      <c r="B213" s="4"/>
      <c r="C213" s="15"/>
      <c r="D213" s="159"/>
      <c r="E213" s="159"/>
      <c r="F213" s="179"/>
      <c r="G213" s="199"/>
      <c r="H213" s="1421"/>
      <c r="J213" s="142"/>
    </row>
    <row r="214" spans="1:10" s="17" customFormat="1">
      <c r="A214" s="53"/>
      <c r="B214" s="4"/>
      <c r="C214" s="15"/>
      <c r="D214" s="159"/>
      <c r="E214" s="159"/>
      <c r="F214" s="179"/>
      <c r="G214" s="199"/>
      <c r="H214" s="1421"/>
      <c r="J214" s="142"/>
    </row>
    <row r="215" spans="1:10" s="17" customFormat="1">
      <c r="A215" s="53"/>
      <c r="B215" s="4"/>
      <c r="C215" s="15"/>
      <c r="D215" s="159"/>
      <c r="E215" s="159"/>
      <c r="F215" s="179"/>
      <c r="G215" s="199"/>
      <c r="H215" s="1421"/>
      <c r="J215" s="142"/>
    </row>
    <row r="216" spans="1:10" s="17" customFormat="1">
      <c r="A216" s="53"/>
      <c r="B216" s="4"/>
      <c r="C216" s="15"/>
      <c r="D216" s="159"/>
      <c r="E216" s="159"/>
      <c r="F216" s="179"/>
      <c r="G216" s="199"/>
      <c r="H216" s="1421"/>
      <c r="J216" s="142"/>
    </row>
    <row r="217" spans="1:10" s="17" customFormat="1">
      <c r="A217" s="53"/>
      <c r="B217" s="4"/>
      <c r="C217" s="15"/>
      <c r="D217" s="159"/>
      <c r="E217" s="159"/>
      <c r="F217" s="179"/>
      <c r="G217" s="199"/>
      <c r="H217" s="1421"/>
      <c r="J217" s="142"/>
    </row>
    <row r="218" spans="1:10" s="17" customFormat="1">
      <c r="A218" s="53"/>
      <c r="B218" s="4"/>
      <c r="C218" s="15"/>
      <c r="D218" s="159"/>
      <c r="E218" s="159"/>
      <c r="F218" s="179"/>
      <c r="G218" s="199"/>
      <c r="H218" s="1421"/>
      <c r="J218" s="142"/>
    </row>
    <row r="219" spans="1:10" s="17" customFormat="1">
      <c r="A219" s="53"/>
      <c r="B219" s="4"/>
      <c r="C219" s="15"/>
      <c r="D219" s="159"/>
      <c r="E219" s="159"/>
      <c r="F219" s="179"/>
      <c r="G219" s="199"/>
      <c r="H219" s="1421"/>
      <c r="J219" s="142"/>
    </row>
    <row r="220" spans="1:10" s="17" customFormat="1">
      <c r="A220" s="53"/>
      <c r="B220" s="4"/>
      <c r="C220" s="15"/>
      <c r="D220" s="159"/>
      <c r="E220" s="159"/>
      <c r="F220" s="179"/>
      <c r="G220" s="199"/>
      <c r="H220" s="1421"/>
      <c r="J220" s="142"/>
    </row>
    <row r="221" spans="1:10" s="17" customFormat="1">
      <c r="A221" s="53"/>
      <c r="B221" s="4"/>
      <c r="C221" s="15"/>
      <c r="D221" s="159"/>
      <c r="E221" s="159"/>
      <c r="F221" s="179"/>
      <c r="G221" s="199"/>
      <c r="H221" s="1421"/>
      <c r="J221" s="142"/>
    </row>
    <row r="222" spans="1:10" s="17" customFormat="1">
      <c r="A222" s="53"/>
      <c r="B222" s="4"/>
      <c r="C222" s="15"/>
      <c r="D222" s="159"/>
      <c r="E222" s="159"/>
      <c r="F222" s="179"/>
      <c r="G222" s="199"/>
      <c r="H222" s="1421"/>
      <c r="J222" s="142"/>
    </row>
    <row r="223" spans="1:10" s="17" customFormat="1">
      <c r="A223" s="53"/>
      <c r="B223" s="4"/>
      <c r="C223" s="15"/>
      <c r="D223" s="159"/>
      <c r="E223" s="159"/>
      <c r="F223" s="179"/>
      <c r="G223" s="199"/>
      <c r="H223" s="1421"/>
      <c r="J223" s="142"/>
    </row>
    <row r="224" spans="1:10" s="17" customFormat="1">
      <c r="A224" s="53"/>
      <c r="B224" s="4"/>
      <c r="C224" s="15"/>
      <c r="D224" s="159"/>
      <c r="E224" s="159"/>
      <c r="F224" s="179"/>
      <c r="G224" s="199"/>
      <c r="H224" s="1421"/>
      <c r="J224" s="142"/>
    </row>
    <row r="225" spans="1:10" s="17" customFormat="1">
      <c r="A225" s="53"/>
      <c r="B225" s="4"/>
      <c r="C225" s="15"/>
      <c r="D225" s="159"/>
      <c r="E225" s="159"/>
      <c r="F225" s="179"/>
      <c r="G225" s="199"/>
      <c r="H225" s="1421"/>
      <c r="J225" s="142"/>
    </row>
    <row r="226" spans="1:10" s="17" customFormat="1">
      <c r="A226" s="53"/>
      <c r="B226" s="4"/>
      <c r="C226" s="15"/>
      <c r="D226" s="159"/>
      <c r="E226" s="159"/>
      <c r="F226" s="179"/>
      <c r="G226" s="199"/>
      <c r="H226" s="1421"/>
      <c r="J226" s="142"/>
    </row>
    <row r="227" spans="1:10" s="17" customFormat="1">
      <c r="A227" s="53"/>
      <c r="B227" s="4"/>
      <c r="C227" s="15"/>
      <c r="D227" s="159"/>
      <c r="E227" s="159"/>
      <c r="F227" s="179"/>
      <c r="G227" s="199"/>
      <c r="H227" s="1421"/>
      <c r="J227" s="142"/>
    </row>
    <row r="228" spans="1:10" s="17" customFormat="1">
      <c r="A228" s="53"/>
      <c r="B228" s="4"/>
      <c r="C228" s="15"/>
      <c r="D228" s="159"/>
      <c r="E228" s="159"/>
      <c r="F228" s="179"/>
      <c r="G228" s="199"/>
      <c r="H228" s="1421"/>
      <c r="J228" s="142"/>
    </row>
    <row r="229" spans="1:10" s="17" customFormat="1">
      <c r="A229" s="53"/>
      <c r="B229" s="4"/>
      <c r="C229" s="15"/>
      <c r="D229" s="159"/>
      <c r="E229" s="159"/>
      <c r="F229" s="179"/>
      <c r="G229" s="199"/>
      <c r="H229" s="23"/>
      <c r="J229" s="142"/>
    </row>
    <row r="230" spans="1:10" s="17" customFormat="1">
      <c r="A230" s="53"/>
      <c r="B230" s="4"/>
      <c r="C230" s="15"/>
      <c r="D230" s="159"/>
      <c r="E230" s="159"/>
      <c r="F230" s="179"/>
      <c r="G230" s="199"/>
      <c r="H230" s="23"/>
      <c r="J230" s="142"/>
    </row>
    <row r="231" spans="1:10" s="17" customFormat="1">
      <c r="A231" s="53"/>
      <c r="B231" s="4"/>
      <c r="C231" s="15"/>
      <c r="D231" s="159"/>
      <c r="E231" s="159"/>
      <c r="F231" s="179"/>
      <c r="G231" s="199"/>
      <c r="H231" s="23"/>
      <c r="J231" s="142"/>
    </row>
    <row r="232" spans="1:10" s="17" customFormat="1">
      <c r="A232" s="53"/>
      <c r="B232" s="4"/>
      <c r="C232" s="15"/>
      <c r="D232" s="159"/>
      <c r="E232" s="159"/>
      <c r="F232" s="179"/>
      <c r="G232" s="199"/>
      <c r="H232" s="23"/>
      <c r="J232" s="142"/>
    </row>
    <row r="233" spans="1:10" s="17" customFormat="1">
      <c r="A233" s="53"/>
      <c r="B233" s="4"/>
      <c r="C233" s="15"/>
      <c r="D233" s="159"/>
      <c r="E233" s="159"/>
      <c r="F233" s="179"/>
      <c r="G233" s="199"/>
      <c r="H233" s="23"/>
      <c r="J233" s="142"/>
    </row>
    <row r="234" spans="1:10" s="17" customFormat="1">
      <c r="A234" s="53"/>
      <c r="B234" s="4"/>
      <c r="C234" s="15"/>
      <c r="D234" s="159"/>
      <c r="E234" s="159"/>
      <c r="F234" s="179"/>
      <c r="G234" s="199"/>
      <c r="H234" s="23"/>
      <c r="J234" s="142"/>
    </row>
    <row r="235" spans="1:10" s="17" customFormat="1">
      <c r="A235" s="53"/>
      <c r="B235" s="4"/>
      <c r="C235" s="15"/>
      <c r="D235" s="159"/>
      <c r="E235" s="159"/>
      <c r="F235" s="179"/>
      <c r="G235" s="199"/>
      <c r="H235" s="23"/>
      <c r="J235" s="142"/>
    </row>
    <row r="236" spans="1:10" s="17" customFormat="1">
      <c r="A236" s="53"/>
      <c r="B236" s="4"/>
      <c r="C236" s="15"/>
      <c r="D236" s="159"/>
      <c r="E236" s="159"/>
      <c r="F236" s="179"/>
      <c r="G236" s="199"/>
      <c r="H236" s="23"/>
      <c r="J236" s="142"/>
    </row>
    <row r="237" spans="1:10" s="17" customFormat="1">
      <c r="A237" s="53"/>
      <c r="B237" s="4"/>
      <c r="C237" s="15"/>
      <c r="D237" s="159"/>
      <c r="E237" s="159"/>
      <c r="F237" s="179"/>
      <c r="G237" s="199"/>
      <c r="H237" s="23"/>
      <c r="J237" s="142"/>
    </row>
    <row r="238" spans="1:10" s="17" customFormat="1">
      <c r="A238" s="53"/>
      <c r="B238" s="4"/>
      <c r="C238" s="15"/>
      <c r="D238" s="159"/>
      <c r="E238" s="159"/>
      <c r="F238" s="179"/>
      <c r="G238" s="199"/>
      <c r="H238" s="23"/>
      <c r="J238" s="142"/>
    </row>
    <row r="239" spans="1:10" s="17" customFormat="1">
      <c r="A239" s="53"/>
      <c r="B239" s="4"/>
      <c r="C239" s="15"/>
      <c r="D239" s="159"/>
      <c r="E239" s="159"/>
      <c r="F239" s="179"/>
      <c r="G239" s="199"/>
      <c r="H239" s="23"/>
      <c r="J239" s="142"/>
    </row>
    <row r="240" spans="1:10" s="17" customFormat="1">
      <c r="A240" s="53"/>
      <c r="B240" s="4"/>
      <c r="C240" s="15"/>
      <c r="D240" s="159"/>
      <c r="E240" s="159"/>
      <c r="F240" s="179"/>
      <c r="G240" s="199"/>
      <c r="H240" s="23"/>
      <c r="J240" s="142"/>
    </row>
    <row r="241" spans="1:10" s="17" customFormat="1">
      <c r="A241" s="53"/>
      <c r="B241" s="4"/>
      <c r="C241" s="15"/>
      <c r="D241" s="159"/>
      <c r="E241" s="159"/>
      <c r="F241" s="179"/>
      <c r="G241" s="199"/>
      <c r="H241" s="23"/>
      <c r="J241" s="142"/>
    </row>
    <row r="242" spans="1:10" s="17" customFormat="1">
      <c r="A242" s="53"/>
      <c r="B242" s="4"/>
      <c r="C242" s="15"/>
      <c r="D242" s="159"/>
      <c r="E242" s="159"/>
      <c r="F242" s="179"/>
      <c r="G242" s="199"/>
      <c r="H242" s="23"/>
      <c r="J242" s="142"/>
    </row>
    <row r="243" spans="1:10" s="17" customFormat="1">
      <c r="A243" s="53"/>
      <c r="B243" s="4"/>
      <c r="C243" s="15"/>
      <c r="D243" s="159"/>
      <c r="E243" s="159"/>
      <c r="F243" s="179"/>
      <c r="G243" s="199"/>
      <c r="H243" s="23"/>
      <c r="J243" s="142"/>
    </row>
    <row r="244" spans="1:10" s="17" customFormat="1">
      <c r="A244" s="53"/>
      <c r="B244" s="4"/>
      <c r="C244" s="15"/>
      <c r="D244" s="159"/>
      <c r="E244" s="159"/>
      <c r="F244" s="179"/>
      <c r="G244" s="199"/>
      <c r="H244" s="23"/>
      <c r="J244" s="142"/>
    </row>
    <row r="245" spans="1:10" s="17" customFormat="1">
      <c r="A245" s="53"/>
      <c r="B245" s="4"/>
      <c r="C245" s="15"/>
      <c r="D245" s="159"/>
      <c r="E245" s="159"/>
      <c r="F245" s="179"/>
      <c r="G245" s="199"/>
      <c r="H245" s="23"/>
      <c r="J245" s="142"/>
    </row>
    <row r="246" spans="1:10" s="17" customFormat="1">
      <c r="A246" s="53"/>
      <c r="B246" s="4"/>
      <c r="C246" s="15"/>
      <c r="D246" s="159"/>
      <c r="E246" s="159"/>
      <c r="F246" s="179"/>
      <c r="G246" s="199"/>
      <c r="H246" s="23"/>
      <c r="J246" s="142"/>
    </row>
    <row r="247" spans="1:10" s="17" customFormat="1">
      <c r="A247" s="53"/>
      <c r="B247" s="4"/>
      <c r="C247" s="15"/>
      <c r="D247" s="159"/>
      <c r="E247" s="159"/>
      <c r="F247" s="179"/>
      <c r="G247" s="199"/>
      <c r="H247" s="23"/>
      <c r="J247" s="142"/>
    </row>
    <row r="248" spans="1:10" s="17" customFormat="1">
      <c r="A248" s="53"/>
      <c r="B248" s="4"/>
      <c r="C248" s="15"/>
      <c r="D248" s="159"/>
      <c r="E248" s="159"/>
      <c r="F248" s="179"/>
      <c r="G248" s="199"/>
      <c r="H248" s="23"/>
      <c r="J248" s="142"/>
    </row>
    <row r="249" spans="1:10" s="17" customFormat="1">
      <c r="A249" s="53"/>
      <c r="B249" s="4"/>
      <c r="C249" s="15"/>
      <c r="D249" s="159"/>
      <c r="E249" s="159"/>
      <c r="F249" s="179"/>
      <c r="G249" s="199"/>
      <c r="H249" s="23"/>
      <c r="J249" s="142"/>
    </row>
    <row r="250" spans="1:10" s="17" customFormat="1">
      <c r="A250" s="53"/>
      <c r="B250" s="4"/>
      <c r="C250" s="15"/>
      <c r="D250" s="159"/>
      <c r="E250" s="159"/>
      <c r="F250" s="179"/>
      <c r="G250" s="199"/>
      <c r="H250" s="23"/>
      <c r="J250" s="142"/>
    </row>
    <row r="251" spans="1:10" s="17" customFormat="1">
      <c r="A251" s="53"/>
      <c r="B251" s="4"/>
      <c r="C251" s="15"/>
      <c r="D251" s="159"/>
      <c r="E251" s="159"/>
      <c r="F251" s="179"/>
      <c r="G251" s="199"/>
      <c r="H251" s="23"/>
      <c r="J251" s="142"/>
    </row>
    <row r="252" spans="1:10" s="17" customFormat="1">
      <c r="A252" s="53"/>
      <c r="B252" s="4"/>
      <c r="C252" s="15"/>
      <c r="D252" s="159"/>
      <c r="E252" s="159"/>
      <c r="F252" s="179"/>
      <c r="G252" s="199"/>
      <c r="H252" s="23"/>
      <c r="J252" s="142"/>
    </row>
    <row r="253" spans="1:10" s="17" customFormat="1">
      <c r="A253" s="53"/>
      <c r="B253" s="4"/>
      <c r="C253" s="15"/>
      <c r="D253" s="159"/>
      <c r="E253" s="159"/>
      <c r="F253" s="179"/>
      <c r="G253" s="199"/>
      <c r="H253" s="23"/>
      <c r="J253" s="142"/>
    </row>
    <row r="254" spans="1:10" s="17" customFormat="1">
      <c r="A254" s="53"/>
      <c r="B254" s="4"/>
      <c r="C254" s="15"/>
      <c r="D254" s="159"/>
      <c r="E254" s="159"/>
      <c r="F254" s="179"/>
      <c r="G254" s="199"/>
      <c r="H254" s="23"/>
      <c r="J254" s="142"/>
    </row>
    <row r="255" spans="1:10" s="17" customFormat="1">
      <c r="A255" s="53"/>
      <c r="B255" s="4"/>
      <c r="C255" s="15"/>
      <c r="D255" s="159"/>
      <c r="E255" s="159"/>
      <c r="F255" s="179"/>
      <c r="G255" s="199"/>
      <c r="H255" s="23"/>
      <c r="J255" s="142"/>
    </row>
    <row r="256" spans="1:10" s="17" customFormat="1">
      <c r="A256" s="53"/>
      <c r="B256" s="4"/>
      <c r="C256" s="15"/>
      <c r="D256" s="159"/>
      <c r="E256" s="159"/>
      <c r="F256" s="179"/>
      <c r="G256" s="199"/>
      <c r="H256" s="23"/>
      <c r="J256" s="142"/>
    </row>
    <row r="257" spans="1:10" s="17" customFormat="1">
      <c r="A257" s="53"/>
      <c r="B257" s="4"/>
      <c r="C257" s="15"/>
      <c r="D257" s="159"/>
      <c r="E257" s="159"/>
      <c r="F257" s="179"/>
      <c r="G257" s="199"/>
      <c r="H257" s="23"/>
      <c r="J257" s="142"/>
    </row>
    <row r="258" spans="1:10" s="17" customFormat="1">
      <c r="A258" s="53"/>
      <c r="B258" s="4"/>
      <c r="C258" s="15"/>
      <c r="D258" s="159"/>
      <c r="E258" s="159"/>
      <c r="F258" s="179"/>
      <c r="G258" s="199"/>
      <c r="H258" s="23"/>
      <c r="J258" s="142"/>
    </row>
    <row r="259" spans="1:10" s="17" customFormat="1">
      <c r="A259" s="53"/>
      <c r="B259" s="4"/>
      <c r="C259" s="15"/>
      <c r="D259" s="159"/>
      <c r="E259" s="159"/>
      <c r="F259" s="179"/>
      <c r="G259" s="199"/>
      <c r="H259" s="23"/>
      <c r="J259" s="142"/>
    </row>
    <row r="260" spans="1:10" s="17" customFormat="1">
      <c r="A260" s="53"/>
      <c r="B260" s="4"/>
      <c r="C260" s="15"/>
      <c r="D260" s="159"/>
      <c r="E260" s="159"/>
      <c r="F260" s="179"/>
      <c r="G260" s="199"/>
      <c r="H260" s="23"/>
      <c r="J260" s="142"/>
    </row>
    <row r="261" spans="1:10" s="17" customFormat="1">
      <c r="A261" s="53"/>
      <c r="B261" s="4"/>
      <c r="C261" s="15"/>
      <c r="D261" s="159"/>
      <c r="E261" s="159"/>
      <c r="F261" s="179"/>
      <c r="G261" s="199"/>
      <c r="H261" s="23"/>
      <c r="J261" s="142"/>
    </row>
    <row r="262" spans="1:10" s="17" customFormat="1">
      <c r="A262" s="53"/>
      <c r="B262" s="4"/>
      <c r="C262" s="15"/>
      <c r="D262" s="159"/>
      <c r="E262" s="159"/>
      <c r="F262" s="179"/>
      <c r="G262" s="199"/>
      <c r="H262" s="23"/>
      <c r="J262" s="142"/>
    </row>
    <row r="263" spans="1:10" s="17" customFormat="1">
      <c r="A263" s="53"/>
      <c r="B263" s="4"/>
      <c r="C263" s="15"/>
      <c r="D263" s="159"/>
      <c r="E263" s="159"/>
      <c r="F263" s="179"/>
      <c r="G263" s="199"/>
      <c r="H263" s="23"/>
      <c r="J263" s="142"/>
    </row>
    <row r="264" spans="1:10" s="17" customFormat="1">
      <c r="A264" s="53"/>
      <c r="B264" s="4"/>
      <c r="C264" s="15"/>
      <c r="D264" s="159"/>
      <c r="E264" s="159"/>
      <c r="F264" s="179"/>
      <c r="G264" s="199"/>
      <c r="H264" s="23"/>
      <c r="J264" s="142"/>
    </row>
    <row r="265" spans="1:10" s="17" customFormat="1">
      <c r="A265" s="53"/>
      <c r="B265" s="4"/>
      <c r="C265" s="15"/>
      <c r="D265" s="159"/>
      <c r="E265" s="159"/>
      <c r="F265" s="179"/>
      <c r="G265" s="199"/>
      <c r="H265" s="23"/>
      <c r="J265" s="142"/>
    </row>
    <row r="266" spans="1:10" s="17" customFormat="1">
      <c r="A266" s="53"/>
      <c r="B266" s="4"/>
      <c r="C266" s="15"/>
      <c r="D266" s="159"/>
      <c r="E266" s="159"/>
      <c r="F266" s="179"/>
      <c r="G266" s="199"/>
      <c r="H266" s="23"/>
      <c r="J266" s="142"/>
    </row>
    <row r="267" spans="1:10" s="17" customFormat="1">
      <c r="A267" s="53"/>
      <c r="B267" s="4"/>
      <c r="C267" s="15"/>
      <c r="D267" s="159"/>
      <c r="E267" s="159"/>
      <c r="F267" s="179"/>
      <c r="G267" s="199"/>
      <c r="H267" s="23"/>
      <c r="J267" s="142"/>
    </row>
    <row r="268" spans="1:10" s="17" customFormat="1">
      <c r="A268" s="53"/>
      <c r="B268" s="4"/>
      <c r="C268" s="15"/>
      <c r="D268" s="159"/>
      <c r="E268" s="159"/>
      <c r="F268" s="179"/>
      <c r="G268" s="199"/>
      <c r="H268" s="23"/>
      <c r="J268" s="142"/>
    </row>
    <row r="269" spans="1:10" s="17" customFormat="1">
      <c r="A269" s="53"/>
      <c r="B269" s="4"/>
      <c r="C269" s="15"/>
      <c r="D269" s="159"/>
      <c r="E269" s="159"/>
      <c r="F269" s="179"/>
      <c r="G269" s="199"/>
      <c r="H269" s="23"/>
      <c r="J269" s="142"/>
    </row>
    <row r="270" spans="1:10" s="17" customFormat="1">
      <c r="A270" s="53"/>
      <c r="B270" s="4"/>
      <c r="C270" s="15"/>
      <c r="D270" s="159"/>
      <c r="E270" s="159"/>
      <c r="F270" s="179"/>
      <c r="G270" s="199"/>
      <c r="H270" s="23"/>
      <c r="J270" s="142"/>
    </row>
    <row r="271" spans="1:10" s="17" customFormat="1">
      <c r="A271" s="53"/>
      <c r="B271" s="4"/>
      <c r="C271" s="15"/>
      <c r="D271" s="159"/>
      <c r="E271" s="159"/>
      <c r="F271" s="179"/>
      <c r="G271" s="199"/>
      <c r="H271" s="23"/>
      <c r="J271" s="142"/>
    </row>
    <row r="272" spans="1:10" s="17" customFormat="1">
      <c r="A272" s="53"/>
      <c r="B272" s="4"/>
      <c r="C272" s="15"/>
      <c r="D272" s="159"/>
      <c r="E272" s="159"/>
      <c r="F272" s="179"/>
      <c r="G272" s="199"/>
      <c r="H272" s="23"/>
      <c r="J272" s="142"/>
    </row>
    <row r="273" spans="1:10" s="17" customFormat="1">
      <c r="A273" s="53"/>
      <c r="B273" s="4"/>
      <c r="C273" s="15"/>
      <c r="D273" s="159"/>
      <c r="E273" s="159"/>
      <c r="F273" s="179"/>
      <c r="G273" s="199"/>
      <c r="H273" s="23"/>
      <c r="J273" s="142"/>
    </row>
    <row r="274" spans="1:10" s="17" customFormat="1">
      <c r="A274" s="53"/>
      <c r="B274" s="4"/>
      <c r="C274" s="15"/>
      <c r="D274" s="159"/>
      <c r="E274" s="159"/>
      <c r="F274" s="179"/>
      <c r="G274" s="199"/>
      <c r="H274" s="23"/>
      <c r="J274" s="142"/>
    </row>
    <row r="275" spans="1:10" s="17" customFormat="1">
      <c r="A275" s="53"/>
      <c r="B275" s="4"/>
      <c r="C275" s="15"/>
      <c r="D275" s="159"/>
      <c r="E275" s="159"/>
      <c r="F275" s="179"/>
      <c r="G275" s="199"/>
      <c r="H275" s="23"/>
      <c r="J275" s="142"/>
    </row>
    <row r="276" spans="1:10" s="17" customFormat="1">
      <c r="A276" s="53"/>
      <c r="B276" s="4"/>
      <c r="C276" s="15"/>
      <c r="D276" s="159"/>
      <c r="E276" s="159"/>
      <c r="F276" s="179"/>
      <c r="G276" s="199"/>
      <c r="H276" s="23"/>
      <c r="J276" s="142"/>
    </row>
    <row r="277" spans="1:10" s="17" customFormat="1">
      <c r="A277" s="53"/>
      <c r="B277" s="4"/>
      <c r="C277" s="15"/>
      <c r="D277" s="159"/>
      <c r="E277" s="159"/>
      <c r="F277" s="179"/>
      <c r="G277" s="199"/>
      <c r="H277" s="23"/>
      <c r="J277" s="142"/>
    </row>
    <row r="278" spans="1:10" s="17" customFormat="1">
      <c r="A278" s="53"/>
      <c r="B278" s="4"/>
      <c r="C278" s="15"/>
      <c r="D278" s="159"/>
      <c r="E278" s="159"/>
      <c r="F278" s="179"/>
      <c r="G278" s="199"/>
      <c r="H278" s="23"/>
      <c r="J278" s="142"/>
    </row>
    <row r="279" spans="1:10" s="17" customFormat="1">
      <c r="A279" s="53"/>
      <c r="B279" s="4"/>
      <c r="C279" s="15"/>
      <c r="D279" s="159"/>
      <c r="E279" s="159"/>
      <c r="F279" s="179"/>
      <c r="G279" s="199"/>
      <c r="H279" s="23"/>
      <c r="J279" s="142"/>
    </row>
    <row r="280" spans="1:10" s="17" customFormat="1">
      <c r="A280" s="53"/>
      <c r="B280" s="4"/>
      <c r="C280" s="15"/>
      <c r="D280" s="159"/>
      <c r="E280" s="159"/>
      <c r="F280" s="179"/>
      <c r="G280" s="199"/>
      <c r="H280" s="23"/>
      <c r="J280" s="142"/>
    </row>
    <row r="281" spans="1:10" s="17" customFormat="1">
      <c r="A281" s="53"/>
      <c r="B281" s="4"/>
      <c r="C281" s="15"/>
      <c r="D281" s="159"/>
      <c r="E281" s="159"/>
      <c r="F281" s="179"/>
      <c r="G281" s="199"/>
      <c r="H281" s="23"/>
      <c r="J281" s="142"/>
    </row>
    <row r="282" spans="1:10" s="17" customFormat="1">
      <c r="A282" s="53"/>
      <c r="B282" s="4"/>
      <c r="C282" s="15"/>
      <c r="D282" s="159"/>
      <c r="E282" s="159"/>
      <c r="F282" s="179"/>
      <c r="G282" s="199"/>
      <c r="H282" s="23"/>
      <c r="J282" s="142"/>
    </row>
    <row r="283" spans="1:10" s="17" customFormat="1">
      <c r="A283" s="53"/>
      <c r="B283" s="4"/>
      <c r="C283" s="15"/>
      <c r="D283" s="159"/>
      <c r="E283" s="159"/>
      <c r="F283" s="179"/>
      <c r="G283" s="199"/>
      <c r="H283" s="23"/>
      <c r="J283" s="142"/>
    </row>
    <row r="284" spans="1:10" s="17" customFormat="1">
      <c r="A284" s="53"/>
      <c r="B284" s="4"/>
      <c r="C284" s="15"/>
      <c r="D284" s="159"/>
      <c r="E284" s="159"/>
      <c r="F284" s="179"/>
      <c r="G284" s="199"/>
      <c r="H284" s="23"/>
      <c r="J284" s="142"/>
    </row>
    <row r="285" spans="1:10" s="17" customFormat="1">
      <c r="A285" s="53"/>
      <c r="B285" s="4"/>
      <c r="C285" s="15"/>
      <c r="D285" s="159"/>
      <c r="E285" s="159"/>
      <c r="F285" s="179"/>
      <c r="G285" s="199"/>
      <c r="H285" s="23"/>
      <c r="J285" s="142"/>
    </row>
    <row r="286" spans="1:10" s="17" customFormat="1">
      <c r="A286" s="53"/>
      <c r="B286" s="4"/>
      <c r="C286" s="15"/>
      <c r="D286" s="159"/>
      <c r="E286" s="159"/>
      <c r="F286" s="179"/>
      <c r="G286" s="199"/>
      <c r="H286" s="23"/>
      <c r="J286" s="142"/>
    </row>
    <row r="287" spans="1:10" s="17" customFormat="1">
      <c r="A287" s="53"/>
      <c r="B287" s="4"/>
      <c r="C287" s="15"/>
      <c r="D287" s="159"/>
      <c r="E287" s="159"/>
      <c r="F287" s="179"/>
      <c r="G287" s="199"/>
      <c r="H287" s="23"/>
      <c r="J287" s="142"/>
    </row>
    <row r="288" spans="1:10" s="17" customFormat="1">
      <c r="A288" s="53"/>
      <c r="B288" s="4"/>
      <c r="C288" s="15"/>
      <c r="D288" s="159"/>
      <c r="E288" s="159"/>
      <c r="F288" s="179"/>
      <c r="G288" s="199"/>
      <c r="H288" s="23"/>
      <c r="J288" s="142"/>
    </row>
    <row r="289" spans="1:10" s="17" customFormat="1">
      <c r="A289" s="53"/>
      <c r="B289" s="4"/>
      <c r="C289" s="15"/>
      <c r="D289" s="159"/>
      <c r="E289" s="159"/>
      <c r="F289" s="179"/>
      <c r="G289" s="199"/>
      <c r="H289" s="23"/>
      <c r="J289" s="142"/>
    </row>
    <row r="290" spans="1:10" s="17" customFormat="1">
      <c r="A290" s="53"/>
      <c r="B290" s="4"/>
      <c r="C290" s="15"/>
      <c r="D290" s="159"/>
      <c r="E290" s="159"/>
      <c r="F290" s="179"/>
      <c r="G290" s="199"/>
      <c r="H290" s="23"/>
      <c r="J290" s="142"/>
    </row>
    <row r="291" spans="1:10" s="17" customFormat="1">
      <c r="A291" s="53"/>
      <c r="B291" s="4"/>
      <c r="C291" s="15"/>
      <c r="D291" s="159"/>
      <c r="E291" s="159"/>
      <c r="F291" s="179"/>
      <c r="G291" s="199"/>
      <c r="H291" s="23"/>
      <c r="J291" s="142"/>
    </row>
    <row r="292" spans="1:10" s="17" customFormat="1">
      <c r="A292" s="53"/>
      <c r="B292" s="4"/>
      <c r="C292" s="15"/>
      <c r="D292" s="159"/>
      <c r="E292" s="159"/>
      <c r="F292" s="179"/>
      <c r="G292" s="199"/>
      <c r="H292" s="23"/>
      <c r="J292" s="142"/>
    </row>
    <row r="293" spans="1:10" s="17" customFormat="1">
      <c r="A293" s="53"/>
      <c r="B293" s="4"/>
      <c r="C293" s="15"/>
      <c r="D293" s="159"/>
      <c r="E293" s="159"/>
      <c r="F293" s="179"/>
      <c r="G293" s="199"/>
      <c r="H293" s="23"/>
      <c r="J293" s="142"/>
    </row>
    <row r="294" spans="1:10" s="17" customFormat="1">
      <c r="A294" s="53"/>
      <c r="B294" s="4"/>
      <c r="C294" s="15"/>
      <c r="D294" s="159"/>
      <c r="E294" s="159"/>
      <c r="F294" s="179"/>
      <c r="G294" s="199"/>
      <c r="H294" s="23"/>
      <c r="J294" s="142"/>
    </row>
    <row r="295" spans="1:10" s="17" customFormat="1">
      <c r="A295" s="53"/>
      <c r="B295" s="4"/>
      <c r="C295" s="15"/>
      <c r="D295" s="159"/>
      <c r="E295" s="159"/>
      <c r="F295" s="179"/>
      <c r="G295" s="199"/>
      <c r="H295" s="23"/>
      <c r="J295" s="142"/>
    </row>
    <row r="296" spans="1:10" s="17" customFormat="1">
      <c r="A296" s="53"/>
      <c r="B296" s="4"/>
      <c r="C296" s="15"/>
      <c r="D296" s="159"/>
      <c r="E296" s="159"/>
      <c r="F296" s="179"/>
      <c r="G296" s="199"/>
      <c r="H296" s="23"/>
      <c r="J296" s="142"/>
    </row>
    <row r="297" spans="1:10" s="17" customFormat="1">
      <c r="A297" s="53"/>
      <c r="B297" s="4"/>
      <c r="C297" s="15"/>
      <c r="D297" s="159"/>
      <c r="E297" s="159"/>
      <c r="F297" s="179"/>
      <c r="G297" s="199"/>
      <c r="H297" s="23"/>
      <c r="J297" s="142"/>
    </row>
    <row r="298" spans="1:10" s="17" customFormat="1">
      <c r="A298" s="53"/>
      <c r="B298" s="4"/>
      <c r="C298" s="15"/>
      <c r="D298" s="159"/>
      <c r="E298" s="159"/>
      <c r="F298" s="179"/>
      <c r="G298" s="199"/>
      <c r="H298" s="23"/>
      <c r="J298" s="142"/>
    </row>
    <row r="299" spans="1:10" s="17" customFormat="1">
      <c r="A299" s="53"/>
      <c r="B299" s="4"/>
      <c r="C299" s="15"/>
      <c r="D299" s="159"/>
      <c r="E299" s="159"/>
      <c r="F299" s="179"/>
      <c r="G299" s="199"/>
      <c r="H299" s="23"/>
      <c r="J299" s="142"/>
    </row>
    <row r="300" spans="1:10" s="17" customFormat="1">
      <c r="A300" s="53"/>
      <c r="B300" s="4"/>
      <c r="C300" s="15"/>
      <c r="D300" s="159"/>
      <c r="E300" s="159"/>
      <c r="F300" s="179"/>
      <c r="G300" s="199"/>
      <c r="H300" s="23"/>
      <c r="J300" s="142"/>
    </row>
    <row r="301" spans="1:10" s="17" customFormat="1">
      <c r="A301" s="53"/>
      <c r="B301" s="4"/>
      <c r="C301" s="15"/>
      <c r="D301" s="159"/>
      <c r="E301" s="159"/>
      <c r="F301" s="179"/>
      <c r="G301" s="199"/>
      <c r="H301" s="23"/>
      <c r="J301" s="142"/>
    </row>
    <row r="302" spans="1:10" s="17" customFormat="1">
      <c r="A302" s="53"/>
      <c r="B302" s="4"/>
      <c r="C302" s="15"/>
      <c r="D302" s="159"/>
      <c r="E302" s="159"/>
      <c r="F302" s="179"/>
      <c r="G302" s="199"/>
      <c r="H302" s="23"/>
      <c r="J302" s="142"/>
    </row>
    <row r="303" spans="1:10" s="17" customFormat="1">
      <c r="A303" s="53"/>
      <c r="B303" s="4"/>
      <c r="C303" s="15"/>
      <c r="D303" s="159"/>
      <c r="E303" s="159"/>
      <c r="F303" s="179"/>
      <c r="G303" s="199"/>
      <c r="H303" s="23"/>
      <c r="J303" s="142"/>
    </row>
    <row r="304" spans="1:10" s="17" customFormat="1">
      <c r="A304" s="53"/>
      <c r="B304" s="4"/>
      <c r="C304" s="15"/>
      <c r="D304" s="159"/>
      <c r="E304" s="159"/>
      <c r="F304" s="179"/>
      <c r="G304" s="199"/>
      <c r="H304" s="23"/>
      <c r="J304" s="142"/>
    </row>
    <row r="305" spans="1:10" s="17" customFormat="1">
      <c r="A305" s="53"/>
      <c r="B305" s="4"/>
      <c r="C305" s="15"/>
      <c r="D305" s="159"/>
      <c r="E305" s="159"/>
      <c r="F305" s="179"/>
      <c r="G305" s="199"/>
      <c r="H305" s="23"/>
      <c r="J305" s="142"/>
    </row>
    <row r="306" spans="1:10" s="17" customFormat="1">
      <c r="A306" s="53"/>
      <c r="B306" s="4"/>
      <c r="C306" s="15"/>
      <c r="D306" s="159"/>
      <c r="E306" s="159"/>
      <c r="F306" s="179"/>
      <c r="G306" s="199"/>
      <c r="H306" s="23"/>
      <c r="J306" s="142"/>
    </row>
    <row r="307" spans="1:10" s="17" customFormat="1">
      <c r="A307" s="53"/>
      <c r="B307" s="4"/>
      <c r="C307" s="15"/>
      <c r="D307" s="159"/>
      <c r="E307" s="159"/>
      <c r="F307" s="179"/>
      <c r="G307" s="199"/>
      <c r="H307" s="23"/>
      <c r="J307" s="142"/>
    </row>
    <row r="308" spans="1:10" s="17" customFormat="1">
      <c r="A308" s="53"/>
      <c r="B308" s="4"/>
      <c r="C308" s="15"/>
      <c r="D308" s="159"/>
      <c r="E308" s="159"/>
      <c r="F308" s="179"/>
      <c r="G308" s="199"/>
      <c r="H308" s="23"/>
      <c r="J308" s="142"/>
    </row>
    <row r="309" spans="1:10" s="17" customFormat="1">
      <c r="A309" s="53"/>
      <c r="B309" s="4"/>
      <c r="C309" s="15"/>
      <c r="D309" s="159"/>
      <c r="E309" s="159"/>
      <c r="F309" s="179"/>
      <c r="G309" s="199"/>
      <c r="H309" s="23"/>
      <c r="J309" s="142"/>
    </row>
    <row r="310" spans="1:10" s="17" customFormat="1">
      <c r="A310" s="53"/>
      <c r="B310" s="4"/>
      <c r="C310" s="15"/>
      <c r="D310" s="159"/>
      <c r="E310" s="159"/>
      <c r="F310" s="179"/>
      <c r="G310" s="199"/>
      <c r="H310" s="23"/>
      <c r="J310" s="142"/>
    </row>
    <row r="311" spans="1:10" s="17" customFormat="1">
      <c r="A311" s="53"/>
      <c r="B311" s="4"/>
      <c r="C311" s="15"/>
      <c r="D311" s="159"/>
      <c r="E311" s="159"/>
      <c r="F311" s="179"/>
      <c r="G311" s="199"/>
      <c r="H311" s="23"/>
      <c r="J311" s="142"/>
    </row>
    <row r="312" spans="1:10" s="17" customFormat="1">
      <c r="A312" s="53"/>
      <c r="B312" s="4"/>
      <c r="C312" s="15"/>
      <c r="D312" s="159"/>
      <c r="E312" s="159"/>
      <c r="F312" s="179"/>
      <c r="G312" s="199"/>
      <c r="H312" s="23"/>
      <c r="J312" s="142"/>
    </row>
    <row r="313" spans="1:10" s="17" customFormat="1">
      <c r="A313" s="53"/>
      <c r="B313" s="4"/>
      <c r="C313" s="15"/>
      <c r="D313" s="159"/>
      <c r="E313" s="159"/>
      <c r="F313" s="179"/>
      <c r="G313" s="199"/>
      <c r="H313" s="23"/>
      <c r="J313" s="142"/>
    </row>
    <row r="314" spans="1:10" s="17" customFormat="1">
      <c r="A314" s="53"/>
      <c r="B314" s="4"/>
      <c r="C314" s="15"/>
      <c r="D314" s="159"/>
      <c r="E314" s="159"/>
      <c r="F314" s="179"/>
      <c r="G314" s="199"/>
      <c r="H314" s="23"/>
      <c r="J314" s="142"/>
    </row>
    <row r="315" spans="1:10" s="17" customFormat="1">
      <c r="A315" s="53"/>
      <c r="B315" s="4"/>
      <c r="C315" s="15"/>
      <c r="D315" s="159"/>
      <c r="E315" s="159"/>
      <c r="F315" s="179"/>
      <c r="G315" s="199"/>
      <c r="H315" s="23"/>
      <c r="J315" s="142"/>
    </row>
    <row r="316" spans="1:10" s="17" customFormat="1">
      <c r="A316" s="53"/>
      <c r="B316" s="4"/>
      <c r="C316" s="15"/>
      <c r="D316" s="159"/>
      <c r="E316" s="159"/>
      <c r="F316" s="179"/>
      <c r="G316" s="199"/>
      <c r="H316" s="23"/>
      <c r="J316" s="142"/>
    </row>
    <row r="317" spans="1:10" s="17" customFormat="1">
      <c r="A317" s="53"/>
      <c r="B317" s="4"/>
      <c r="C317" s="15"/>
      <c r="D317" s="159"/>
      <c r="E317" s="159"/>
      <c r="F317" s="179"/>
      <c r="G317" s="199"/>
      <c r="H317" s="23"/>
      <c r="J317" s="142"/>
    </row>
    <row r="318" spans="1:10" s="17" customFormat="1">
      <c r="A318" s="53"/>
      <c r="B318" s="4"/>
      <c r="C318" s="15"/>
      <c r="D318" s="159"/>
      <c r="E318" s="159"/>
      <c r="F318" s="179"/>
      <c r="G318" s="199"/>
      <c r="H318" s="23"/>
      <c r="J318" s="142"/>
    </row>
    <row r="319" spans="1:10" s="17" customFormat="1">
      <c r="A319" s="53"/>
      <c r="B319" s="4"/>
      <c r="C319" s="15"/>
      <c r="D319" s="159"/>
      <c r="E319" s="159"/>
      <c r="F319" s="179"/>
      <c r="G319" s="199"/>
      <c r="H319" s="23"/>
      <c r="J319" s="142"/>
    </row>
    <row r="320" spans="1:10" s="17" customFormat="1">
      <c r="A320" s="53"/>
      <c r="B320" s="4"/>
      <c r="C320" s="15"/>
      <c r="D320" s="159"/>
      <c r="E320" s="159"/>
      <c r="F320" s="179"/>
      <c r="G320" s="199"/>
      <c r="H320" s="23"/>
      <c r="J320" s="142"/>
    </row>
    <row r="321" spans="1:10" s="17" customFormat="1">
      <c r="A321" s="53"/>
      <c r="B321" s="4"/>
      <c r="C321" s="15"/>
      <c r="D321" s="159"/>
      <c r="E321" s="159"/>
      <c r="F321" s="179"/>
      <c r="G321" s="199"/>
      <c r="H321" s="23"/>
      <c r="J321" s="142"/>
    </row>
    <row r="322" spans="1:10" s="17" customFormat="1">
      <c r="A322" s="53"/>
      <c r="B322" s="4"/>
      <c r="C322" s="15"/>
      <c r="D322" s="159"/>
      <c r="E322" s="159"/>
      <c r="F322" s="179"/>
      <c r="G322" s="199"/>
      <c r="H322" s="23"/>
      <c r="J322" s="142"/>
    </row>
    <row r="323" spans="1:10" s="17" customFormat="1">
      <c r="A323" s="53"/>
      <c r="B323" s="4"/>
      <c r="C323" s="15"/>
      <c r="D323" s="159"/>
      <c r="E323" s="159"/>
      <c r="F323" s="179"/>
      <c r="G323" s="199"/>
      <c r="H323" s="23"/>
      <c r="J323" s="142"/>
    </row>
    <row r="324" spans="1:10" s="17" customFormat="1">
      <c r="A324" s="53"/>
      <c r="B324" s="4"/>
      <c r="C324" s="15"/>
      <c r="D324" s="159"/>
      <c r="E324" s="159"/>
      <c r="F324" s="179"/>
      <c r="G324" s="199"/>
      <c r="H324" s="23"/>
      <c r="J324" s="142"/>
    </row>
    <row r="325" spans="1:10" s="17" customFormat="1">
      <c r="A325" s="53"/>
      <c r="B325" s="4"/>
      <c r="C325" s="15"/>
      <c r="D325" s="159"/>
      <c r="E325" s="159"/>
      <c r="F325" s="179"/>
      <c r="G325" s="199"/>
      <c r="H325" s="23"/>
      <c r="J325" s="142"/>
    </row>
    <row r="326" spans="1:10" s="17" customFormat="1">
      <c r="A326" s="53"/>
      <c r="B326" s="4"/>
      <c r="C326" s="15"/>
      <c r="D326" s="159"/>
      <c r="E326" s="159"/>
      <c r="F326" s="179"/>
      <c r="G326" s="199"/>
      <c r="H326" s="23"/>
      <c r="J326" s="142"/>
    </row>
    <row r="327" spans="1:10" s="17" customFormat="1">
      <c r="A327" s="53"/>
      <c r="B327" s="4"/>
      <c r="C327" s="4"/>
      <c r="D327" s="179"/>
      <c r="E327" s="179"/>
      <c r="F327" s="179"/>
      <c r="G327" s="199"/>
      <c r="H327" s="23"/>
      <c r="J327" s="142"/>
    </row>
    <row r="328" spans="1:10" s="17" customFormat="1">
      <c r="A328" s="51"/>
      <c r="C328" s="4"/>
      <c r="D328" s="179"/>
      <c r="E328" s="179"/>
      <c r="F328" s="179"/>
      <c r="G328" s="199"/>
      <c r="H328" s="23"/>
      <c r="J328" s="142"/>
    </row>
    <row r="329" spans="1:10" s="17" customFormat="1">
      <c r="A329" s="51"/>
      <c r="C329" s="4"/>
      <c r="D329" s="179"/>
      <c r="E329" s="179"/>
      <c r="F329" s="179"/>
      <c r="G329" s="199"/>
      <c r="H329" s="23"/>
      <c r="J329" s="142"/>
    </row>
    <row r="330" spans="1:10" s="17" customFormat="1">
      <c r="A330" s="51"/>
      <c r="C330" s="4"/>
      <c r="D330" s="179"/>
      <c r="E330" s="179"/>
      <c r="F330" s="179"/>
      <c r="G330" s="199"/>
      <c r="H330" s="23"/>
      <c r="J330" s="142"/>
    </row>
    <row r="331" spans="1:10" s="17" customFormat="1">
      <c r="A331" s="51"/>
      <c r="C331" s="4"/>
      <c r="D331" s="179"/>
      <c r="E331" s="179"/>
      <c r="F331" s="179"/>
      <c r="G331" s="199"/>
      <c r="H331" s="23"/>
      <c r="J331" s="142"/>
    </row>
    <row r="332" spans="1:10" s="17" customFormat="1">
      <c r="A332" s="51"/>
      <c r="C332" s="4"/>
      <c r="D332" s="179"/>
      <c r="E332" s="179"/>
      <c r="F332" s="179"/>
      <c r="G332" s="199"/>
      <c r="H332" s="23"/>
      <c r="J332" s="142"/>
    </row>
    <row r="333" spans="1:10" s="17" customFormat="1">
      <c r="A333" s="51"/>
      <c r="C333" s="4"/>
      <c r="D333" s="179"/>
      <c r="E333" s="179"/>
      <c r="F333" s="179"/>
      <c r="G333" s="199"/>
      <c r="H333" s="23"/>
      <c r="J333" s="142"/>
    </row>
    <row r="334" spans="1:10" s="17" customFormat="1">
      <c r="A334" s="51"/>
      <c r="C334" s="4"/>
      <c r="D334" s="179"/>
      <c r="E334" s="179"/>
      <c r="F334" s="179"/>
      <c r="G334" s="199"/>
      <c r="H334" s="23"/>
      <c r="J334" s="142"/>
    </row>
    <row r="335" spans="1:10" s="17" customFormat="1">
      <c r="A335" s="51"/>
      <c r="C335" s="4"/>
      <c r="D335" s="179"/>
      <c r="E335" s="179"/>
      <c r="F335" s="179"/>
      <c r="G335" s="199"/>
      <c r="H335" s="23"/>
      <c r="J335" s="142"/>
    </row>
    <row r="336" spans="1:10" s="17" customFormat="1">
      <c r="A336" s="51"/>
      <c r="C336" s="4"/>
      <c r="D336" s="179"/>
      <c r="E336" s="179"/>
      <c r="F336" s="179"/>
      <c r="G336" s="199"/>
      <c r="H336" s="23"/>
      <c r="J336" s="142"/>
    </row>
    <row r="337" spans="1:10" s="17" customFormat="1">
      <c r="A337" s="51"/>
      <c r="C337" s="4"/>
      <c r="D337" s="179"/>
      <c r="E337" s="179"/>
      <c r="F337" s="179"/>
      <c r="G337" s="199"/>
      <c r="H337" s="23"/>
      <c r="J337" s="142"/>
    </row>
    <row r="338" spans="1:10" s="17" customFormat="1">
      <c r="A338" s="51"/>
      <c r="C338" s="4"/>
      <c r="D338" s="179"/>
      <c r="E338" s="179"/>
      <c r="F338" s="179"/>
      <c r="G338" s="199"/>
      <c r="H338" s="23"/>
      <c r="J338" s="142"/>
    </row>
    <row r="339" spans="1:10" s="17" customFormat="1">
      <c r="A339" s="51"/>
      <c r="C339" s="4"/>
      <c r="D339" s="179"/>
      <c r="E339" s="179"/>
      <c r="F339" s="179"/>
      <c r="G339" s="199"/>
      <c r="H339" s="23"/>
      <c r="J339" s="142"/>
    </row>
    <row r="340" spans="1:10" s="17" customFormat="1">
      <c r="A340" s="51"/>
      <c r="C340" s="4"/>
      <c r="D340" s="179"/>
      <c r="E340" s="179"/>
      <c r="F340" s="179"/>
      <c r="G340" s="199"/>
      <c r="H340" s="23"/>
      <c r="J340" s="142"/>
    </row>
    <row r="341" spans="1:10" s="17" customFormat="1">
      <c r="A341" s="51"/>
      <c r="C341" s="4"/>
      <c r="D341" s="179"/>
      <c r="E341" s="179"/>
      <c r="F341" s="179"/>
      <c r="G341" s="199"/>
      <c r="H341" s="23"/>
      <c r="J341" s="142"/>
    </row>
    <row r="342" spans="1:10" s="17" customFormat="1">
      <c r="A342" s="51"/>
      <c r="C342" s="4"/>
      <c r="D342" s="179"/>
      <c r="E342" s="179"/>
      <c r="F342" s="179"/>
      <c r="G342" s="199"/>
      <c r="H342" s="23"/>
      <c r="J342" s="142"/>
    </row>
    <row r="343" spans="1:10" s="17" customFormat="1">
      <c r="A343" s="51"/>
      <c r="C343" s="4"/>
      <c r="D343" s="179"/>
      <c r="E343" s="179"/>
      <c r="F343" s="179"/>
      <c r="G343" s="199"/>
      <c r="H343" s="23"/>
      <c r="J343" s="142"/>
    </row>
    <row r="344" spans="1:10" s="17" customFormat="1">
      <c r="A344" s="51"/>
      <c r="C344" s="4"/>
      <c r="D344" s="179"/>
      <c r="E344" s="179"/>
      <c r="F344" s="179"/>
      <c r="G344" s="199"/>
      <c r="H344" s="23"/>
      <c r="J344" s="142"/>
    </row>
    <row r="345" spans="1:10" s="17" customFormat="1">
      <c r="A345" s="51"/>
      <c r="C345" s="4"/>
      <c r="D345" s="179"/>
      <c r="E345" s="179"/>
      <c r="F345" s="179"/>
      <c r="G345" s="199"/>
      <c r="H345" s="23"/>
      <c r="J345" s="142"/>
    </row>
    <row r="346" spans="1:10" s="17" customFormat="1">
      <c r="A346" s="51"/>
      <c r="C346" s="4"/>
      <c r="D346" s="179"/>
      <c r="E346" s="179"/>
      <c r="F346" s="179"/>
      <c r="G346" s="199"/>
      <c r="H346" s="23"/>
      <c r="J346" s="142"/>
    </row>
    <row r="347" spans="1:10" s="17" customFormat="1">
      <c r="A347" s="51"/>
      <c r="C347" s="4"/>
      <c r="D347" s="179"/>
      <c r="E347" s="179"/>
      <c r="F347" s="179"/>
      <c r="G347" s="199"/>
      <c r="H347" s="23"/>
      <c r="J347" s="142"/>
    </row>
    <row r="348" spans="1:10" s="17" customFormat="1">
      <c r="A348" s="51"/>
      <c r="C348" s="4"/>
      <c r="D348" s="179"/>
      <c r="E348" s="179"/>
      <c r="F348" s="179"/>
      <c r="G348" s="199"/>
      <c r="H348" s="23"/>
      <c r="J348" s="142"/>
    </row>
    <row r="349" spans="1:10" s="17" customFormat="1">
      <c r="A349" s="51"/>
      <c r="C349" s="4"/>
      <c r="D349" s="179"/>
      <c r="E349" s="179"/>
      <c r="F349" s="179"/>
      <c r="G349" s="199"/>
      <c r="H349" s="23"/>
      <c r="J349" s="142"/>
    </row>
    <row r="350" spans="1:10" s="17" customFormat="1">
      <c r="A350" s="51"/>
      <c r="C350" s="4"/>
      <c r="D350" s="179"/>
      <c r="E350" s="179"/>
      <c r="F350" s="179"/>
      <c r="G350" s="199"/>
      <c r="H350" s="23"/>
      <c r="J350" s="142"/>
    </row>
    <row r="351" spans="1:10" s="17" customFormat="1">
      <c r="A351" s="51"/>
      <c r="C351" s="4"/>
      <c r="D351" s="179"/>
      <c r="E351" s="179"/>
      <c r="F351" s="179"/>
      <c r="G351" s="199"/>
      <c r="H351" s="23"/>
      <c r="J351" s="142"/>
    </row>
    <row r="352" spans="1:10" s="17" customFormat="1">
      <c r="A352" s="51"/>
      <c r="C352" s="4"/>
      <c r="D352" s="179"/>
      <c r="E352" s="179"/>
      <c r="F352" s="179"/>
      <c r="G352" s="199"/>
      <c r="H352" s="23"/>
      <c r="J352" s="142"/>
    </row>
    <row r="353" spans="1:10" s="17" customFormat="1">
      <c r="A353" s="51"/>
      <c r="C353" s="4"/>
      <c r="D353" s="179"/>
      <c r="E353" s="179"/>
      <c r="F353" s="179"/>
      <c r="G353" s="199"/>
      <c r="H353" s="23"/>
      <c r="J353" s="142"/>
    </row>
    <row r="354" spans="1:10" s="17" customFormat="1">
      <c r="A354" s="51"/>
      <c r="C354" s="4"/>
      <c r="D354" s="179"/>
      <c r="E354" s="179"/>
      <c r="F354" s="179"/>
      <c r="G354" s="199"/>
      <c r="H354" s="23"/>
      <c r="J354" s="142"/>
    </row>
    <row r="355" spans="1:10" s="17" customFormat="1">
      <c r="A355" s="51"/>
      <c r="C355" s="4"/>
      <c r="D355" s="179"/>
      <c r="E355" s="179"/>
      <c r="F355" s="179"/>
      <c r="G355" s="199"/>
      <c r="H355" s="23"/>
      <c r="J355" s="142"/>
    </row>
    <row r="356" spans="1:10" s="17" customFormat="1">
      <c r="A356" s="51"/>
      <c r="C356" s="4"/>
      <c r="D356" s="179"/>
      <c r="E356" s="179"/>
      <c r="F356" s="179"/>
      <c r="G356" s="199"/>
      <c r="H356" s="23"/>
      <c r="J356" s="142"/>
    </row>
    <row r="357" spans="1:10" s="17" customFormat="1">
      <c r="A357" s="51"/>
      <c r="C357" s="4"/>
      <c r="D357" s="179"/>
      <c r="E357" s="179"/>
      <c r="F357" s="179"/>
      <c r="G357" s="199"/>
      <c r="H357" s="23"/>
      <c r="J357" s="142"/>
    </row>
    <row r="358" spans="1:10" s="17" customFormat="1">
      <c r="A358" s="51"/>
      <c r="C358" s="4"/>
      <c r="D358" s="179"/>
      <c r="E358" s="179"/>
      <c r="F358" s="179"/>
      <c r="G358" s="199"/>
      <c r="H358" s="23"/>
      <c r="J358" s="142"/>
    </row>
    <row r="359" spans="1:10" s="17" customFormat="1">
      <c r="A359" s="51"/>
      <c r="C359" s="4"/>
      <c r="D359" s="179"/>
      <c r="E359" s="179"/>
      <c r="F359" s="179"/>
      <c r="G359" s="199"/>
      <c r="H359" s="23"/>
      <c r="J359" s="142"/>
    </row>
    <row r="360" spans="1:10" s="17" customFormat="1">
      <c r="A360" s="51"/>
      <c r="C360" s="4"/>
      <c r="D360" s="179"/>
      <c r="E360" s="179"/>
      <c r="F360" s="179"/>
      <c r="G360" s="199"/>
      <c r="H360" s="23"/>
      <c r="J360" s="142"/>
    </row>
    <row r="361" spans="1:10" s="17" customFormat="1">
      <c r="A361" s="51"/>
      <c r="C361" s="4"/>
      <c r="D361" s="179"/>
      <c r="E361" s="179"/>
      <c r="F361" s="179"/>
      <c r="G361" s="199"/>
      <c r="H361" s="23"/>
      <c r="J361" s="142"/>
    </row>
    <row r="362" spans="1:10" s="17" customFormat="1">
      <c r="A362" s="51"/>
      <c r="C362" s="4"/>
      <c r="D362" s="179"/>
      <c r="E362" s="179"/>
      <c r="F362" s="179"/>
      <c r="G362" s="199"/>
      <c r="H362" s="23"/>
      <c r="J362" s="142"/>
    </row>
    <row r="363" spans="1:10" s="17" customFormat="1">
      <c r="A363" s="51"/>
      <c r="C363" s="4"/>
      <c r="D363" s="179"/>
      <c r="E363" s="179"/>
      <c r="F363" s="179"/>
      <c r="G363" s="199"/>
      <c r="H363" s="23"/>
      <c r="J363" s="142"/>
    </row>
    <row r="364" spans="1:10" s="17" customFormat="1">
      <c r="A364" s="51"/>
      <c r="C364" s="4"/>
      <c r="D364" s="179"/>
      <c r="E364" s="179"/>
      <c r="F364" s="179"/>
      <c r="G364" s="199"/>
      <c r="H364" s="23"/>
      <c r="J364" s="142"/>
    </row>
    <row r="365" spans="1:10" s="17" customFormat="1">
      <c r="A365" s="51"/>
      <c r="C365" s="4"/>
      <c r="D365" s="179"/>
      <c r="E365" s="179"/>
      <c r="F365" s="179"/>
      <c r="G365" s="199"/>
      <c r="H365" s="23"/>
      <c r="J365" s="142"/>
    </row>
    <row r="366" spans="1:10" s="17" customFormat="1">
      <c r="A366" s="51"/>
      <c r="C366" s="4"/>
      <c r="D366" s="179"/>
      <c r="E366" s="179"/>
      <c r="F366" s="179"/>
      <c r="G366" s="199"/>
      <c r="H366" s="23"/>
      <c r="J366" s="142"/>
    </row>
    <row r="367" spans="1:10" s="17" customFormat="1">
      <c r="A367" s="51"/>
      <c r="C367" s="4"/>
      <c r="D367" s="179"/>
      <c r="E367" s="179"/>
      <c r="F367" s="179"/>
      <c r="G367" s="199"/>
      <c r="H367" s="23"/>
      <c r="J367" s="142"/>
    </row>
    <row r="368" spans="1:10" s="17" customFormat="1">
      <c r="A368" s="51"/>
      <c r="C368" s="4"/>
      <c r="D368" s="179"/>
      <c r="E368" s="179"/>
      <c r="F368" s="179"/>
      <c r="G368" s="199"/>
      <c r="H368" s="23"/>
      <c r="J368" s="142"/>
    </row>
    <row r="369" spans="1:10" s="17" customFormat="1">
      <c r="A369" s="51"/>
      <c r="C369" s="4"/>
      <c r="D369" s="179"/>
      <c r="E369" s="179"/>
      <c r="F369" s="179"/>
      <c r="G369" s="199"/>
      <c r="H369" s="23"/>
      <c r="J369" s="142"/>
    </row>
    <row r="370" spans="1:10" s="17" customFormat="1">
      <c r="A370" s="51"/>
      <c r="C370" s="4"/>
      <c r="D370" s="179"/>
      <c r="E370" s="179"/>
      <c r="F370" s="179"/>
      <c r="G370" s="199"/>
      <c r="H370" s="23"/>
      <c r="J370" s="142"/>
    </row>
    <row r="371" spans="1:10" s="17" customFormat="1">
      <c r="A371" s="51"/>
      <c r="C371" s="4"/>
      <c r="D371" s="179"/>
      <c r="E371" s="179"/>
      <c r="F371" s="179"/>
      <c r="G371" s="199"/>
      <c r="H371" s="23"/>
      <c r="J371" s="142"/>
    </row>
    <row r="372" spans="1:10" s="17" customFormat="1">
      <c r="A372" s="51"/>
      <c r="C372" s="4"/>
      <c r="D372" s="179"/>
      <c r="E372" s="179"/>
      <c r="F372" s="179"/>
      <c r="G372" s="199"/>
      <c r="H372" s="23"/>
      <c r="J372" s="142"/>
    </row>
    <row r="373" spans="1:10" s="17" customFormat="1">
      <c r="A373" s="51"/>
      <c r="C373" s="4"/>
      <c r="D373" s="179"/>
      <c r="E373" s="179"/>
      <c r="F373" s="179"/>
      <c r="G373" s="199"/>
      <c r="H373" s="23"/>
      <c r="J373" s="142"/>
    </row>
    <row r="374" spans="1:10" s="17" customFormat="1">
      <c r="A374" s="51"/>
      <c r="C374" s="4"/>
      <c r="D374" s="179"/>
      <c r="E374" s="179"/>
      <c r="F374" s="179"/>
      <c r="G374" s="199"/>
      <c r="H374" s="23"/>
      <c r="J374" s="142"/>
    </row>
    <row r="375" spans="1:10" s="17" customFormat="1">
      <c r="A375" s="51"/>
      <c r="C375" s="4"/>
      <c r="D375" s="179"/>
      <c r="E375" s="179"/>
      <c r="F375" s="179"/>
      <c r="G375" s="199"/>
      <c r="H375" s="23"/>
      <c r="J375" s="142"/>
    </row>
    <row r="376" spans="1:10" s="17" customFormat="1">
      <c r="A376" s="51"/>
      <c r="C376" s="4"/>
      <c r="D376" s="179"/>
      <c r="E376" s="179"/>
      <c r="F376" s="179"/>
      <c r="G376" s="199"/>
      <c r="H376" s="23"/>
      <c r="J376" s="142"/>
    </row>
    <row r="377" spans="1:10" s="17" customFormat="1">
      <c r="A377" s="51"/>
      <c r="C377" s="4"/>
      <c r="D377" s="179"/>
      <c r="E377" s="179"/>
      <c r="F377" s="179"/>
      <c r="G377" s="199"/>
      <c r="H377" s="23"/>
      <c r="J377" s="142"/>
    </row>
    <row r="378" spans="1:10" s="17" customFormat="1">
      <c r="A378" s="51"/>
      <c r="C378" s="4"/>
      <c r="D378" s="179"/>
      <c r="E378" s="179"/>
      <c r="F378" s="179"/>
      <c r="G378" s="199"/>
      <c r="H378" s="23"/>
      <c r="J378" s="142"/>
    </row>
    <row r="379" spans="1:10" s="17" customFormat="1">
      <c r="A379" s="51"/>
      <c r="C379" s="4"/>
      <c r="D379" s="179"/>
      <c r="E379" s="179"/>
      <c r="F379" s="179"/>
      <c r="G379" s="199"/>
      <c r="H379" s="23"/>
      <c r="J379" s="142"/>
    </row>
    <row r="380" spans="1:10" s="17" customFormat="1">
      <c r="A380" s="51"/>
      <c r="C380" s="4"/>
      <c r="D380" s="179"/>
      <c r="E380" s="179"/>
      <c r="F380" s="179"/>
      <c r="G380" s="199"/>
      <c r="H380" s="23"/>
      <c r="J380" s="142"/>
    </row>
    <row r="381" spans="1:10" s="17" customFormat="1">
      <c r="A381" s="51"/>
      <c r="C381" s="4"/>
      <c r="D381" s="179"/>
      <c r="E381" s="179"/>
      <c r="F381" s="179"/>
      <c r="G381" s="199"/>
      <c r="H381" s="23"/>
      <c r="J381" s="142"/>
    </row>
    <row r="382" spans="1:10" s="17" customFormat="1">
      <c r="A382" s="51"/>
      <c r="C382" s="4"/>
      <c r="D382" s="179"/>
      <c r="E382" s="179"/>
      <c r="F382" s="179"/>
      <c r="G382" s="199"/>
      <c r="H382" s="23"/>
      <c r="J382" s="142"/>
    </row>
    <row r="383" spans="1:10" s="17" customFormat="1">
      <c r="A383" s="51"/>
      <c r="C383" s="4"/>
      <c r="D383" s="179"/>
      <c r="E383" s="179"/>
      <c r="F383" s="179"/>
      <c r="G383" s="199"/>
      <c r="H383" s="23"/>
      <c r="J383" s="142"/>
    </row>
    <row r="384" spans="1:10" s="17" customFormat="1">
      <c r="A384" s="51"/>
      <c r="C384" s="4"/>
      <c r="D384" s="179"/>
      <c r="E384" s="179"/>
      <c r="F384" s="179"/>
      <c r="G384" s="199"/>
      <c r="H384" s="23"/>
      <c r="J384" s="142"/>
    </row>
    <row r="385" spans="1:10" s="17" customFormat="1">
      <c r="A385" s="51"/>
      <c r="C385" s="4"/>
      <c r="D385" s="179"/>
      <c r="E385" s="179"/>
      <c r="F385" s="179"/>
      <c r="G385" s="199"/>
      <c r="H385" s="23"/>
      <c r="J385" s="142"/>
    </row>
    <row r="386" spans="1:10" s="17" customFormat="1">
      <c r="A386" s="51"/>
      <c r="C386" s="4"/>
      <c r="D386" s="179"/>
      <c r="E386" s="179"/>
      <c r="F386" s="179"/>
      <c r="G386" s="199"/>
      <c r="H386" s="23"/>
      <c r="J386" s="142"/>
    </row>
    <row r="387" spans="1:10" s="17" customFormat="1">
      <c r="A387" s="51"/>
      <c r="C387" s="4"/>
      <c r="D387" s="179"/>
      <c r="E387" s="179"/>
      <c r="F387" s="179"/>
      <c r="G387" s="199"/>
      <c r="H387" s="23"/>
      <c r="J387" s="142"/>
    </row>
    <row r="388" spans="1:10" s="17" customFormat="1">
      <c r="A388" s="51"/>
      <c r="C388" s="4"/>
      <c r="D388" s="179"/>
      <c r="E388" s="179"/>
      <c r="F388" s="179"/>
      <c r="G388" s="199"/>
      <c r="H388" s="23"/>
      <c r="J388" s="142"/>
    </row>
    <row r="389" spans="1:10" s="17" customFormat="1">
      <c r="A389" s="51"/>
      <c r="C389" s="4"/>
      <c r="D389" s="179"/>
      <c r="E389" s="179"/>
      <c r="F389" s="179"/>
      <c r="G389" s="199"/>
      <c r="H389" s="23"/>
      <c r="J389" s="142"/>
    </row>
    <row r="390" spans="1:10" s="17" customFormat="1">
      <c r="A390" s="51"/>
      <c r="C390" s="4"/>
      <c r="D390" s="179"/>
      <c r="E390" s="179"/>
      <c r="F390" s="179"/>
      <c r="G390" s="199"/>
      <c r="H390" s="23"/>
      <c r="J390" s="142"/>
    </row>
    <row r="391" spans="1:10" s="17" customFormat="1">
      <c r="A391" s="51"/>
      <c r="C391" s="4"/>
      <c r="D391" s="179"/>
      <c r="E391" s="179"/>
      <c r="F391" s="179"/>
      <c r="G391" s="199"/>
      <c r="H391" s="23"/>
      <c r="J391" s="142"/>
    </row>
    <row r="392" spans="1:10" s="17" customFormat="1">
      <c r="A392" s="51"/>
      <c r="C392" s="4"/>
      <c r="D392" s="179"/>
      <c r="E392" s="179"/>
      <c r="F392" s="179"/>
      <c r="G392" s="199"/>
      <c r="H392" s="23"/>
      <c r="J392" s="142"/>
    </row>
    <row r="393" spans="1:10" s="17" customFormat="1">
      <c r="A393" s="51"/>
      <c r="C393" s="4"/>
      <c r="D393" s="179"/>
      <c r="E393" s="179"/>
      <c r="F393" s="179"/>
      <c r="G393" s="199"/>
      <c r="H393" s="23"/>
      <c r="J393" s="142"/>
    </row>
    <row r="394" spans="1:10" s="17" customFormat="1">
      <c r="A394" s="51"/>
      <c r="C394" s="4"/>
      <c r="D394" s="179"/>
      <c r="E394" s="179"/>
      <c r="F394" s="179"/>
      <c r="G394" s="199"/>
      <c r="H394" s="23"/>
      <c r="J394" s="142"/>
    </row>
    <row r="395" spans="1:10" s="17" customFormat="1">
      <c r="A395" s="51"/>
      <c r="C395" s="4"/>
      <c r="D395" s="179"/>
      <c r="E395" s="179"/>
      <c r="F395" s="179"/>
      <c r="G395" s="199"/>
      <c r="H395" s="23"/>
      <c r="J395" s="142"/>
    </row>
    <row r="396" spans="1:10" s="17" customFormat="1">
      <c r="A396" s="51"/>
      <c r="C396" s="4"/>
      <c r="D396" s="179"/>
      <c r="E396" s="179"/>
      <c r="F396" s="179"/>
      <c r="G396" s="199"/>
      <c r="H396" s="23"/>
      <c r="J396" s="142"/>
    </row>
    <row r="397" spans="1:10" s="17" customFormat="1">
      <c r="A397" s="51"/>
      <c r="C397" s="4"/>
      <c r="D397" s="179"/>
      <c r="E397" s="179"/>
      <c r="F397" s="179"/>
      <c r="G397" s="199"/>
      <c r="H397" s="23"/>
      <c r="J397" s="142"/>
    </row>
    <row r="398" spans="1:10" s="17" customFormat="1">
      <c r="A398" s="51"/>
      <c r="C398" s="4"/>
      <c r="D398" s="179"/>
      <c r="E398" s="179"/>
      <c r="F398" s="179"/>
      <c r="G398" s="199"/>
      <c r="H398" s="23"/>
      <c r="J398" s="142"/>
    </row>
    <row r="399" spans="1:10" s="17" customFormat="1">
      <c r="A399" s="51"/>
      <c r="C399" s="4"/>
      <c r="D399" s="179"/>
      <c r="E399" s="179"/>
      <c r="F399" s="179"/>
      <c r="G399" s="199"/>
      <c r="H399" s="23"/>
      <c r="J399" s="142"/>
    </row>
    <row r="400" spans="1:10" s="17" customFormat="1">
      <c r="A400" s="51"/>
      <c r="C400" s="4"/>
      <c r="D400" s="179"/>
      <c r="E400" s="179"/>
      <c r="F400" s="179"/>
      <c r="G400" s="199"/>
      <c r="H400" s="23"/>
      <c r="J400" s="142"/>
    </row>
    <row r="401" spans="1:10" s="17" customFormat="1">
      <c r="A401" s="51"/>
      <c r="C401" s="4"/>
      <c r="D401" s="179"/>
      <c r="E401" s="179"/>
      <c r="F401" s="179"/>
      <c r="G401" s="199"/>
      <c r="H401" s="23"/>
      <c r="J401" s="142"/>
    </row>
    <row r="402" spans="1:10" s="17" customFormat="1">
      <c r="A402" s="51"/>
      <c r="C402" s="4"/>
      <c r="D402" s="179"/>
      <c r="E402" s="179"/>
      <c r="F402" s="179"/>
      <c r="G402" s="199"/>
      <c r="H402" s="23"/>
      <c r="J402" s="142"/>
    </row>
    <row r="403" spans="1:10" s="17" customFormat="1">
      <c r="A403" s="51"/>
      <c r="C403" s="4"/>
      <c r="D403" s="179"/>
      <c r="E403" s="179"/>
      <c r="F403" s="179"/>
      <c r="G403" s="199"/>
      <c r="H403" s="23"/>
      <c r="J403" s="142"/>
    </row>
    <row r="404" spans="1:10" s="17" customFormat="1">
      <c r="A404" s="51"/>
      <c r="C404" s="4"/>
      <c r="D404" s="179"/>
      <c r="E404" s="179"/>
      <c r="F404" s="179"/>
      <c r="G404" s="199"/>
      <c r="H404" s="23"/>
      <c r="J404" s="142"/>
    </row>
    <row r="405" spans="1:10" s="17" customFormat="1">
      <c r="A405" s="51"/>
      <c r="C405" s="4"/>
      <c r="D405" s="179"/>
      <c r="E405" s="179"/>
      <c r="F405" s="179"/>
      <c r="G405" s="199"/>
      <c r="H405" s="23"/>
      <c r="J405" s="142"/>
    </row>
    <row r="406" spans="1:10" s="17" customFormat="1">
      <c r="A406" s="51"/>
      <c r="C406" s="4"/>
      <c r="D406" s="179"/>
      <c r="E406" s="179"/>
      <c r="F406" s="179"/>
      <c r="G406" s="199"/>
      <c r="H406" s="23"/>
      <c r="J406" s="142"/>
    </row>
    <row r="407" spans="1:10" s="17" customFormat="1">
      <c r="A407" s="51"/>
      <c r="C407" s="4"/>
      <c r="D407" s="179"/>
      <c r="E407" s="179"/>
      <c r="F407" s="179"/>
      <c r="G407" s="199"/>
      <c r="H407" s="23"/>
      <c r="J407" s="142"/>
    </row>
    <row r="408" spans="1:10" s="17" customFormat="1">
      <c r="A408" s="51"/>
      <c r="C408" s="4"/>
      <c r="D408" s="179"/>
      <c r="E408" s="179"/>
      <c r="F408" s="179"/>
      <c r="G408" s="199"/>
      <c r="H408" s="23"/>
      <c r="J408" s="142"/>
    </row>
    <row r="409" spans="1:10" s="17" customFormat="1">
      <c r="A409" s="51"/>
      <c r="C409" s="4"/>
      <c r="D409" s="179"/>
      <c r="E409" s="179"/>
      <c r="F409" s="179"/>
      <c r="G409" s="199"/>
      <c r="H409" s="23"/>
      <c r="J409" s="142"/>
    </row>
    <row r="410" spans="1:10" s="17" customFormat="1">
      <c r="A410" s="51"/>
      <c r="C410" s="4"/>
      <c r="D410" s="179"/>
      <c r="E410" s="179"/>
      <c r="F410" s="179"/>
      <c r="G410" s="199"/>
      <c r="H410" s="23"/>
      <c r="J410" s="142"/>
    </row>
    <row r="411" spans="1:10" s="17" customFormat="1">
      <c r="A411" s="51"/>
      <c r="C411" s="4"/>
      <c r="D411" s="179"/>
      <c r="E411" s="179"/>
      <c r="F411" s="179"/>
      <c r="G411" s="199"/>
      <c r="H411" s="23"/>
      <c r="J411" s="142"/>
    </row>
    <row r="412" spans="1:10" s="17" customFormat="1">
      <c r="A412" s="51"/>
      <c r="C412" s="4"/>
      <c r="D412" s="179"/>
      <c r="E412" s="179"/>
      <c r="F412" s="179"/>
      <c r="G412" s="199"/>
      <c r="H412" s="23"/>
      <c r="J412" s="142"/>
    </row>
    <row r="413" spans="1:10" s="17" customFormat="1">
      <c r="A413" s="51"/>
      <c r="C413" s="4"/>
      <c r="D413" s="179"/>
      <c r="E413" s="179"/>
      <c r="F413" s="179"/>
      <c r="G413" s="199"/>
      <c r="H413" s="23"/>
      <c r="J413" s="142"/>
    </row>
    <row r="414" spans="1:10" s="17" customFormat="1">
      <c r="A414" s="51"/>
      <c r="C414" s="4"/>
      <c r="D414" s="179"/>
      <c r="E414" s="179"/>
      <c r="F414" s="179"/>
      <c r="G414" s="199"/>
      <c r="H414" s="23"/>
      <c r="J414" s="142"/>
    </row>
    <row r="415" spans="1:10" s="17" customFormat="1">
      <c r="A415" s="51"/>
      <c r="C415" s="4"/>
      <c r="D415" s="179"/>
      <c r="E415" s="179"/>
      <c r="F415" s="179"/>
      <c r="G415" s="199"/>
      <c r="H415" s="23"/>
      <c r="J415" s="142"/>
    </row>
    <row r="416" spans="1:10" s="17" customFormat="1">
      <c r="A416" s="51"/>
      <c r="C416" s="4"/>
      <c r="D416" s="179"/>
      <c r="E416" s="179"/>
      <c r="F416" s="179"/>
      <c r="G416" s="199"/>
      <c r="H416" s="23"/>
      <c r="J416" s="142"/>
    </row>
    <row r="417" spans="1:10" s="17" customFormat="1">
      <c r="A417" s="51"/>
      <c r="C417" s="4"/>
      <c r="D417" s="179"/>
      <c r="E417" s="179"/>
      <c r="F417" s="179"/>
      <c r="G417" s="199"/>
      <c r="H417" s="23"/>
      <c r="J417" s="142"/>
    </row>
    <row r="418" spans="1:10" s="17" customFormat="1">
      <c r="A418" s="51"/>
      <c r="C418" s="4"/>
      <c r="D418" s="179"/>
      <c r="E418" s="179"/>
      <c r="F418" s="179"/>
      <c r="G418" s="199"/>
      <c r="H418" s="23"/>
      <c r="J418" s="142"/>
    </row>
    <row r="419" spans="1:10" s="17" customFormat="1">
      <c r="A419" s="51"/>
      <c r="C419" s="4"/>
      <c r="D419" s="179"/>
      <c r="E419" s="179"/>
      <c r="F419" s="179"/>
      <c r="G419" s="199"/>
      <c r="H419" s="23"/>
      <c r="J419" s="142"/>
    </row>
    <row r="420" spans="1:10" s="17" customFormat="1">
      <c r="A420" s="51"/>
      <c r="C420" s="4"/>
      <c r="D420" s="179"/>
      <c r="E420" s="179"/>
      <c r="F420" s="179"/>
      <c r="G420" s="199"/>
      <c r="H420" s="23"/>
      <c r="J420" s="142"/>
    </row>
    <row r="421" spans="1:10" s="17" customFormat="1">
      <c r="A421" s="51"/>
      <c r="C421" s="4"/>
      <c r="D421" s="179"/>
      <c r="E421" s="179"/>
      <c r="F421" s="179"/>
      <c r="G421" s="199"/>
      <c r="H421" s="23"/>
      <c r="J421" s="142"/>
    </row>
    <row r="422" spans="1:10" s="17" customFormat="1">
      <c r="A422" s="51"/>
      <c r="C422" s="4"/>
      <c r="D422" s="179"/>
      <c r="E422" s="179"/>
      <c r="F422" s="179"/>
      <c r="G422" s="199"/>
      <c r="H422" s="23"/>
      <c r="J422" s="142"/>
    </row>
    <row r="423" spans="1:10" s="17" customFormat="1">
      <c r="A423" s="51"/>
      <c r="C423" s="4"/>
      <c r="D423" s="179"/>
      <c r="E423" s="179"/>
      <c r="F423" s="179"/>
      <c r="G423" s="199"/>
      <c r="H423" s="23"/>
      <c r="J423" s="142"/>
    </row>
    <row r="424" spans="1:10" s="17" customFormat="1">
      <c r="A424" s="51"/>
      <c r="C424" s="4"/>
      <c r="D424" s="179"/>
      <c r="E424" s="179"/>
      <c r="F424" s="179"/>
      <c r="G424" s="199"/>
      <c r="H424" s="23"/>
      <c r="J424" s="142"/>
    </row>
    <row r="425" spans="1:10" s="17" customFormat="1">
      <c r="A425" s="51"/>
      <c r="C425" s="4"/>
      <c r="D425" s="179"/>
      <c r="E425" s="179"/>
      <c r="F425" s="179"/>
      <c r="G425" s="199"/>
      <c r="H425" s="23"/>
      <c r="J425" s="142"/>
    </row>
    <row r="426" spans="1:10" s="17" customFormat="1">
      <c r="A426" s="51"/>
      <c r="C426" s="4"/>
      <c r="D426" s="179"/>
      <c r="E426" s="179"/>
      <c r="F426" s="179"/>
      <c r="G426" s="199"/>
      <c r="H426" s="23"/>
      <c r="J426" s="142"/>
    </row>
    <row r="427" spans="1:10" s="17" customFormat="1">
      <c r="A427" s="51"/>
      <c r="C427" s="4"/>
      <c r="D427" s="179"/>
      <c r="E427" s="179"/>
      <c r="F427" s="179"/>
      <c r="G427" s="199"/>
      <c r="H427" s="23"/>
      <c r="J427" s="142"/>
    </row>
    <row r="428" spans="1:10" s="17" customFormat="1">
      <c r="A428" s="51"/>
      <c r="C428" s="4"/>
      <c r="D428" s="179"/>
      <c r="E428" s="179"/>
      <c r="F428" s="179"/>
      <c r="G428" s="199"/>
      <c r="H428" s="23"/>
      <c r="J428" s="142"/>
    </row>
    <row r="429" spans="1:10" s="17" customFormat="1">
      <c r="A429" s="51"/>
      <c r="C429" s="4"/>
      <c r="D429" s="179"/>
      <c r="E429" s="179"/>
      <c r="F429" s="179"/>
      <c r="G429" s="199"/>
      <c r="H429" s="23"/>
      <c r="J429" s="142"/>
    </row>
    <row r="430" spans="1:10" s="17" customFormat="1">
      <c r="A430" s="51"/>
      <c r="C430" s="4"/>
      <c r="D430" s="179"/>
      <c r="E430" s="179"/>
      <c r="F430" s="179"/>
      <c r="G430" s="199"/>
      <c r="H430" s="23"/>
      <c r="J430" s="142"/>
    </row>
    <row r="431" spans="1:10" s="17" customFormat="1">
      <c r="A431" s="51"/>
      <c r="C431" s="4"/>
      <c r="D431" s="179"/>
      <c r="E431" s="179"/>
      <c r="F431" s="179"/>
      <c r="G431" s="199"/>
      <c r="H431" s="23"/>
      <c r="J431" s="142"/>
    </row>
    <row r="432" spans="1:10" s="17" customFormat="1">
      <c r="A432" s="51"/>
      <c r="C432" s="4"/>
      <c r="D432" s="179"/>
      <c r="E432" s="179"/>
      <c r="F432" s="179"/>
      <c r="G432" s="199"/>
      <c r="H432" s="23"/>
      <c r="J432" s="142"/>
    </row>
    <row r="433" spans="1:10" s="17" customFormat="1">
      <c r="A433" s="51"/>
      <c r="C433" s="4"/>
      <c r="D433" s="179"/>
      <c r="E433" s="179"/>
      <c r="F433" s="179"/>
      <c r="G433" s="199"/>
      <c r="H433" s="23"/>
      <c r="J433" s="142"/>
    </row>
    <row r="434" spans="1:10" s="17" customFormat="1">
      <c r="A434" s="51"/>
      <c r="C434" s="4"/>
      <c r="D434" s="179"/>
      <c r="E434" s="179"/>
      <c r="F434" s="179"/>
      <c r="G434" s="199"/>
      <c r="H434" s="23"/>
      <c r="J434" s="142"/>
    </row>
    <row r="435" spans="1:10" s="17" customFormat="1">
      <c r="A435" s="51"/>
      <c r="C435" s="4"/>
      <c r="D435" s="179"/>
      <c r="E435" s="179"/>
      <c r="F435" s="179"/>
      <c r="G435" s="199"/>
      <c r="H435" s="23"/>
      <c r="J435" s="142"/>
    </row>
    <row r="436" spans="1:10" s="17" customFormat="1">
      <c r="A436" s="51"/>
      <c r="C436" s="4"/>
      <c r="D436" s="179"/>
      <c r="E436" s="179"/>
      <c r="F436" s="179"/>
      <c r="G436" s="199"/>
      <c r="H436" s="23"/>
      <c r="J436" s="142"/>
    </row>
    <row r="437" spans="1:10" s="17" customFormat="1">
      <c r="A437" s="51"/>
      <c r="C437" s="4"/>
      <c r="D437" s="179"/>
      <c r="E437" s="179"/>
      <c r="F437" s="179"/>
      <c r="G437" s="199"/>
      <c r="H437" s="23"/>
      <c r="J437" s="142"/>
    </row>
    <row r="438" spans="1:10" s="17" customFormat="1">
      <c r="A438" s="51"/>
      <c r="C438" s="4"/>
      <c r="D438" s="179"/>
      <c r="E438" s="179"/>
      <c r="F438" s="179"/>
      <c r="G438" s="199"/>
      <c r="H438" s="23"/>
      <c r="J438" s="142"/>
    </row>
    <row r="439" spans="1:10" s="17" customFormat="1">
      <c r="A439" s="51"/>
      <c r="C439" s="4"/>
      <c r="D439" s="179"/>
      <c r="E439" s="179"/>
      <c r="F439" s="179"/>
      <c r="G439" s="199"/>
      <c r="H439" s="23"/>
      <c r="J439" s="142"/>
    </row>
    <row r="440" spans="1:10" s="17" customFormat="1">
      <c r="A440" s="51"/>
      <c r="C440" s="4"/>
      <c r="D440" s="179"/>
      <c r="E440" s="179"/>
      <c r="F440" s="179"/>
      <c r="G440" s="199"/>
      <c r="H440" s="23"/>
      <c r="J440" s="142"/>
    </row>
    <row r="441" spans="1:10" s="17" customFormat="1">
      <c r="A441" s="51"/>
      <c r="C441" s="4"/>
      <c r="D441" s="179"/>
      <c r="E441" s="179"/>
      <c r="F441" s="179"/>
      <c r="G441" s="199"/>
      <c r="H441" s="23"/>
      <c r="J441" s="142"/>
    </row>
    <row r="442" spans="1:10" s="17" customFormat="1">
      <c r="A442" s="51"/>
      <c r="C442" s="4"/>
      <c r="D442" s="179"/>
      <c r="E442" s="179"/>
      <c r="F442" s="179"/>
      <c r="G442" s="199"/>
      <c r="H442" s="23"/>
      <c r="J442" s="142"/>
    </row>
    <row r="443" spans="1:10" s="17" customFormat="1">
      <c r="A443" s="51"/>
      <c r="C443" s="4"/>
      <c r="D443" s="179"/>
      <c r="E443" s="179"/>
      <c r="F443" s="179"/>
      <c r="G443" s="199"/>
      <c r="H443" s="23"/>
      <c r="J443" s="142"/>
    </row>
    <row r="444" spans="1:10" s="17" customFormat="1">
      <c r="A444" s="51"/>
      <c r="C444" s="4"/>
      <c r="D444" s="179"/>
      <c r="E444" s="179"/>
      <c r="F444" s="179"/>
      <c r="G444" s="199"/>
      <c r="H444" s="23"/>
      <c r="J444" s="142"/>
    </row>
    <row r="445" spans="1:10" s="17" customFormat="1">
      <c r="A445" s="51"/>
      <c r="C445" s="4"/>
      <c r="D445" s="179"/>
      <c r="E445" s="179"/>
      <c r="F445" s="179"/>
      <c r="G445" s="199"/>
      <c r="H445" s="23"/>
      <c r="J445" s="142"/>
    </row>
    <row r="446" spans="1:10" s="17" customFormat="1">
      <c r="A446" s="51"/>
      <c r="C446" s="4"/>
      <c r="D446" s="179"/>
      <c r="E446" s="179"/>
      <c r="F446" s="179"/>
      <c r="G446" s="199"/>
      <c r="H446" s="23"/>
      <c r="J446" s="142"/>
    </row>
    <row r="447" spans="1:10" s="17" customFormat="1">
      <c r="A447" s="51"/>
      <c r="C447" s="4"/>
      <c r="D447" s="179"/>
      <c r="E447" s="179"/>
      <c r="F447" s="179"/>
      <c r="G447" s="199"/>
      <c r="H447" s="23"/>
      <c r="J447" s="142"/>
    </row>
    <row r="448" spans="1:10" s="17" customFormat="1">
      <c r="A448" s="51"/>
      <c r="C448" s="4"/>
      <c r="D448" s="179"/>
      <c r="E448" s="179"/>
      <c r="F448" s="179"/>
      <c r="G448" s="199"/>
      <c r="H448" s="23"/>
      <c r="J448" s="142"/>
    </row>
    <row r="449" spans="1:10" s="17" customFormat="1">
      <c r="A449" s="51"/>
      <c r="C449" s="4"/>
      <c r="D449" s="179"/>
      <c r="E449" s="179"/>
      <c r="F449" s="179"/>
      <c r="G449" s="199"/>
      <c r="H449" s="23"/>
      <c r="J449" s="142"/>
    </row>
    <row r="450" spans="1:10" s="17" customFormat="1">
      <c r="A450" s="51"/>
      <c r="C450" s="4"/>
      <c r="D450" s="179"/>
      <c r="E450" s="179"/>
      <c r="F450" s="179"/>
      <c r="G450" s="199"/>
      <c r="H450" s="23"/>
      <c r="J450" s="142"/>
    </row>
    <row r="451" spans="1:10" s="17" customFormat="1">
      <c r="A451" s="51"/>
      <c r="C451" s="4"/>
      <c r="D451" s="179"/>
      <c r="E451" s="179"/>
      <c r="F451" s="179"/>
      <c r="G451" s="199"/>
      <c r="H451" s="23"/>
      <c r="J451" s="142"/>
    </row>
    <row r="452" spans="1:10" s="17" customFormat="1">
      <c r="A452" s="51"/>
      <c r="C452" s="4"/>
      <c r="D452" s="179"/>
      <c r="E452" s="179"/>
      <c r="F452" s="179"/>
      <c r="G452" s="199"/>
      <c r="H452" s="23"/>
      <c r="J452" s="142"/>
    </row>
    <row r="453" spans="1:10" s="17" customFormat="1">
      <c r="A453" s="51"/>
      <c r="C453" s="4"/>
      <c r="D453" s="179"/>
      <c r="E453" s="179"/>
      <c r="F453" s="179"/>
      <c r="G453" s="199"/>
      <c r="H453" s="23"/>
      <c r="J453" s="142"/>
    </row>
    <row r="454" spans="1:10" s="17" customFormat="1">
      <c r="A454" s="51"/>
      <c r="C454" s="4"/>
      <c r="D454" s="179"/>
      <c r="E454" s="179"/>
      <c r="F454" s="179"/>
      <c r="G454" s="199"/>
      <c r="H454" s="23"/>
      <c r="J454" s="142"/>
    </row>
    <row r="455" spans="1:10" s="17" customFormat="1">
      <c r="A455" s="51"/>
      <c r="C455" s="4"/>
      <c r="D455" s="179"/>
      <c r="E455" s="179"/>
      <c r="F455" s="179"/>
      <c r="G455" s="199"/>
      <c r="H455" s="23"/>
      <c r="J455" s="142"/>
    </row>
    <row r="456" spans="1:10" s="17" customFormat="1">
      <c r="A456" s="51"/>
      <c r="C456" s="4"/>
      <c r="D456" s="179"/>
      <c r="E456" s="179"/>
      <c r="F456" s="179"/>
      <c r="G456" s="199"/>
      <c r="H456" s="23"/>
      <c r="J456" s="142"/>
    </row>
    <row r="457" spans="1:10" s="17" customFormat="1">
      <c r="A457" s="51"/>
      <c r="C457" s="4"/>
      <c r="D457" s="179"/>
      <c r="E457" s="179"/>
      <c r="F457" s="179"/>
      <c r="G457" s="199"/>
      <c r="H457" s="23"/>
      <c r="J457" s="142"/>
    </row>
    <row r="458" spans="1:10" s="17" customFormat="1">
      <c r="A458" s="51"/>
      <c r="C458" s="4"/>
      <c r="D458" s="179"/>
      <c r="E458" s="179"/>
      <c r="F458" s="179"/>
      <c r="G458" s="199"/>
      <c r="H458" s="23"/>
      <c r="J458" s="142"/>
    </row>
    <row r="459" spans="1:10" s="17" customFormat="1">
      <c r="A459" s="51"/>
      <c r="C459" s="4"/>
      <c r="D459" s="179"/>
      <c r="E459" s="179"/>
      <c r="F459" s="179"/>
      <c r="G459" s="199"/>
      <c r="H459" s="23"/>
      <c r="J459" s="142"/>
    </row>
    <row r="460" spans="1:10" s="17" customFormat="1">
      <c r="A460" s="51"/>
      <c r="C460" s="4"/>
      <c r="D460" s="179"/>
      <c r="E460" s="179"/>
      <c r="F460" s="179"/>
      <c r="G460" s="199"/>
      <c r="H460" s="23"/>
      <c r="J460" s="142"/>
    </row>
    <row r="461" spans="1:10" s="17" customFormat="1">
      <c r="A461" s="51"/>
      <c r="C461" s="4"/>
      <c r="D461" s="179"/>
      <c r="E461" s="179"/>
      <c r="F461" s="179"/>
      <c r="G461" s="199"/>
      <c r="H461" s="23"/>
      <c r="J461" s="142"/>
    </row>
    <row r="462" spans="1:10" s="17" customFormat="1">
      <c r="A462" s="51"/>
      <c r="C462" s="4"/>
      <c r="D462" s="179"/>
      <c r="E462" s="179"/>
      <c r="F462" s="179"/>
      <c r="G462" s="199"/>
      <c r="H462" s="23"/>
      <c r="J462" s="142"/>
    </row>
    <row r="463" spans="1:10" s="17" customFormat="1">
      <c r="A463" s="51"/>
      <c r="C463" s="4"/>
      <c r="D463" s="179"/>
      <c r="E463" s="179"/>
      <c r="F463" s="179"/>
      <c r="G463" s="199"/>
      <c r="H463" s="23"/>
      <c r="J463" s="142"/>
    </row>
    <row r="464" spans="1:10" s="17" customFormat="1">
      <c r="A464" s="51"/>
      <c r="C464" s="4"/>
      <c r="D464" s="179"/>
      <c r="E464" s="179"/>
      <c r="F464" s="179"/>
      <c r="G464" s="199"/>
      <c r="H464" s="23"/>
      <c r="J464" s="142"/>
    </row>
    <row r="465" spans="1:10" s="17" customFormat="1">
      <c r="A465" s="51"/>
      <c r="C465" s="4"/>
      <c r="D465" s="179"/>
      <c r="E465" s="179"/>
      <c r="F465" s="179"/>
      <c r="G465" s="199"/>
      <c r="H465" s="23"/>
      <c r="J465" s="142"/>
    </row>
    <row r="466" spans="1:10" s="17" customFormat="1">
      <c r="A466" s="51"/>
      <c r="C466" s="4"/>
      <c r="D466" s="179"/>
      <c r="E466" s="179"/>
      <c r="F466" s="179"/>
      <c r="G466" s="199"/>
      <c r="H466" s="23"/>
      <c r="J466" s="142"/>
    </row>
    <row r="467" spans="1:10" s="17" customFormat="1">
      <c r="A467" s="51"/>
      <c r="C467" s="4"/>
      <c r="D467" s="179"/>
      <c r="E467" s="179"/>
      <c r="F467" s="179"/>
      <c r="G467" s="199"/>
      <c r="H467" s="23"/>
      <c r="J467" s="142"/>
    </row>
    <row r="468" spans="1:10" s="17" customFormat="1">
      <c r="A468" s="51"/>
      <c r="C468" s="4"/>
      <c r="D468" s="179"/>
      <c r="E468" s="179"/>
      <c r="F468" s="179"/>
      <c r="G468" s="199"/>
      <c r="H468" s="23"/>
      <c r="J468" s="142"/>
    </row>
    <row r="469" spans="1:10" s="17" customFormat="1">
      <c r="A469" s="51"/>
      <c r="C469" s="4"/>
      <c r="D469" s="179"/>
      <c r="E469" s="179"/>
      <c r="F469" s="179"/>
      <c r="G469" s="199"/>
      <c r="H469" s="23"/>
      <c r="J469" s="142"/>
    </row>
    <row r="470" spans="1:10" s="17" customFormat="1">
      <c r="A470" s="51"/>
      <c r="C470" s="4"/>
      <c r="D470" s="179"/>
      <c r="E470" s="179"/>
      <c r="F470" s="179"/>
      <c r="G470" s="199"/>
      <c r="H470" s="23"/>
      <c r="J470" s="142"/>
    </row>
    <row r="471" spans="1:10" s="17" customFormat="1">
      <c r="A471" s="51"/>
      <c r="C471" s="4"/>
      <c r="D471" s="179"/>
      <c r="E471" s="179"/>
      <c r="F471" s="179"/>
      <c r="G471" s="199"/>
      <c r="H471" s="23"/>
      <c r="J471" s="142"/>
    </row>
    <row r="472" spans="1:10" s="17" customFormat="1">
      <c r="A472" s="51"/>
      <c r="C472" s="4"/>
      <c r="D472" s="179"/>
      <c r="E472" s="179"/>
      <c r="F472" s="179"/>
      <c r="G472" s="199"/>
      <c r="H472" s="23"/>
      <c r="J472" s="142"/>
    </row>
    <row r="473" spans="1:10" s="17" customFormat="1">
      <c r="A473" s="51"/>
      <c r="C473" s="4"/>
      <c r="D473" s="179"/>
      <c r="E473" s="179"/>
      <c r="F473" s="179"/>
      <c r="G473" s="199"/>
      <c r="H473" s="23"/>
      <c r="J473" s="142"/>
    </row>
    <row r="474" spans="1:10" s="17" customFormat="1">
      <c r="A474" s="51"/>
      <c r="C474" s="4"/>
      <c r="D474" s="179"/>
      <c r="E474" s="179"/>
      <c r="F474" s="179"/>
      <c r="G474" s="199"/>
      <c r="H474" s="23"/>
      <c r="J474" s="142"/>
    </row>
    <row r="475" spans="1:10" s="17" customFormat="1">
      <c r="A475" s="51"/>
      <c r="C475" s="4"/>
      <c r="D475" s="179"/>
      <c r="E475" s="179"/>
      <c r="F475" s="179"/>
      <c r="G475" s="199"/>
      <c r="H475" s="23"/>
      <c r="J475" s="142"/>
    </row>
    <row r="476" spans="1:10" s="17" customFormat="1">
      <c r="A476" s="51"/>
      <c r="C476" s="4"/>
      <c r="D476" s="179"/>
      <c r="E476" s="179"/>
      <c r="F476" s="179"/>
      <c r="G476" s="199"/>
      <c r="H476" s="23"/>
      <c r="J476" s="142"/>
    </row>
    <row r="477" spans="1:10" s="17" customFormat="1">
      <c r="A477" s="51"/>
      <c r="C477" s="4"/>
      <c r="D477" s="179"/>
      <c r="E477" s="179"/>
      <c r="F477" s="179"/>
      <c r="G477" s="199"/>
      <c r="H477" s="23"/>
      <c r="J477" s="142"/>
    </row>
    <row r="478" spans="1:10" s="17" customFormat="1">
      <c r="A478" s="51"/>
      <c r="C478" s="4"/>
      <c r="D478" s="179"/>
      <c r="E478" s="179"/>
      <c r="F478" s="179"/>
      <c r="G478" s="199"/>
      <c r="H478" s="23"/>
      <c r="J478" s="142"/>
    </row>
    <row r="479" spans="1:10" s="17" customFormat="1">
      <c r="A479" s="51"/>
      <c r="C479" s="4"/>
      <c r="D479" s="179"/>
      <c r="E479" s="179"/>
      <c r="F479" s="179"/>
      <c r="G479" s="199"/>
      <c r="H479" s="23"/>
      <c r="J479" s="142"/>
    </row>
    <row r="480" spans="1:10" s="17" customFormat="1">
      <c r="A480" s="51"/>
      <c r="C480" s="4"/>
      <c r="D480" s="179"/>
      <c r="E480" s="179"/>
      <c r="F480" s="179"/>
      <c r="G480" s="199"/>
      <c r="H480" s="23"/>
      <c r="J480" s="142"/>
    </row>
    <row r="481" spans="1:10" s="17" customFormat="1">
      <c r="A481" s="51"/>
      <c r="C481" s="4"/>
      <c r="D481" s="179"/>
      <c r="E481" s="179"/>
      <c r="F481" s="179"/>
      <c r="G481" s="199"/>
      <c r="H481" s="23"/>
      <c r="J481" s="142"/>
    </row>
    <row r="482" spans="1:10" s="17" customFormat="1">
      <c r="A482" s="51"/>
      <c r="C482" s="4"/>
      <c r="D482" s="179"/>
      <c r="E482" s="179"/>
      <c r="F482" s="179"/>
      <c r="G482" s="199"/>
      <c r="H482" s="23"/>
      <c r="J482" s="142"/>
    </row>
    <row r="483" spans="1:10" s="17" customFormat="1">
      <c r="A483" s="51"/>
      <c r="C483" s="4"/>
      <c r="D483" s="179"/>
      <c r="E483" s="179"/>
      <c r="F483" s="179"/>
      <c r="G483" s="199"/>
      <c r="H483" s="23"/>
      <c r="J483" s="142"/>
    </row>
    <row r="484" spans="1:10" s="17" customFormat="1">
      <c r="A484" s="51"/>
      <c r="C484" s="4"/>
      <c r="D484" s="179"/>
      <c r="E484" s="179"/>
      <c r="F484" s="179"/>
      <c r="G484" s="199"/>
      <c r="H484" s="23"/>
      <c r="J484" s="142"/>
    </row>
    <row r="485" spans="1:10" s="17" customFormat="1">
      <c r="A485" s="51"/>
      <c r="C485" s="4"/>
      <c r="D485" s="179"/>
      <c r="E485" s="179"/>
      <c r="F485" s="179"/>
      <c r="G485" s="199"/>
      <c r="H485" s="23"/>
      <c r="J485" s="142"/>
    </row>
    <row r="486" spans="1:10" s="17" customFormat="1">
      <c r="A486" s="51"/>
      <c r="C486" s="4"/>
      <c r="D486" s="179"/>
      <c r="E486" s="179"/>
      <c r="F486" s="179"/>
      <c r="G486" s="199"/>
      <c r="H486" s="23"/>
      <c r="J486" s="142"/>
    </row>
    <row r="487" spans="1:10" s="17" customFormat="1">
      <c r="A487" s="51"/>
      <c r="C487" s="4"/>
      <c r="D487" s="179"/>
      <c r="E487" s="179"/>
      <c r="F487" s="179"/>
      <c r="G487" s="199"/>
      <c r="H487" s="23"/>
      <c r="J487" s="142"/>
    </row>
    <row r="488" spans="1:10" s="17" customFormat="1">
      <c r="A488" s="51"/>
      <c r="C488" s="4"/>
      <c r="D488" s="179"/>
      <c r="E488" s="179"/>
      <c r="F488" s="179"/>
      <c r="G488" s="199"/>
      <c r="H488" s="23"/>
      <c r="J488" s="142"/>
    </row>
    <row r="489" spans="1:10" s="17" customFormat="1">
      <c r="A489" s="51"/>
      <c r="C489" s="4"/>
      <c r="D489" s="179"/>
      <c r="E489" s="179"/>
      <c r="F489" s="179"/>
      <c r="G489" s="199"/>
      <c r="H489" s="23"/>
      <c r="J489" s="142"/>
    </row>
    <row r="490" spans="1:10" s="17" customFormat="1">
      <c r="A490" s="51"/>
      <c r="C490" s="4"/>
      <c r="D490" s="179"/>
      <c r="E490" s="179"/>
      <c r="F490" s="179"/>
      <c r="G490" s="199"/>
      <c r="H490" s="23"/>
      <c r="J490" s="142"/>
    </row>
    <row r="491" spans="1:10" s="17" customFormat="1">
      <c r="A491" s="51"/>
      <c r="C491" s="4"/>
      <c r="D491" s="179"/>
      <c r="E491" s="179"/>
      <c r="F491" s="179"/>
      <c r="G491" s="199"/>
      <c r="H491" s="23"/>
      <c r="J491" s="142"/>
    </row>
    <row r="492" spans="1:10" s="17" customFormat="1">
      <c r="A492" s="51"/>
      <c r="C492" s="4"/>
      <c r="D492" s="179"/>
      <c r="E492" s="179"/>
      <c r="F492" s="179"/>
      <c r="G492" s="199"/>
      <c r="H492" s="23"/>
      <c r="J492" s="142"/>
    </row>
    <row r="493" spans="1:10" s="17" customFormat="1">
      <c r="A493" s="51"/>
      <c r="C493" s="4"/>
      <c r="D493" s="179"/>
      <c r="E493" s="179"/>
      <c r="F493" s="179"/>
      <c r="G493" s="199"/>
      <c r="H493" s="23"/>
      <c r="J493" s="142"/>
    </row>
    <row r="494" spans="1:10" s="17" customFormat="1">
      <c r="A494" s="51"/>
      <c r="C494" s="4"/>
      <c r="D494" s="179"/>
      <c r="E494" s="179"/>
      <c r="F494" s="179"/>
      <c r="G494" s="199"/>
      <c r="H494" s="23"/>
      <c r="J494" s="142"/>
    </row>
    <row r="495" spans="1:10" s="17" customFormat="1">
      <c r="A495" s="51"/>
      <c r="C495" s="4"/>
      <c r="D495" s="179"/>
      <c r="E495" s="179"/>
      <c r="F495" s="179"/>
      <c r="G495" s="199"/>
      <c r="H495" s="23"/>
      <c r="J495" s="142"/>
    </row>
    <row r="496" spans="1:10" s="17" customFormat="1">
      <c r="A496" s="51"/>
      <c r="C496" s="4"/>
      <c r="D496" s="179"/>
      <c r="E496" s="179"/>
      <c r="F496" s="179"/>
      <c r="G496" s="199"/>
      <c r="H496" s="23"/>
      <c r="J496" s="142"/>
    </row>
    <row r="497" spans="1:10" s="17" customFormat="1">
      <c r="A497" s="51"/>
      <c r="C497" s="4"/>
      <c r="D497" s="179"/>
      <c r="E497" s="179"/>
      <c r="F497" s="179"/>
      <c r="G497" s="199"/>
      <c r="H497" s="23"/>
      <c r="J497" s="142"/>
    </row>
    <row r="498" spans="1:10" s="17" customFormat="1">
      <c r="A498" s="51"/>
      <c r="C498" s="4"/>
      <c r="D498" s="179"/>
      <c r="E498" s="179"/>
      <c r="F498" s="179"/>
      <c r="G498" s="199"/>
      <c r="H498" s="23"/>
      <c r="J498" s="142"/>
    </row>
    <row r="499" spans="1:10" s="17" customFormat="1">
      <c r="A499" s="51"/>
      <c r="C499" s="4"/>
      <c r="D499" s="179"/>
      <c r="E499" s="179"/>
      <c r="F499" s="179"/>
      <c r="G499" s="199"/>
      <c r="H499" s="23"/>
      <c r="J499" s="142"/>
    </row>
    <row r="500" spans="1:10" s="17" customFormat="1">
      <c r="A500" s="51"/>
      <c r="C500" s="4"/>
      <c r="D500" s="179"/>
      <c r="E500" s="179"/>
      <c r="F500" s="179"/>
      <c r="G500" s="199"/>
      <c r="H500" s="23"/>
      <c r="J500" s="142"/>
    </row>
    <row r="501" spans="1:10" s="17" customFormat="1">
      <c r="A501" s="51"/>
      <c r="C501" s="4"/>
      <c r="D501" s="179"/>
      <c r="E501" s="179"/>
      <c r="F501" s="179"/>
      <c r="G501" s="199"/>
      <c r="H501" s="23"/>
      <c r="J501" s="142"/>
    </row>
    <row r="502" spans="1:10" s="17" customFormat="1">
      <c r="A502" s="51"/>
      <c r="C502" s="4"/>
      <c r="D502" s="179"/>
      <c r="E502" s="179"/>
      <c r="F502" s="179"/>
      <c r="G502" s="199"/>
      <c r="H502" s="23"/>
      <c r="J502" s="142"/>
    </row>
    <row r="503" spans="1:10" s="17" customFormat="1">
      <c r="A503" s="51"/>
      <c r="C503" s="4"/>
      <c r="D503" s="179"/>
      <c r="E503" s="179"/>
      <c r="F503" s="179"/>
      <c r="G503" s="199"/>
      <c r="H503" s="23"/>
      <c r="J503" s="142"/>
    </row>
    <row r="504" spans="1:10" s="17" customFormat="1">
      <c r="A504" s="51"/>
      <c r="C504" s="4"/>
      <c r="D504" s="179"/>
      <c r="E504" s="179"/>
      <c r="F504" s="179"/>
      <c r="G504" s="199"/>
      <c r="H504" s="23"/>
      <c r="J504" s="142"/>
    </row>
    <row r="505" spans="1:10" s="17" customFormat="1">
      <c r="A505" s="51"/>
      <c r="C505" s="4"/>
      <c r="D505" s="179"/>
      <c r="E505" s="179"/>
      <c r="F505" s="179"/>
      <c r="G505" s="199"/>
      <c r="H505" s="23"/>
      <c r="J505" s="142"/>
    </row>
    <row r="506" spans="1:10" s="17" customFormat="1">
      <c r="A506" s="51"/>
      <c r="C506" s="4"/>
      <c r="D506" s="179"/>
      <c r="E506" s="179"/>
      <c r="F506" s="179"/>
      <c r="G506" s="199"/>
      <c r="H506" s="23"/>
      <c r="J506" s="142"/>
    </row>
    <row r="507" spans="1:10" s="17" customFormat="1">
      <c r="A507" s="51"/>
      <c r="C507" s="4"/>
      <c r="D507" s="179"/>
      <c r="E507" s="179"/>
      <c r="F507" s="179"/>
      <c r="G507" s="199"/>
      <c r="H507" s="23"/>
      <c r="J507" s="142"/>
    </row>
    <row r="508" spans="1:10" s="17" customFormat="1">
      <c r="A508" s="51"/>
      <c r="C508" s="4"/>
      <c r="D508" s="179"/>
      <c r="E508" s="179"/>
      <c r="F508" s="179"/>
      <c r="G508" s="199"/>
      <c r="H508" s="23"/>
      <c r="J508" s="142"/>
    </row>
    <row r="509" spans="1:10" s="17" customFormat="1">
      <c r="A509" s="51"/>
      <c r="C509" s="4"/>
      <c r="D509" s="179"/>
      <c r="E509" s="179"/>
      <c r="F509" s="179"/>
      <c r="G509" s="199"/>
      <c r="H509" s="23"/>
      <c r="J509" s="142"/>
    </row>
    <row r="510" spans="1:10" s="17" customFormat="1">
      <c r="A510" s="51"/>
      <c r="C510" s="4"/>
      <c r="D510" s="179"/>
      <c r="E510" s="179"/>
      <c r="F510" s="179"/>
      <c r="G510" s="199"/>
      <c r="H510" s="23"/>
      <c r="J510" s="142"/>
    </row>
    <row r="511" spans="1:10" s="17" customFormat="1">
      <c r="A511" s="51"/>
      <c r="C511" s="4"/>
      <c r="D511" s="179"/>
      <c r="E511" s="179"/>
      <c r="F511" s="179"/>
      <c r="G511" s="199"/>
      <c r="H511" s="23"/>
      <c r="J511" s="142"/>
    </row>
    <row r="512" spans="1:10" s="17" customFormat="1">
      <c r="A512" s="51"/>
      <c r="C512" s="4"/>
      <c r="D512" s="179"/>
      <c r="E512" s="179"/>
      <c r="F512" s="179"/>
      <c r="G512" s="199"/>
      <c r="H512" s="23"/>
      <c r="J512" s="142"/>
    </row>
    <row r="513" spans="1:10" s="17" customFormat="1">
      <c r="A513" s="51"/>
      <c r="C513" s="4"/>
      <c r="D513" s="179"/>
      <c r="E513" s="179"/>
      <c r="F513" s="179"/>
      <c r="G513" s="199"/>
      <c r="H513" s="23"/>
      <c r="J513" s="142"/>
    </row>
    <row r="514" spans="1:10" s="17" customFormat="1">
      <c r="A514" s="51"/>
      <c r="C514" s="4"/>
      <c r="D514" s="179"/>
      <c r="E514" s="179"/>
      <c r="F514" s="179"/>
      <c r="G514" s="199"/>
      <c r="H514" s="23"/>
      <c r="J514" s="142"/>
    </row>
    <row r="515" spans="1:10" s="17" customFormat="1">
      <c r="A515" s="51"/>
      <c r="C515" s="4"/>
      <c r="D515" s="179"/>
      <c r="E515" s="179"/>
      <c r="F515" s="179"/>
      <c r="G515" s="199"/>
      <c r="H515" s="23"/>
      <c r="J515" s="142"/>
    </row>
    <row r="516" spans="1:10" s="17" customFormat="1">
      <c r="A516" s="51"/>
      <c r="C516" s="4"/>
      <c r="D516" s="179"/>
      <c r="E516" s="179"/>
      <c r="F516" s="179"/>
      <c r="G516" s="199"/>
      <c r="H516" s="23"/>
      <c r="J516" s="142"/>
    </row>
    <row r="517" spans="1:10" s="17" customFormat="1">
      <c r="A517" s="51"/>
      <c r="C517" s="4"/>
      <c r="D517" s="179"/>
      <c r="E517" s="179"/>
      <c r="F517" s="179"/>
      <c r="G517" s="199"/>
      <c r="H517" s="23"/>
      <c r="J517" s="142"/>
    </row>
    <row r="518" spans="1:10" s="17" customFormat="1">
      <c r="A518" s="51"/>
      <c r="C518" s="4"/>
      <c r="D518" s="179"/>
      <c r="E518" s="179"/>
      <c r="F518" s="179"/>
      <c r="G518" s="199"/>
      <c r="H518" s="23"/>
      <c r="J518" s="142"/>
    </row>
    <row r="519" spans="1:10" s="17" customFormat="1">
      <c r="A519" s="51"/>
      <c r="C519" s="4"/>
      <c r="D519" s="179"/>
      <c r="E519" s="179"/>
      <c r="F519" s="179"/>
      <c r="G519" s="199"/>
      <c r="H519" s="23"/>
      <c r="J519" s="142"/>
    </row>
    <row r="520" spans="1:10" s="17" customFormat="1">
      <c r="A520" s="51"/>
      <c r="C520" s="4"/>
      <c r="D520" s="179"/>
      <c r="E520" s="179"/>
      <c r="F520" s="179"/>
      <c r="G520" s="199"/>
      <c r="H520" s="23"/>
      <c r="J520" s="142"/>
    </row>
    <row r="521" spans="1:10" s="17" customFormat="1">
      <c r="A521" s="51"/>
      <c r="C521" s="4"/>
      <c r="D521" s="179"/>
      <c r="E521" s="179"/>
      <c r="F521" s="179"/>
      <c r="G521" s="199"/>
      <c r="H521" s="23"/>
      <c r="J521" s="142"/>
    </row>
    <row r="522" spans="1:10" s="17" customFormat="1">
      <c r="A522" s="51"/>
      <c r="C522" s="4"/>
      <c r="D522" s="179"/>
      <c r="E522" s="179"/>
      <c r="F522" s="179"/>
      <c r="G522" s="199"/>
      <c r="H522" s="23"/>
      <c r="J522" s="142"/>
    </row>
    <row r="523" spans="1:10" s="17" customFormat="1">
      <c r="A523" s="51"/>
      <c r="C523" s="4"/>
      <c r="D523" s="179"/>
      <c r="E523" s="179"/>
      <c r="F523" s="179"/>
      <c r="G523" s="199"/>
      <c r="H523" s="23"/>
      <c r="J523" s="142"/>
    </row>
    <row r="524" spans="1:10" s="17" customFormat="1">
      <c r="A524" s="51"/>
      <c r="C524" s="4"/>
      <c r="D524" s="179"/>
      <c r="E524" s="179"/>
      <c r="F524" s="179"/>
      <c r="G524" s="199"/>
      <c r="H524" s="23"/>
      <c r="J524" s="142"/>
    </row>
    <row r="525" spans="1:10" s="17" customFormat="1">
      <c r="A525" s="51"/>
      <c r="C525" s="4"/>
      <c r="D525" s="179"/>
      <c r="E525" s="179"/>
      <c r="F525" s="179"/>
      <c r="G525" s="199"/>
      <c r="H525" s="23"/>
      <c r="J525" s="142"/>
    </row>
    <row r="526" spans="1:10" s="17" customFormat="1">
      <c r="A526" s="51"/>
      <c r="C526" s="4"/>
      <c r="D526" s="179"/>
      <c r="E526" s="179"/>
      <c r="F526" s="179"/>
      <c r="G526" s="199"/>
      <c r="H526" s="23"/>
      <c r="J526" s="142"/>
    </row>
    <row r="527" spans="1:10" s="17" customFormat="1">
      <c r="A527" s="51"/>
      <c r="C527" s="4"/>
      <c r="D527" s="179"/>
      <c r="E527" s="179"/>
      <c r="F527" s="179"/>
      <c r="G527" s="199"/>
      <c r="H527" s="23"/>
      <c r="J527" s="142"/>
    </row>
    <row r="528" spans="1:10" s="17" customFormat="1">
      <c r="A528" s="51"/>
      <c r="C528" s="4"/>
      <c r="D528" s="179"/>
      <c r="E528" s="179"/>
      <c r="F528" s="179"/>
      <c r="G528" s="199"/>
      <c r="H528" s="23"/>
      <c r="J528" s="142"/>
    </row>
    <row r="529" spans="1:10" s="17" customFormat="1">
      <c r="A529" s="51"/>
      <c r="C529" s="4"/>
      <c r="D529" s="179"/>
      <c r="E529" s="179"/>
      <c r="F529" s="179"/>
      <c r="G529" s="199"/>
      <c r="H529" s="23"/>
      <c r="J529" s="142"/>
    </row>
    <row r="530" spans="1:10" s="17" customFormat="1">
      <c r="A530" s="51"/>
      <c r="C530" s="4"/>
      <c r="D530" s="179"/>
      <c r="E530" s="179"/>
      <c r="F530" s="179"/>
      <c r="G530" s="199"/>
      <c r="H530" s="23"/>
      <c r="J530" s="142"/>
    </row>
    <row r="531" spans="1:10" s="17" customFormat="1">
      <c r="A531" s="51"/>
      <c r="C531" s="4"/>
      <c r="D531" s="179"/>
      <c r="E531" s="179"/>
      <c r="F531" s="179"/>
      <c r="G531" s="199"/>
      <c r="H531" s="23"/>
      <c r="J531" s="142"/>
    </row>
    <row r="532" spans="1:10" s="17" customFormat="1">
      <c r="A532" s="51"/>
      <c r="C532" s="4"/>
      <c r="D532" s="179"/>
      <c r="E532" s="179"/>
      <c r="F532" s="179"/>
      <c r="G532" s="199"/>
      <c r="H532" s="23"/>
      <c r="J532" s="142"/>
    </row>
    <row r="533" spans="1:10" s="17" customFormat="1">
      <c r="A533" s="51"/>
      <c r="C533" s="4"/>
      <c r="D533" s="179"/>
      <c r="E533" s="179"/>
      <c r="F533" s="179"/>
      <c r="G533" s="199"/>
      <c r="H533" s="23"/>
      <c r="J533" s="142"/>
    </row>
    <row r="534" spans="1:10" s="17" customFormat="1">
      <c r="A534" s="51"/>
      <c r="C534" s="4"/>
      <c r="D534" s="179"/>
      <c r="E534" s="179"/>
      <c r="F534" s="179"/>
      <c r="G534" s="199"/>
      <c r="H534" s="23"/>
      <c r="J534" s="142"/>
    </row>
    <row r="535" spans="1:10" s="17" customFormat="1">
      <c r="A535" s="51"/>
      <c r="C535" s="4"/>
      <c r="D535" s="179"/>
      <c r="E535" s="179"/>
      <c r="F535" s="179"/>
      <c r="G535" s="199"/>
      <c r="H535" s="23"/>
      <c r="J535" s="142"/>
    </row>
    <row r="536" spans="1:10" s="17" customFormat="1">
      <c r="A536" s="51"/>
      <c r="C536" s="4"/>
      <c r="D536" s="179"/>
      <c r="E536" s="179"/>
      <c r="F536" s="179"/>
      <c r="G536" s="199"/>
      <c r="H536" s="23"/>
      <c r="J536" s="142"/>
    </row>
    <row r="537" spans="1:10" s="17" customFormat="1">
      <c r="A537" s="51"/>
      <c r="C537" s="4"/>
      <c r="D537" s="179"/>
      <c r="E537" s="179"/>
      <c r="F537" s="179"/>
      <c r="G537" s="199"/>
      <c r="H537" s="23"/>
      <c r="J537" s="142"/>
    </row>
    <row r="538" spans="1:10" s="17" customFormat="1">
      <c r="A538" s="51"/>
      <c r="C538" s="4"/>
      <c r="D538" s="179"/>
      <c r="E538" s="179"/>
      <c r="F538" s="179"/>
      <c r="G538" s="199"/>
      <c r="H538" s="23"/>
      <c r="J538" s="142"/>
    </row>
    <row r="539" spans="1:10" s="17" customFormat="1">
      <c r="A539" s="51"/>
      <c r="C539" s="4"/>
      <c r="D539" s="179"/>
      <c r="E539" s="179"/>
      <c r="F539" s="179"/>
      <c r="G539" s="199"/>
      <c r="H539" s="23"/>
      <c r="J539" s="142"/>
    </row>
    <row r="540" spans="1:10" s="17" customFormat="1">
      <c r="A540" s="51"/>
      <c r="C540" s="4"/>
      <c r="D540" s="179"/>
      <c r="E540" s="179"/>
      <c r="F540" s="179"/>
      <c r="G540" s="199"/>
      <c r="H540" s="23"/>
      <c r="J540" s="142"/>
    </row>
    <row r="541" spans="1:10" s="17" customFormat="1">
      <c r="A541" s="51"/>
      <c r="C541" s="4"/>
      <c r="D541" s="179"/>
      <c r="E541" s="179"/>
      <c r="F541" s="179"/>
      <c r="G541" s="199"/>
      <c r="H541" s="23"/>
      <c r="J541" s="142"/>
    </row>
    <row r="542" spans="1:10" s="17" customFormat="1">
      <c r="A542" s="51"/>
      <c r="C542" s="4"/>
      <c r="D542" s="179"/>
      <c r="E542" s="179"/>
      <c r="F542" s="179"/>
      <c r="G542" s="199"/>
      <c r="H542" s="23"/>
      <c r="J542" s="142"/>
    </row>
    <row r="543" spans="1:10" s="17" customFormat="1">
      <c r="A543" s="51"/>
      <c r="C543" s="4"/>
      <c r="D543" s="179"/>
      <c r="E543" s="179"/>
      <c r="F543" s="179"/>
      <c r="G543" s="199"/>
      <c r="H543" s="23"/>
      <c r="J543" s="142"/>
    </row>
    <row r="544" spans="1:10" s="17" customFormat="1">
      <c r="A544" s="51"/>
      <c r="C544" s="4"/>
      <c r="D544" s="179"/>
      <c r="E544" s="179"/>
      <c r="F544" s="179"/>
      <c r="G544" s="199"/>
      <c r="H544" s="23"/>
      <c r="J544" s="142"/>
    </row>
    <row r="545" spans="1:10" s="17" customFormat="1">
      <c r="A545" s="51"/>
      <c r="C545" s="4"/>
      <c r="D545" s="179"/>
      <c r="E545" s="179"/>
      <c r="F545" s="179"/>
      <c r="G545" s="199"/>
      <c r="H545" s="23"/>
      <c r="J545" s="142"/>
    </row>
    <row r="546" spans="1:10" s="17" customFormat="1">
      <c r="A546" s="51"/>
      <c r="C546" s="4"/>
      <c r="D546" s="179"/>
      <c r="E546" s="179"/>
      <c r="F546" s="179"/>
      <c r="G546" s="199"/>
      <c r="H546" s="23"/>
      <c r="J546" s="142"/>
    </row>
    <row r="547" spans="1:10" s="17" customFormat="1">
      <c r="A547" s="51"/>
      <c r="C547" s="4"/>
      <c r="D547" s="179"/>
      <c r="E547" s="179"/>
      <c r="F547" s="179"/>
      <c r="G547" s="199"/>
      <c r="H547" s="23"/>
      <c r="J547" s="142"/>
    </row>
    <row r="548" spans="1:10" s="17" customFormat="1">
      <c r="A548" s="51"/>
      <c r="C548" s="4"/>
      <c r="D548" s="179"/>
      <c r="E548" s="179"/>
      <c r="F548" s="179"/>
      <c r="G548" s="199"/>
      <c r="H548" s="23"/>
      <c r="J548" s="142"/>
    </row>
    <row r="549" spans="1:10" s="17" customFormat="1">
      <c r="A549" s="51"/>
      <c r="C549" s="4"/>
      <c r="D549" s="179"/>
      <c r="E549" s="179"/>
      <c r="F549" s="179"/>
      <c r="G549" s="199"/>
      <c r="H549" s="23"/>
      <c r="J549" s="142"/>
    </row>
    <row r="550" spans="1:10" s="17" customFormat="1">
      <c r="A550" s="51"/>
      <c r="C550" s="4"/>
      <c r="D550" s="179"/>
      <c r="E550" s="179"/>
      <c r="F550" s="179"/>
      <c r="G550" s="199"/>
      <c r="H550" s="23"/>
      <c r="J550" s="142"/>
    </row>
    <row r="551" spans="1:10" s="17" customFormat="1">
      <c r="A551" s="51"/>
      <c r="C551" s="4"/>
      <c r="D551" s="179"/>
      <c r="E551" s="179"/>
      <c r="F551" s="179"/>
      <c r="G551" s="199"/>
      <c r="H551" s="23"/>
      <c r="J551" s="142"/>
    </row>
    <row r="552" spans="1:10" s="17" customFormat="1">
      <c r="A552" s="51"/>
      <c r="C552" s="4"/>
      <c r="D552" s="179"/>
      <c r="E552" s="179"/>
      <c r="F552" s="179"/>
      <c r="G552" s="199"/>
      <c r="H552" s="23"/>
      <c r="J552" s="142"/>
    </row>
    <row r="553" spans="1:10" s="17" customFormat="1">
      <c r="A553" s="51"/>
      <c r="C553" s="4"/>
      <c r="D553" s="179"/>
      <c r="E553" s="179"/>
      <c r="F553" s="179"/>
      <c r="G553" s="199"/>
      <c r="H553" s="23"/>
      <c r="J553" s="142"/>
    </row>
    <row r="554" spans="1:10" s="17" customFormat="1">
      <c r="A554" s="51"/>
      <c r="C554" s="4"/>
      <c r="D554" s="179"/>
      <c r="E554" s="179"/>
      <c r="F554" s="179"/>
      <c r="G554" s="199"/>
      <c r="H554" s="23"/>
      <c r="J554" s="142"/>
    </row>
    <row r="555" spans="1:10" s="17" customFormat="1">
      <c r="A555" s="51"/>
      <c r="C555" s="4"/>
      <c r="D555" s="179"/>
      <c r="E555" s="179"/>
      <c r="F555" s="179"/>
      <c r="G555" s="199"/>
      <c r="H555" s="23"/>
      <c r="J555" s="142"/>
    </row>
    <row r="556" spans="1:10" s="17" customFormat="1">
      <c r="A556" s="51"/>
      <c r="C556" s="4"/>
      <c r="D556" s="179"/>
      <c r="E556" s="179"/>
      <c r="F556" s="179"/>
      <c r="G556" s="199"/>
      <c r="H556" s="23"/>
      <c r="J556" s="142"/>
    </row>
    <row r="557" spans="1:10" s="17" customFormat="1">
      <c r="A557" s="51"/>
      <c r="C557" s="4"/>
      <c r="D557" s="179"/>
      <c r="E557" s="179"/>
      <c r="F557" s="179"/>
      <c r="G557" s="199"/>
      <c r="H557" s="23"/>
      <c r="J557" s="142"/>
    </row>
    <row r="558" spans="1:10" s="17" customFormat="1">
      <c r="A558" s="51"/>
      <c r="C558" s="4"/>
      <c r="D558" s="179"/>
      <c r="E558" s="179"/>
      <c r="F558" s="179"/>
      <c r="G558" s="199"/>
      <c r="H558" s="23"/>
      <c r="J558" s="142"/>
    </row>
    <row r="559" spans="1:10" s="17" customFormat="1">
      <c r="A559" s="51"/>
      <c r="C559" s="4"/>
      <c r="D559" s="179"/>
      <c r="E559" s="179"/>
      <c r="F559" s="179"/>
      <c r="G559" s="199"/>
      <c r="H559" s="23"/>
      <c r="J559" s="142"/>
    </row>
    <row r="560" spans="1:10" s="17" customFormat="1">
      <c r="A560" s="51"/>
      <c r="C560" s="4"/>
      <c r="D560" s="179"/>
      <c r="E560" s="179"/>
      <c r="F560" s="179"/>
      <c r="G560" s="199"/>
      <c r="H560" s="23"/>
      <c r="J560" s="142"/>
    </row>
    <row r="561" spans="1:10" s="17" customFormat="1">
      <c r="A561" s="51"/>
      <c r="C561" s="4"/>
      <c r="D561" s="179"/>
      <c r="E561" s="179"/>
      <c r="F561" s="179"/>
      <c r="G561" s="199"/>
      <c r="H561" s="23"/>
      <c r="J561" s="142"/>
    </row>
    <row r="562" spans="1:10" s="17" customFormat="1">
      <c r="A562" s="51"/>
      <c r="C562" s="4"/>
      <c r="D562" s="179"/>
      <c r="E562" s="179"/>
      <c r="F562" s="179"/>
      <c r="G562" s="199"/>
      <c r="H562" s="23"/>
      <c r="J562" s="142"/>
    </row>
    <row r="563" spans="1:10" s="17" customFormat="1">
      <c r="A563" s="51"/>
      <c r="C563" s="4"/>
      <c r="D563" s="179"/>
      <c r="E563" s="179"/>
      <c r="F563" s="179"/>
      <c r="G563" s="199"/>
      <c r="H563" s="23"/>
      <c r="J563" s="142"/>
    </row>
    <row r="564" spans="1:10" s="17" customFormat="1">
      <c r="A564" s="51"/>
      <c r="C564" s="4"/>
      <c r="D564" s="179"/>
      <c r="E564" s="179"/>
      <c r="F564" s="179"/>
      <c r="G564" s="199"/>
      <c r="H564" s="23"/>
      <c r="J564" s="142"/>
    </row>
    <row r="565" spans="1:10" s="17" customFormat="1">
      <c r="A565" s="51"/>
      <c r="C565" s="4"/>
      <c r="D565" s="179"/>
      <c r="E565" s="179"/>
      <c r="F565" s="179"/>
      <c r="G565" s="199"/>
      <c r="H565" s="23"/>
      <c r="J565" s="142"/>
    </row>
    <row r="566" spans="1:10" s="17" customFormat="1">
      <c r="A566" s="51"/>
      <c r="C566" s="4"/>
      <c r="D566" s="179"/>
      <c r="E566" s="179"/>
      <c r="F566" s="179"/>
      <c r="G566" s="199"/>
      <c r="H566" s="23"/>
      <c r="J566" s="142"/>
    </row>
    <row r="567" spans="1:10" s="17" customFormat="1">
      <c r="A567" s="51"/>
      <c r="C567" s="4"/>
      <c r="D567" s="179"/>
      <c r="E567" s="179"/>
      <c r="F567" s="179"/>
      <c r="G567" s="199"/>
      <c r="H567" s="23"/>
      <c r="J567" s="142"/>
    </row>
    <row r="568" spans="1:10" s="17" customFormat="1">
      <c r="A568" s="51"/>
      <c r="C568" s="4"/>
      <c r="D568" s="179"/>
      <c r="E568" s="179"/>
      <c r="F568" s="179"/>
      <c r="G568" s="199"/>
      <c r="H568" s="23"/>
      <c r="J568" s="142"/>
    </row>
    <row r="569" spans="1:10" s="17" customFormat="1">
      <c r="A569" s="51"/>
      <c r="C569" s="4"/>
      <c r="D569" s="179"/>
      <c r="E569" s="179"/>
      <c r="F569" s="179"/>
      <c r="G569" s="199"/>
      <c r="H569" s="23"/>
      <c r="J569" s="142"/>
    </row>
    <row r="570" spans="1:10" s="17" customFormat="1">
      <c r="A570" s="51"/>
      <c r="C570" s="4"/>
      <c r="D570" s="179"/>
      <c r="E570" s="179"/>
      <c r="F570" s="179"/>
      <c r="G570" s="199"/>
      <c r="H570" s="23"/>
      <c r="J570" s="142"/>
    </row>
    <row r="571" spans="1:10" s="17" customFormat="1">
      <c r="A571" s="51"/>
      <c r="C571" s="4"/>
      <c r="D571" s="179"/>
      <c r="E571" s="179"/>
      <c r="F571" s="179"/>
      <c r="G571" s="199"/>
      <c r="H571" s="23"/>
      <c r="J571" s="142"/>
    </row>
    <row r="572" spans="1:10" s="17" customFormat="1">
      <c r="A572" s="51"/>
      <c r="C572" s="4"/>
      <c r="D572" s="179"/>
      <c r="E572" s="179"/>
      <c r="F572" s="179"/>
      <c r="G572" s="199"/>
      <c r="H572" s="23"/>
      <c r="J572" s="142"/>
    </row>
    <row r="573" spans="1:10" s="17" customFormat="1">
      <c r="A573" s="51"/>
      <c r="C573" s="4"/>
      <c r="D573" s="179"/>
      <c r="E573" s="179"/>
      <c r="F573" s="179"/>
      <c r="G573" s="199"/>
      <c r="H573" s="23"/>
      <c r="J573" s="142"/>
    </row>
    <row r="574" spans="1:10" s="17" customFormat="1">
      <c r="A574" s="51"/>
      <c r="C574" s="4"/>
      <c r="D574" s="179"/>
      <c r="E574" s="179"/>
      <c r="F574" s="179"/>
      <c r="G574" s="199"/>
      <c r="H574" s="23"/>
      <c r="J574" s="142"/>
    </row>
    <row r="575" spans="1:10" s="17" customFormat="1">
      <c r="A575" s="51"/>
      <c r="C575" s="4"/>
      <c r="D575" s="179"/>
      <c r="E575" s="179"/>
      <c r="F575" s="179"/>
      <c r="G575" s="199"/>
      <c r="H575" s="23"/>
      <c r="J575" s="142"/>
    </row>
    <row r="576" spans="1:10" s="17" customFormat="1">
      <c r="A576" s="51"/>
      <c r="C576" s="4"/>
      <c r="D576" s="179"/>
      <c r="E576" s="179"/>
      <c r="F576" s="179"/>
      <c r="G576" s="199"/>
      <c r="H576" s="23"/>
      <c r="J576" s="142"/>
    </row>
    <row r="577" spans="1:10" s="17" customFormat="1">
      <c r="A577" s="51"/>
      <c r="C577" s="4"/>
      <c r="D577" s="179"/>
      <c r="E577" s="179"/>
      <c r="F577" s="179"/>
      <c r="G577" s="199"/>
      <c r="H577" s="23"/>
      <c r="J577" s="142"/>
    </row>
    <row r="578" spans="1:10" s="17" customFormat="1">
      <c r="A578" s="51"/>
      <c r="C578" s="4"/>
      <c r="D578" s="179"/>
      <c r="E578" s="179"/>
      <c r="F578" s="179"/>
      <c r="G578" s="199"/>
      <c r="H578" s="23"/>
      <c r="J578" s="142"/>
    </row>
    <row r="579" spans="1:10" s="17" customFormat="1">
      <c r="A579" s="51"/>
      <c r="C579" s="4"/>
      <c r="D579" s="179"/>
      <c r="E579" s="179"/>
      <c r="F579" s="179"/>
      <c r="G579" s="199"/>
      <c r="H579" s="23"/>
      <c r="J579" s="142"/>
    </row>
    <row r="580" spans="1:10" s="17" customFormat="1">
      <c r="A580" s="51"/>
      <c r="C580" s="4"/>
      <c r="D580" s="179"/>
      <c r="E580" s="179"/>
      <c r="F580" s="179"/>
      <c r="G580" s="199"/>
      <c r="H580" s="23"/>
      <c r="J580" s="142"/>
    </row>
    <row r="581" spans="1:10" s="17" customFormat="1">
      <c r="A581" s="51"/>
      <c r="C581" s="4"/>
      <c r="D581" s="179"/>
      <c r="E581" s="179"/>
      <c r="F581" s="179"/>
      <c r="G581" s="199"/>
      <c r="H581" s="23"/>
      <c r="J581" s="142"/>
    </row>
    <row r="582" spans="1:10" s="17" customFormat="1">
      <c r="A582" s="51"/>
      <c r="C582" s="4"/>
      <c r="D582" s="179"/>
      <c r="E582" s="179"/>
      <c r="F582" s="179"/>
      <c r="G582" s="199"/>
      <c r="H582" s="23"/>
      <c r="J582" s="142"/>
    </row>
    <row r="583" spans="1:10" s="17" customFormat="1">
      <c r="A583" s="51"/>
      <c r="C583" s="4"/>
      <c r="D583" s="179"/>
      <c r="E583" s="179"/>
      <c r="F583" s="179"/>
      <c r="G583" s="199"/>
      <c r="H583" s="23"/>
      <c r="J583" s="142"/>
    </row>
    <row r="584" spans="1:10" s="17" customFormat="1">
      <c r="A584" s="51"/>
      <c r="C584" s="4"/>
      <c r="D584" s="179"/>
      <c r="E584" s="179"/>
      <c r="F584" s="179"/>
      <c r="G584" s="199"/>
      <c r="H584" s="23"/>
      <c r="J584" s="142"/>
    </row>
    <row r="585" spans="1:10" s="17" customFormat="1">
      <c r="A585" s="51"/>
      <c r="C585" s="4"/>
      <c r="D585" s="179"/>
      <c r="E585" s="179"/>
      <c r="F585" s="179"/>
      <c r="G585" s="199"/>
      <c r="H585" s="23"/>
      <c r="J585" s="142"/>
    </row>
    <row r="586" spans="1:10" s="17" customFormat="1">
      <c r="A586" s="51"/>
      <c r="C586" s="4"/>
      <c r="D586" s="179"/>
      <c r="E586" s="179"/>
      <c r="F586" s="179"/>
      <c r="G586" s="199"/>
      <c r="H586" s="23"/>
      <c r="J586" s="142"/>
    </row>
    <row r="587" spans="1:10" s="17" customFormat="1">
      <c r="A587" s="51"/>
      <c r="C587" s="4"/>
      <c r="D587" s="179"/>
      <c r="E587" s="179"/>
      <c r="F587" s="179"/>
      <c r="G587" s="199"/>
      <c r="H587" s="23"/>
      <c r="J587" s="142"/>
    </row>
    <row r="588" spans="1:10" s="17" customFormat="1">
      <c r="A588" s="51"/>
      <c r="C588" s="4"/>
      <c r="D588" s="179"/>
      <c r="E588" s="179"/>
      <c r="F588" s="179"/>
      <c r="G588" s="199"/>
      <c r="H588" s="23"/>
      <c r="J588" s="142"/>
    </row>
    <row r="589" spans="1:10" s="17" customFormat="1">
      <c r="A589" s="51"/>
      <c r="C589" s="4"/>
      <c r="D589" s="179"/>
      <c r="E589" s="179"/>
      <c r="F589" s="179"/>
      <c r="G589" s="199"/>
      <c r="H589" s="23"/>
      <c r="J589" s="142"/>
    </row>
    <row r="590" spans="1:10" s="17" customFormat="1">
      <c r="A590" s="51"/>
      <c r="C590" s="4"/>
      <c r="D590" s="179"/>
      <c r="E590" s="179"/>
      <c r="F590" s="179"/>
      <c r="G590" s="199"/>
      <c r="H590" s="23"/>
      <c r="J590" s="142"/>
    </row>
    <row r="591" spans="1:10" s="17" customFormat="1">
      <c r="A591" s="51"/>
      <c r="C591" s="4"/>
      <c r="D591" s="179"/>
      <c r="E591" s="179"/>
      <c r="F591" s="179"/>
      <c r="G591" s="199"/>
      <c r="H591" s="23"/>
      <c r="J591" s="142"/>
    </row>
    <row r="592" spans="1:10" s="17" customFormat="1">
      <c r="A592" s="51"/>
      <c r="C592" s="4"/>
      <c r="D592" s="179"/>
      <c r="E592" s="179"/>
      <c r="F592" s="179"/>
      <c r="G592" s="199"/>
      <c r="H592" s="23"/>
      <c r="J592" s="142"/>
    </row>
    <row r="593" spans="1:10" s="17" customFormat="1">
      <c r="A593" s="51"/>
      <c r="C593" s="4"/>
      <c r="D593" s="179"/>
      <c r="E593" s="179"/>
      <c r="F593" s="179"/>
      <c r="G593" s="199"/>
      <c r="H593" s="23"/>
      <c r="J593" s="142"/>
    </row>
    <row r="594" spans="1:10" s="17" customFormat="1">
      <c r="A594" s="51"/>
      <c r="C594" s="4"/>
      <c r="D594" s="179"/>
      <c r="E594" s="179"/>
      <c r="F594" s="179"/>
      <c r="G594" s="199"/>
      <c r="H594" s="23"/>
      <c r="J594" s="142"/>
    </row>
    <row r="595" spans="1:10" s="17" customFormat="1">
      <c r="A595" s="51"/>
      <c r="C595" s="4"/>
      <c r="D595" s="179"/>
      <c r="E595" s="179"/>
      <c r="F595" s="179"/>
      <c r="G595" s="199"/>
      <c r="H595" s="23"/>
      <c r="J595" s="142"/>
    </row>
    <row r="596" spans="1:10" s="17" customFormat="1">
      <c r="A596" s="51"/>
      <c r="C596" s="4"/>
      <c r="D596" s="179"/>
      <c r="E596" s="179"/>
      <c r="F596" s="179"/>
      <c r="G596" s="199"/>
      <c r="H596" s="23"/>
      <c r="J596" s="142"/>
    </row>
    <row r="597" spans="1:10" s="17" customFormat="1">
      <c r="A597" s="51"/>
      <c r="C597" s="4"/>
      <c r="D597" s="179"/>
      <c r="E597" s="179"/>
      <c r="F597" s="179"/>
      <c r="G597" s="199"/>
      <c r="H597" s="23"/>
      <c r="J597" s="142"/>
    </row>
    <row r="598" spans="1:10" s="17" customFormat="1">
      <c r="A598" s="51"/>
      <c r="C598" s="4"/>
      <c r="D598" s="179"/>
      <c r="E598" s="179"/>
      <c r="F598" s="179"/>
      <c r="G598" s="199"/>
      <c r="H598" s="23"/>
      <c r="J598" s="142"/>
    </row>
    <row r="599" spans="1:10" s="17" customFormat="1">
      <c r="A599" s="51"/>
      <c r="C599" s="4"/>
      <c r="D599" s="179"/>
      <c r="E599" s="179"/>
      <c r="F599" s="179"/>
      <c r="G599" s="199"/>
      <c r="H599" s="23"/>
      <c r="J599" s="142"/>
    </row>
    <row r="600" spans="1:10" s="17" customFormat="1">
      <c r="A600" s="51"/>
      <c r="C600" s="4"/>
      <c r="D600" s="179"/>
      <c r="E600" s="179"/>
      <c r="F600" s="179"/>
      <c r="G600" s="199"/>
      <c r="H600" s="23"/>
      <c r="J600" s="142"/>
    </row>
    <row r="601" spans="1:10" s="17" customFormat="1">
      <c r="A601" s="51"/>
      <c r="C601" s="4"/>
      <c r="D601" s="179"/>
      <c r="E601" s="179"/>
      <c r="F601" s="179"/>
      <c r="G601" s="199"/>
      <c r="H601" s="23"/>
      <c r="J601" s="142"/>
    </row>
    <row r="602" spans="1:10" s="17" customFormat="1">
      <c r="A602" s="51"/>
      <c r="C602" s="4"/>
      <c r="D602" s="179"/>
      <c r="E602" s="179"/>
      <c r="F602" s="179"/>
      <c r="G602" s="199"/>
      <c r="H602" s="23"/>
      <c r="J602" s="142"/>
    </row>
    <row r="603" spans="1:10" s="17" customFormat="1">
      <c r="A603" s="51"/>
      <c r="C603" s="4"/>
      <c r="D603" s="179"/>
      <c r="E603" s="179"/>
      <c r="F603" s="179"/>
      <c r="G603" s="199"/>
      <c r="H603" s="23"/>
      <c r="J603" s="142"/>
    </row>
    <row r="604" spans="1:10" s="17" customFormat="1">
      <c r="A604" s="51"/>
      <c r="C604" s="4"/>
      <c r="D604" s="179"/>
      <c r="E604" s="179"/>
      <c r="F604" s="179"/>
      <c r="G604" s="199"/>
      <c r="H604" s="23"/>
      <c r="J604" s="142"/>
    </row>
    <row r="605" spans="1:10" s="17" customFormat="1">
      <c r="A605" s="51"/>
      <c r="C605" s="4"/>
      <c r="D605" s="179"/>
      <c r="E605" s="179"/>
      <c r="F605" s="179"/>
      <c r="G605" s="199"/>
      <c r="H605" s="23"/>
      <c r="J605" s="142"/>
    </row>
    <row r="606" spans="1:10" s="17" customFormat="1">
      <c r="A606" s="51"/>
      <c r="C606" s="4"/>
      <c r="D606" s="179"/>
      <c r="E606" s="179"/>
      <c r="F606" s="179"/>
      <c r="G606" s="199"/>
      <c r="H606" s="23"/>
      <c r="J606" s="142"/>
    </row>
    <row r="607" spans="1:10" s="17" customFormat="1">
      <c r="A607" s="51"/>
      <c r="C607" s="4"/>
      <c r="D607" s="179"/>
      <c r="E607" s="179"/>
      <c r="F607" s="179"/>
      <c r="G607" s="199"/>
      <c r="H607" s="23"/>
      <c r="J607" s="142"/>
    </row>
    <row r="608" spans="1:10" s="17" customFormat="1">
      <c r="A608" s="51"/>
      <c r="C608" s="4"/>
      <c r="D608" s="179"/>
      <c r="E608" s="179"/>
      <c r="F608" s="179"/>
      <c r="G608" s="199"/>
      <c r="H608" s="23"/>
      <c r="J608" s="142"/>
    </row>
    <row r="609" spans="1:10" s="17" customFormat="1">
      <c r="A609" s="51"/>
      <c r="C609" s="4"/>
      <c r="D609" s="179"/>
      <c r="E609" s="179"/>
      <c r="F609" s="179"/>
      <c r="G609" s="199"/>
      <c r="H609" s="23"/>
      <c r="J609" s="142"/>
    </row>
    <row r="610" spans="1:10" s="17" customFormat="1">
      <c r="A610" s="51"/>
      <c r="C610" s="4"/>
      <c r="D610" s="179"/>
      <c r="E610" s="179"/>
      <c r="F610" s="179"/>
      <c r="G610" s="199"/>
      <c r="H610" s="23"/>
      <c r="J610" s="142"/>
    </row>
    <row r="611" spans="1:10" s="17" customFormat="1">
      <c r="A611" s="51"/>
      <c r="C611" s="4"/>
      <c r="D611" s="179"/>
      <c r="E611" s="179"/>
      <c r="F611" s="179"/>
      <c r="G611" s="199"/>
      <c r="H611" s="23"/>
      <c r="J611" s="142"/>
    </row>
    <row r="612" spans="1:10" s="17" customFormat="1">
      <c r="A612" s="51"/>
      <c r="C612" s="4"/>
      <c r="D612" s="179"/>
      <c r="E612" s="179"/>
      <c r="F612" s="179"/>
      <c r="G612" s="199"/>
      <c r="H612" s="23"/>
      <c r="J612" s="142"/>
    </row>
    <row r="613" spans="1:10" s="17" customFormat="1">
      <c r="A613" s="51"/>
      <c r="C613" s="4"/>
      <c r="D613" s="179"/>
      <c r="E613" s="179"/>
      <c r="F613" s="179"/>
      <c r="G613" s="199"/>
      <c r="H613" s="23"/>
      <c r="J613" s="142"/>
    </row>
    <row r="614" spans="1:10" s="17" customFormat="1">
      <c r="A614" s="51"/>
      <c r="C614" s="4"/>
      <c r="D614" s="179"/>
      <c r="E614" s="179"/>
      <c r="F614" s="179"/>
      <c r="G614" s="199"/>
      <c r="H614" s="23"/>
      <c r="J614" s="142"/>
    </row>
    <row r="615" spans="1:10" s="17" customFormat="1">
      <c r="A615" s="51"/>
      <c r="C615" s="4"/>
      <c r="D615" s="179"/>
      <c r="E615" s="179"/>
      <c r="F615" s="179"/>
      <c r="G615" s="199"/>
      <c r="H615" s="23"/>
      <c r="J615" s="142"/>
    </row>
    <row r="616" spans="1:10" s="17" customFormat="1">
      <c r="A616" s="51"/>
      <c r="C616" s="4"/>
      <c r="D616" s="179"/>
      <c r="E616" s="179"/>
      <c r="F616" s="179"/>
      <c r="G616" s="199"/>
      <c r="H616" s="23"/>
      <c r="J616" s="142"/>
    </row>
    <row r="617" spans="1:10" s="17" customFormat="1">
      <c r="A617" s="51"/>
      <c r="C617" s="4"/>
      <c r="D617" s="179"/>
      <c r="E617" s="179"/>
      <c r="F617" s="179"/>
      <c r="G617" s="199"/>
      <c r="H617" s="23"/>
      <c r="J617" s="142"/>
    </row>
    <row r="618" spans="1:10" s="17" customFormat="1">
      <c r="A618" s="51"/>
      <c r="C618" s="4"/>
      <c r="D618" s="179"/>
      <c r="E618" s="179"/>
      <c r="F618" s="179"/>
      <c r="G618" s="199"/>
      <c r="H618" s="23"/>
      <c r="J618" s="142"/>
    </row>
    <row r="619" spans="1:10" s="17" customFormat="1">
      <c r="A619" s="51"/>
      <c r="C619" s="4"/>
      <c r="D619" s="179"/>
      <c r="E619" s="179"/>
      <c r="F619" s="179"/>
      <c r="G619" s="199"/>
      <c r="H619" s="23"/>
      <c r="J619" s="142"/>
    </row>
    <row r="620" spans="1:10" s="17" customFormat="1">
      <c r="A620" s="51"/>
      <c r="C620" s="4"/>
      <c r="D620" s="179"/>
      <c r="E620" s="179"/>
      <c r="F620" s="179"/>
      <c r="G620" s="199"/>
      <c r="H620" s="23"/>
      <c r="J620" s="142"/>
    </row>
    <row r="621" spans="1:10" s="17" customFormat="1">
      <c r="A621" s="51"/>
      <c r="C621" s="4"/>
      <c r="D621" s="179"/>
      <c r="E621" s="179"/>
      <c r="F621" s="179"/>
      <c r="G621" s="199"/>
      <c r="H621" s="23"/>
      <c r="J621" s="142"/>
    </row>
    <row r="622" spans="1:10" s="17" customFormat="1">
      <c r="A622" s="51"/>
      <c r="C622" s="4"/>
      <c r="D622" s="179"/>
      <c r="E622" s="179"/>
      <c r="F622" s="179"/>
      <c r="G622" s="199"/>
      <c r="H622" s="23"/>
      <c r="J622" s="142"/>
    </row>
    <row r="623" spans="1:10" s="17" customFormat="1">
      <c r="A623" s="51"/>
      <c r="C623" s="4"/>
      <c r="D623" s="179"/>
      <c r="E623" s="179"/>
      <c r="F623" s="179"/>
      <c r="G623" s="199"/>
      <c r="H623" s="23"/>
      <c r="J623" s="142"/>
    </row>
    <row r="624" spans="1:10" s="17" customFormat="1">
      <c r="A624" s="51"/>
      <c r="C624" s="4"/>
      <c r="D624" s="179"/>
      <c r="E624" s="179"/>
      <c r="F624" s="179"/>
      <c r="G624" s="199"/>
      <c r="H624" s="23"/>
      <c r="J624" s="142"/>
    </row>
    <row r="625" spans="1:10" s="17" customFormat="1">
      <c r="A625" s="51"/>
      <c r="C625" s="4"/>
      <c r="D625" s="179"/>
      <c r="E625" s="179"/>
      <c r="F625" s="179"/>
      <c r="G625" s="199"/>
      <c r="H625" s="23"/>
      <c r="J625" s="142"/>
    </row>
    <row r="626" spans="1:10" s="17" customFormat="1">
      <c r="A626" s="51"/>
      <c r="C626" s="4"/>
      <c r="D626" s="179"/>
      <c r="E626" s="179"/>
      <c r="F626" s="179"/>
      <c r="G626" s="199"/>
      <c r="H626" s="23"/>
      <c r="J626" s="142"/>
    </row>
    <row r="627" spans="1:10" s="17" customFormat="1">
      <c r="A627" s="51"/>
      <c r="C627" s="4"/>
      <c r="D627" s="179"/>
      <c r="E627" s="179"/>
      <c r="F627" s="179"/>
      <c r="G627" s="199"/>
      <c r="H627" s="23"/>
      <c r="J627" s="142"/>
    </row>
    <row r="628" spans="1:10" s="17" customFormat="1">
      <c r="A628" s="51"/>
      <c r="C628" s="4"/>
      <c r="D628" s="179"/>
      <c r="E628" s="179"/>
      <c r="F628" s="179"/>
      <c r="G628" s="199"/>
      <c r="H628" s="23"/>
      <c r="J628" s="142"/>
    </row>
    <row r="629" spans="1:10" s="17" customFormat="1">
      <c r="A629" s="51"/>
      <c r="C629" s="4"/>
      <c r="D629" s="179"/>
      <c r="E629" s="179"/>
      <c r="F629" s="179"/>
      <c r="G629" s="199"/>
      <c r="H629" s="23"/>
      <c r="J629" s="142"/>
    </row>
    <row r="630" spans="1:10" s="17" customFormat="1">
      <c r="A630" s="51"/>
      <c r="C630" s="4"/>
      <c r="D630" s="179"/>
      <c r="E630" s="179"/>
      <c r="F630" s="179"/>
      <c r="G630" s="199"/>
      <c r="H630" s="23"/>
      <c r="J630" s="142"/>
    </row>
    <row r="631" spans="1:10" s="17" customFormat="1">
      <c r="A631" s="51"/>
      <c r="C631" s="4"/>
      <c r="D631" s="179"/>
      <c r="E631" s="179"/>
      <c r="F631" s="179"/>
      <c r="G631" s="199"/>
      <c r="H631" s="23"/>
      <c r="J631" s="142"/>
    </row>
    <row r="632" spans="1:10" s="17" customFormat="1">
      <c r="A632" s="51"/>
      <c r="C632" s="4"/>
      <c r="D632" s="179"/>
      <c r="E632" s="179"/>
      <c r="F632" s="179"/>
      <c r="G632" s="199"/>
      <c r="H632" s="23"/>
      <c r="J632" s="142"/>
    </row>
    <row r="633" spans="1:10" s="17" customFormat="1">
      <c r="A633" s="51"/>
      <c r="C633" s="4"/>
      <c r="D633" s="179"/>
      <c r="E633" s="179"/>
      <c r="F633" s="179"/>
      <c r="G633" s="199"/>
      <c r="H633" s="23"/>
      <c r="J633" s="142"/>
    </row>
    <row r="634" spans="1:10" s="17" customFormat="1">
      <c r="A634" s="51"/>
      <c r="C634" s="4"/>
      <c r="D634" s="179"/>
      <c r="E634" s="179"/>
      <c r="F634" s="179"/>
      <c r="G634" s="199"/>
      <c r="H634" s="23"/>
      <c r="J634" s="142"/>
    </row>
    <row r="635" spans="1:10" s="17" customFormat="1">
      <c r="A635" s="51"/>
      <c r="C635" s="4"/>
      <c r="D635" s="179"/>
      <c r="E635" s="179"/>
      <c r="F635" s="179"/>
      <c r="G635" s="199"/>
      <c r="H635" s="23"/>
      <c r="J635" s="142"/>
    </row>
    <row r="636" spans="1:10" s="17" customFormat="1">
      <c r="A636" s="51"/>
      <c r="C636" s="4"/>
      <c r="D636" s="179"/>
      <c r="E636" s="179"/>
      <c r="F636" s="179"/>
      <c r="G636" s="199"/>
      <c r="H636" s="23"/>
      <c r="J636" s="142"/>
    </row>
    <row r="637" spans="1:10" s="17" customFormat="1">
      <c r="A637" s="51"/>
      <c r="C637" s="4"/>
      <c r="D637" s="179"/>
      <c r="E637" s="179"/>
      <c r="F637" s="179"/>
      <c r="G637" s="199"/>
      <c r="H637" s="23"/>
      <c r="J637" s="142"/>
    </row>
    <row r="638" spans="1:10" s="17" customFormat="1">
      <c r="A638" s="51"/>
      <c r="C638" s="4"/>
      <c r="D638" s="179"/>
      <c r="E638" s="179"/>
      <c r="F638" s="179"/>
      <c r="G638" s="199"/>
      <c r="H638" s="23"/>
      <c r="J638" s="142"/>
    </row>
    <row r="639" spans="1:10" s="17" customFormat="1">
      <c r="A639" s="51"/>
      <c r="C639" s="4"/>
      <c r="D639" s="179"/>
      <c r="E639" s="179"/>
      <c r="F639" s="179"/>
      <c r="G639" s="199"/>
      <c r="H639" s="23"/>
      <c r="J639" s="142"/>
    </row>
    <row r="640" spans="1:10" s="17" customFormat="1">
      <c r="A640" s="51"/>
      <c r="C640" s="4"/>
      <c r="D640" s="179"/>
      <c r="E640" s="179"/>
      <c r="F640" s="179"/>
      <c r="G640" s="199"/>
      <c r="H640" s="23"/>
      <c r="J640" s="142"/>
    </row>
    <row r="641" spans="1:10" s="17" customFormat="1">
      <c r="A641" s="51"/>
      <c r="C641" s="4"/>
      <c r="D641" s="179"/>
      <c r="E641" s="179"/>
      <c r="F641" s="179"/>
      <c r="G641" s="199"/>
      <c r="H641" s="23"/>
      <c r="J641" s="142"/>
    </row>
    <row r="642" spans="1:10" s="17" customFormat="1">
      <c r="A642" s="51"/>
      <c r="C642" s="4"/>
      <c r="D642" s="179"/>
      <c r="E642" s="179"/>
      <c r="F642" s="179"/>
      <c r="G642" s="199"/>
      <c r="H642" s="23"/>
      <c r="J642" s="142"/>
    </row>
    <row r="643" spans="1:10" s="17" customFormat="1">
      <c r="A643" s="51"/>
      <c r="C643" s="4"/>
      <c r="D643" s="179"/>
      <c r="E643" s="179"/>
      <c r="F643" s="179"/>
      <c r="G643" s="199"/>
      <c r="H643" s="23"/>
      <c r="J643" s="142"/>
    </row>
    <row r="644" spans="1:10" s="17" customFormat="1">
      <c r="A644" s="51"/>
      <c r="C644" s="4"/>
      <c r="D644" s="179"/>
      <c r="E644" s="179"/>
      <c r="F644" s="179"/>
      <c r="G644" s="199"/>
      <c r="H644" s="23"/>
      <c r="J644" s="142"/>
    </row>
    <row r="645" spans="1:10" s="17" customFormat="1">
      <c r="A645" s="51"/>
      <c r="C645" s="4"/>
      <c r="D645" s="179"/>
      <c r="E645" s="179"/>
      <c r="F645" s="179"/>
      <c r="G645" s="199"/>
      <c r="H645" s="23"/>
      <c r="J645" s="142"/>
    </row>
    <row r="646" spans="1:10" s="17" customFormat="1">
      <c r="A646" s="51"/>
      <c r="C646" s="4"/>
      <c r="D646" s="179"/>
      <c r="E646" s="179"/>
      <c r="F646" s="179"/>
      <c r="G646" s="199"/>
      <c r="H646" s="23"/>
      <c r="J646" s="142"/>
    </row>
    <row r="647" spans="1:10" s="17" customFormat="1">
      <c r="A647" s="51"/>
      <c r="C647" s="4"/>
      <c r="D647" s="179"/>
      <c r="E647" s="179"/>
      <c r="F647" s="179"/>
      <c r="G647" s="199"/>
      <c r="H647" s="23"/>
      <c r="J647" s="142"/>
    </row>
    <row r="648" spans="1:10" s="17" customFormat="1">
      <c r="A648" s="51"/>
      <c r="C648" s="4"/>
      <c r="D648" s="179"/>
      <c r="E648" s="179"/>
      <c r="F648" s="179"/>
      <c r="G648" s="199"/>
      <c r="H648" s="23"/>
      <c r="J648" s="142"/>
    </row>
    <row r="649" spans="1:10" s="17" customFormat="1">
      <c r="A649" s="51"/>
      <c r="C649" s="4"/>
      <c r="D649" s="179"/>
      <c r="E649" s="179"/>
      <c r="F649" s="179"/>
      <c r="G649" s="199"/>
      <c r="H649" s="23"/>
      <c r="J649" s="142"/>
    </row>
    <row r="650" spans="1:10" s="17" customFormat="1">
      <c r="A650" s="51"/>
      <c r="C650" s="4"/>
      <c r="D650" s="179"/>
      <c r="E650" s="179"/>
      <c r="F650" s="179"/>
      <c r="G650" s="199"/>
      <c r="H650" s="23"/>
      <c r="J650" s="142"/>
    </row>
    <row r="651" spans="1:10" s="17" customFormat="1">
      <c r="A651" s="51"/>
      <c r="C651" s="4"/>
      <c r="D651" s="179"/>
      <c r="E651" s="179"/>
      <c r="F651" s="179"/>
      <c r="G651" s="199"/>
      <c r="H651" s="23"/>
      <c r="J651" s="142"/>
    </row>
    <row r="652" spans="1:10" s="17" customFormat="1">
      <c r="A652" s="51"/>
      <c r="C652" s="4"/>
      <c r="D652" s="179"/>
      <c r="E652" s="179"/>
      <c r="F652" s="179"/>
      <c r="G652" s="199"/>
      <c r="H652" s="23"/>
      <c r="J652" s="142"/>
    </row>
    <row r="653" spans="1:10" s="17" customFormat="1">
      <c r="A653" s="51"/>
      <c r="C653" s="4"/>
      <c r="D653" s="179"/>
      <c r="E653" s="179"/>
      <c r="F653" s="179"/>
      <c r="G653" s="199"/>
      <c r="H653" s="23"/>
      <c r="J653" s="142"/>
    </row>
    <row r="654" spans="1:10" s="17" customFormat="1">
      <c r="A654" s="51"/>
      <c r="C654" s="4"/>
      <c r="D654" s="179"/>
      <c r="E654" s="179"/>
      <c r="F654" s="179"/>
      <c r="G654" s="199"/>
      <c r="H654" s="23"/>
      <c r="J654" s="142"/>
    </row>
    <row r="655" spans="1:10" s="17" customFormat="1">
      <c r="A655" s="51"/>
      <c r="C655" s="4"/>
      <c r="D655" s="179"/>
      <c r="E655" s="179"/>
      <c r="F655" s="179"/>
      <c r="G655" s="199"/>
      <c r="H655" s="23"/>
      <c r="J655" s="142"/>
    </row>
    <row r="656" spans="1:10" s="17" customFormat="1">
      <c r="A656" s="51"/>
      <c r="C656" s="4"/>
      <c r="D656" s="179"/>
      <c r="E656" s="179"/>
      <c r="F656" s="179"/>
      <c r="G656" s="199"/>
      <c r="H656" s="23"/>
      <c r="J656" s="142"/>
    </row>
    <row r="657" spans="1:10" s="17" customFormat="1">
      <c r="A657" s="51"/>
      <c r="C657" s="4"/>
      <c r="D657" s="179"/>
      <c r="E657" s="179"/>
      <c r="F657" s="179"/>
      <c r="G657" s="199"/>
      <c r="H657" s="23"/>
      <c r="J657" s="142"/>
    </row>
    <row r="658" spans="1:10" s="17" customFormat="1">
      <c r="A658" s="51"/>
      <c r="C658" s="4"/>
      <c r="D658" s="179"/>
      <c r="E658" s="179"/>
      <c r="F658" s="179"/>
      <c r="G658" s="199"/>
      <c r="H658" s="23"/>
      <c r="J658" s="142"/>
    </row>
    <row r="659" spans="1:10" s="17" customFormat="1">
      <c r="A659" s="51"/>
      <c r="C659" s="4"/>
      <c r="D659" s="179"/>
      <c r="E659" s="179"/>
      <c r="F659" s="179"/>
      <c r="G659" s="199"/>
      <c r="H659" s="23"/>
      <c r="J659" s="142"/>
    </row>
    <row r="660" spans="1:10" s="17" customFormat="1">
      <c r="A660" s="51"/>
      <c r="C660" s="4"/>
      <c r="D660" s="179"/>
      <c r="E660" s="179"/>
      <c r="F660" s="179"/>
      <c r="G660" s="199"/>
      <c r="H660" s="23"/>
      <c r="J660" s="142"/>
    </row>
    <row r="661" spans="1:10" s="17" customFormat="1">
      <c r="A661" s="51"/>
      <c r="C661" s="4"/>
      <c r="D661" s="179"/>
      <c r="E661" s="179"/>
      <c r="F661" s="179"/>
      <c r="G661" s="199"/>
      <c r="H661" s="23"/>
      <c r="J661" s="142"/>
    </row>
    <row r="662" spans="1:10" s="17" customFormat="1">
      <c r="A662" s="51"/>
      <c r="C662" s="4"/>
      <c r="D662" s="179"/>
      <c r="E662" s="179"/>
      <c r="F662" s="179"/>
      <c r="G662" s="199"/>
      <c r="H662" s="23"/>
      <c r="J662" s="142"/>
    </row>
    <row r="663" spans="1:10" s="17" customFormat="1">
      <c r="A663" s="51"/>
      <c r="C663" s="4"/>
      <c r="D663" s="179"/>
      <c r="E663" s="179"/>
      <c r="F663" s="179"/>
      <c r="G663" s="199"/>
      <c r="H663" s="23"/>
      <c r="J663" s="142"/>
    </row>
    <row r="664" spans="1:10" s="17" customFormat="1">
      <c r="A664" s="51"/>
      <c r="C664" s="4"/>
      <c r="D664" s="179"/>
      <c r="E664" s="179"/>
      <c r="F664" s="179"/>
      <c r="G664" s="199"/>
      <c r="H664" s="23"/>
      <c r="J664" s="142"/>
    </row>
    <row r="665" spans="1:10" s="17" customFormat="1">
      <c r="A665" s="51"/>
      <c r="C665" s="4"/>
      <c r="D665" s="179"/>
      <c r="E665" s="179"/>
      <c r="F665" s="179"/>
      <c r="G665" s="199"/>
      <c r="H665" s="23"/>
      <c r="J665" s="142"/>
    </row>
    <row r="666" spans="1:10" s="17" customFormat="1">
      <c r="A666" s="51"/>
      <c r="C666" s="4"/>
      <c r="D666" s="179"/>
      <c r="E666" s="179"/>
      <c r="F666" s="179"/>
      <c r="G666" s="199"/>
      <c r="H666" s="23"/>
      <c r="J666" s="142"/>
    </row>
    <row r="667" spans="1:10" s="17" customFormat="1">
      <c r="A667" s="51"/>
      <c r="C667" s="4"/>
      <c r="D667" s="179"/>
      <c r="E667" s="179"/>
      <c r="F667" s="179"/>
      <c r="G667" s="199"/>
      <c r="H667" s="23"/>
      <c r="J667" s="142"/>
    </row>
    <row r="668" spans="1:10" s="17" customFormat="1">
      <c r="A668" s="51"/>
      <c r="C668" s="4"/>
      <c r="D668" s="179"/>
      <c r="E668" s="179"/>
      <c r="F668" s="179"/>
      <c r="G668" s="199"/>
      <c r="H668" s="23"/>
      <c r="J668" s="142"/>
    </row>
    <row r="669" spans="1:10" s="17" customFormat="1">
      <c r="A669" s="51"/>
      <c r="C669" s="4"/>
      <c r="D669" s="179"/>
      <c r="E669" s="179"/>
      <c r="F669" s="179"/>
      <c r="G669" s="199"/>
      <c r="H669" s="23"/>
      <c r="J669" s="142"/>
    </row>
    <row r="670" spans="1:10" s="17" customFormat="1">
      <c r="A670" s="51"/>
      <c r="C670" s="4"/>
      <c r="D670" s="179"/>
      <c r="E670" s="179"/>
      <c r="F670" s="179"/>
      <c r="G670" s="199"/>
      <c r="H670" s="23"/>
      <c r="J670" s="142"/>
    </row>
    <row r="671" spans="1:10" s="17" customFormat="1">
      <c r="A671" s="51"/>
      <c r="C671" s="4"/>
      <c r="D671" s="179"/>
      <c r="E671" s="179"/>
      <c r="F671" s="179"/>
      <c r="G671" s="199"/>
      <c r="H671" s="23"/>
      <c r="J671" s="142"/>
    </row>
    <row r="672" spans="1:10" s="17" customFormat="1">
      <c r="A672" s="51"/>
      <c r="C672" s="4"/>
      <c r="D672" s="179"/>
      <c r="E672" s="179"/>
      <c r="F672" s="179"/>
      <c r="G672" s="199"/>
      <c r="H672" s="23"/>
      <c r="J672" s="142"/>
    </row>
    <row r="673" spans="1:10" s="17" customFormat="1">
      <c r="A673" s="51"/>
      <c r="C673" s="4"/>
      <c r="D673" s="179"/>
      <c r="E673" s="179"/>
      <c r="F673" s="179"/>
      <c r="G673" s="199"/>
      <c r="H673" s="23"/>
      <c r="J673" s="142"/>
    </row>
    <row r="674" spans="1:10" s="17" customFormat="1">
      <c r="A674" s="51"/>
      <c r="C674" s="4"/>
      <c r="D674" s="179"/>
      <c r="E674" s="179"/>
      <c r="F674" s="179"/>
      <c r="G674" s="199"/>
      <c r="H674" s="23"/>
      <c r="J674" s="142"/>
    </row>
    <row r="675" spans="1:10" s="17" customFormat="1">
      <c r="A675" s="51"/>
      <c r="C675" s="4"/>
      <c r="D675" s="179"/>
      <c r="E675" s="179"/>
      <c r="F675" s="179"/>
      <c r="G675" s="199"/>
      <c r="H675" s="23"/>
      <c r="J675" s="142"/>
    </row>
    <row r="676" spans="1:10" s="17" customFormat="1">
      <c r="A676" s="51"/>
      <c r="C676" s="4"/>
      <c r="D676" s="179"/>
      <c r="E676" s="179"/>
      <c r="F676" s="179"/>
      <c r="G676" s="199"/>
      <c r="H676" s="23"/>
      <c r="J676" s="142"/>
    </row>
    <row r="677" spans="1:10" s="17" customFormat="1">
      <c r="A677" s="51"/>
      <c r="C677" s="4"/>
      <c r="D677" s="179"/>
      <c r="E677" s="179"/>
      <c r="F677" s="179"/>
      <c r="G677" s="199"/>
      <c r="H677" s="23"/>
      <c r="J677" s="142"/>
    </row>
    <row r="678" spans="1:10" s="17" customFormat="1">
      <c r="A678" s="51"/>
      <c r="C678" s="4"/>
      <c r="D678" s="179"/>
      <c r="E678" s="179"/>
      <c r="F678" s="179"/>
      <c r="G678" s="199"/>
      <c r="H678" s="23"/>
      <c r="J678" s="142"/>
    </row>
    <row r="679" spans="1:10" s="17" customFormat="1">
      <c r="A679" s="51"/>
      <c r="C679" s="4"/>
      <c r="D679" s="179"/>
      <c r="E679" s="179"/>
      <c r="F679" s="179"/>
      <c r="G679" s="199"/>
      <c r="H679" s="23"/>
      <c r="J679" s="142"/>
    </row>
    <row r="680" spans="1:10" s="17" customFormat="1">
      <c r="A680" s="51"/>
      <c r="C680" s="4"/>
      <c r="D680" s="179"/>
      <c r="E680" s="179"/>
      <c r="F680" s="179"/>
      <c r="G680" s="199"/>
      <c r="H680" s="23"/>
      <c r="J680" s="142"/>
    </row>
    <row r="681" spans="1:10" s="17" customFormat="1">
      <c r="A681" s="51"/>
      <c r="C681" s="4"/>
      <c r="D681" s="179"/>
      <c r="E681" s="179"/>
      <c r="F681" s="179"/>
      <c r="G681" s="199"/>
      <c r="H681" s="23"/>
      <c r="J681" s="142"/>
    </row>
    <row r="682" spans="1:10" s="17" customFormat="1">
      <c r="A682" s="51"/>
      <c r="C682" s="4"/>
      <c r="D682" s="179"/>
      <c r="E682" s="179"/>
      <c r="F682" s="179"/>
      <c r="G682" s="199"/>
      <c r="H682" s="23"/>
      <c r="J682" s="142"/>
    </row>
    <row r="683" spans="1:10" s="17" customFormat="1">
      <c r="A683" s="51"/>
      <c r="C683" s="4"/>
      <c r="D683" s="179"/>
      <c r="E683" s="179"/>
      <c r="F683" s="179"/>
      <c r="G683" s="199"/>
      <c r="H683" s="23"/>
      <c r="J683" s="142"/>
    </row>
    <row r="684" spans="1:10" s="17" customFormat="1">
      <c r="A684" s="51"/>
      <c r="C684" s="4"/>
      <c r="D684" s="179"/>
      <c r="E684" s="179"/>
      <c r="F684" s="179"/>
      <c r="G684" s="199"/>
      <c r="H684" s="23"/>
      <c r="J684" s="142"/>
    </row>
    <row r="685" spans="1:10" s="17" customFormat="1">
      <c r="A685" s="51"/>
      <c r="C685" s="4"/>
      <c r="D685" s="179"/>
      <c r="E685" s="179"/>
      <c r="F685" s="179"/>
      <c r="G685" s="199"/>
      <c r="H685" s="23"/>
      <c r="J685" s="142"/>
    </row>
    <row r="686" spans="1:10" s="17" customFormat="1">
      <c r="A686" s="51"/>
      <c r="C686" s="4"/>
      <c r="D686" s="179"/>
      <c r="E686" s="179"/>
      <c r="F686" s="179"/>
      <c r="G686" s="199"/>
      <c r="H686" s="23"/>
      <c r="J686" s="142"/>
    </row>
    <row r="687" spans="1:10" s="17" customFormat="1">
      <c r="A687" s="51"/>
      <c r="C687" s="4"/>
      <c r="D687" s="179"/>
      <c r="E687" s="179"/>
      <c r="F687" s="179"/>
      <c r="G687" s="199"/>
      <c r="H687" s="23"/>
      <c r="J687" s="142"/>
    </row>
    <row r="688" spans="1:10" s="17" customFormat="1">
      <c r="A688" s="51"/>
      <c r="C688" s="7"/>
      <c r="D688" s="180"/>
      <c r="E688" s="180"/>
      <c r="F688" s="180"/>
      <c r="G688" s="178"/>
      <c r="H688" s="23"/>
      <c r="J688" s="142"/>
    </row>
  </sheetData>
  <sheetProtection password="C74A" sheet="1" objects="1" scenarios="1"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152">
    <mergeCell ref="A1:B1"/>
    <mergeCell ref="B3:B8"/>
    <mergeCell ref="H3:H8"/>
    <mergeCell ref="B18:B22"/>
    <mergeCell ref="H48:H53"/>
    <mergeCell ref="A3:A8"/>
    <mergeCell ref="A42:A47"/>
    <mergeCell ref="B35:B41"/>
    <mergeCell ref="H35:H41"/>
    <mergeCell ref="B42:B47"/>
    <mergeCell ref="A14:A17"/>
    <mergeCell ref="H24:H28"/>
    <mergeCell ref="H42:H47"/>
    <mergeCell ref="A29:A34"/>
    <mergeCell ref="B29:B34"/>
    <mergeCell ref="H29:H34"/>
    <mergeCell ref="A9:A13"/>
    <mergeCell ref="H54:H59"/>
    <mergeCell ref="H14:H17"/>
    <mergeCell ref="H9:H13"/>
    <mergeCell ref="H18:H22"/>
    <mergeCell ref="B9:B13"/>
    <mergeCell ref="A48:A53"/>
    <mergeCell ref="B48:B53"/>
    <mergeCell ref="B14:B17"/>
    <mergeCell ref="A54:A59"/>
    <mergeCell ref="A18:A22"/>
    <mergeCell ref="A35:A41"/>
    <mergeCell ref="B54:B59"/>
    <mergeCell ref="B24:B28"/>
    <mergeCell ref="A24:A28"/>
    <mergeCell ref="A66:A72"/>
    <mergeCell ref="B66:B72"/>
    <mergeCell ref="H60:H65"/>
    <mergeCell ref="H77:H80"/>
    <mergeCell ref="H66:H72"/>
    <mergeCell ref="H81:H86"/>
    <mergeCell ref="H93:H96"/>
    <mergeCell ref="B93:B96"/>
    <mergeCell ref="A93:A96"/>
    <mergeCell ref="B60:B65"/>
    <mergeCell ref="B77:B80"/>
    <mergeCell ref="H87:H92"/>
    <mergeCell ref="A77:A80"/>
    <mergeCell ref="A73:A76"/>
    <mergeCell ref="B81:B86"/>
    <mergeCell ref="B73:B76"/>
    <mergeCell ref="B87:B92"/>
    <mergeCell ref="H73:H76"/>
    <mergeCell ref="A81:A86"/>
    <mergeCell ref="A87:A92"/>
    <mergeCell ref="A60:A65"/>
    <mergeCell ref="C148:E148"/>
    <mergeCell ref="D141:F141"/>
    <mergeCell ref="D142:F142"/>
    <mergeCell ref="D143:F143"/>
    <mergeCell ref="D144:F144"/>
    <mergeCell ref="D145:F145"/>
    <mergeCell ref="C147:E147"/>
    <mergeCell ref="A140:C146"/>
    <mergeCell ref="D140:H140"/>
    <mergeCell ref="D146:H146"/>
    <mergeCell ref="A147:B148"/>
    <mergeCell ref="H97:H100"/>
    <mergeCell ref="H131:H137"/>
    <mergeCell ref="A131:A137"/>
    <mergeCell ref="B131:B137"/>
    <mergeCell ref="H124:H130"/>
    <mergeCell ref="A124:A130"/>
    <mergeCell ref="B124:B130"/>
    <mergeCell ref="H118:H123"/>
    <mergeCell ref="A118:A123"/>
    <mergeCell ref="B118:B123"/>
    <mergeCell ref="A97:A100"/>
    <mergeCell ref="A111:A113"/>
    <mergeCell ref="A101:A104"/>
    <mergeCell ref="B101:B104"/>
    <mergeCell ref="B97:B100"/>
    <mergeCell ref="H105:H110"/>
    <mergeCell ref="H101:H104"/>
    <mergeCell ref="B105:B110"/>
    <mergeCell ref="A105:A110"/>
    <mergeCell ref="H111:H113"/>
    <mergeCell ref="B111:B113"/>
    <mergeCell ref="I24:I28"/>
    <mergeCell ref="I29:I34"/>
    <mergeCell ref="I35:I41"/>
    <mergeCell ref="I42:I47"/>
    <mergeCell ref="I48:I53"/>
    <mergeCell ref="E1:I1"/>
    <mergeCell ref="I3:I8"/>
    <mergeCell ref="I9:I13"/>
    <mergeCell ref="I14:I17"/>
    <mergeCell ref="I18:I22"/>
    <mergeCell ref="I81:I86"/>
    <mergeCell ref="I87:I92"/>
    <mergeCell ref="I93:I96"/>
    <mergeCell ref="I97:I100"/>
    <mergeCell ref="I101:I104"/>
    <mergeCell ref="I54:I59"/>
    <mergeCell ref="I60:I65"/>
    <mergeCell ref="I66:I72"/>
    <mergeCell ref="I73:I76"/>
    <mergeCell ref="I77:I80"/>
    <mergeCell ref="I105:I110"/>
    <mergeCell ref="I111:I113"/>
    <mergeCell ref="I118:I123"/>
    <mergeCell ref="I124:I130"/>
    <mergeCell ref="I131:I137"/>
    <mergeCell ref="H153:I153"/>
    <mergeCell ref="H154:I154"/>
    <mergeCell ref="H155:I155"/>
    <mergeCell ref="H156:I156"/>
    <mergeCell ref="H157:I157"/>
    <mergeCell ref="H147:I147"/>
    <mergeCell ref="H148:I148"/>
    <mergeCell ref="H150:I150"/>
    <mergeCell ref="H151:I151"/>
    <mergeCell ref="H152:I152"/>
    <mergeCell ref="H163:I163"/>
    <mergeCell ref="H164:I164"/>
    <mergeCell ref="H165:I165"/>
    <mergeCell ref="H166:I166"/>
    <mergeCell ref="H167:I167"/>
    <mergeCell ref="H158:I158"/>
    <mergeCell ref="H159:I159"/>
    <mergeCell ref="H160:I160"/>
    <mergeCell ref="H161:I161"/>
    <mergeCell ref="H162:I162"/>
    <mergeCell ref="H173:I173"/>
    <mergeCell ref="H174:I174"/>
    <mergeCell ref="H175:I175"/>
    <mergeCell ref="H176:I176"/>
    <mergeCell ref="H177:I177"/>
    <mergeCell ref="H168:I168"/>
    <mergeCell ref="H169:I169"/>
    <mergeCell ref="H170:I170"/>
    <mergeCell ref="H171:I171"/>
    <mergeCell ref="H172:I172"/>
    <mergeCell ref="H188:I188"/>
    <mergeCell ref="H189:I189"/>
    <mergeCell ref="H190:I190"/>
    <mergeCell ref="H183:I183"/>
    <mergeCell ref="H184:I184"/>
    <mergeCell ref="H185:I185"/>
    <mergeCell ref="H186:I186"/>
    <mergeCell ref="H187:I187"/>
    <mergeCell ref="H178:I178"/>
    <mergeCell ref="H179:I179"/>
    <mergeCell ref="H180:I180"/>
    <mergeCell ref="H181:I181"/>
    <mergeCell ref="H182:I182"/>
  </mergeCells>
  <phoneticPr fontId="2" type="noConversion"/>
  <pageMargins left="0.75" right="0.75" top="1" bottom="1" header="0.5" footer="0.5"/>
  <pageSetup orientation="portrait" r:id="rId2"/>
  <headerFooter alignWithMargins="0"/>
</worksheet>
</file>

<file path=xl/worksheets/sheet15.xml><?xml version="1.0" encoding="utf-8"?>
<worksheet xmlns="http://schemas.openxmlformats.org/spreadsheetml/2006/main" xmlns:r="http://schemas.openxmlformats.org/officeDocument/2006/relationships">
  <sheetPr codeName="Sheet13"/>
  <dimension ref="A1:K228"/>
  <sheetViews>
    <sheetView zoomScaleNormal="100" workbookViewId="0">
      <selection sqref="A1:B1"/>
    </sheetView>
  </sheetViews>
  <sheetFormatPr defaultColWidth="9.33203125" defaultRowHeight="13.8"/>
  <cols>
    <col min="1" max="1" width="5.77734375" style="12" customWidth="1"/>
    <col min="2" max="2" width="18.77734375" style="52" customWidth="1"/>
    <col min="3" max="3" width="69.77734375" style="7" customWidth="1"/>
    <col min="4" max="6" width="6.77734375" style="359" customWidth="1"/>
    <col min="7" max="7" width="9.77734375" style="176" customWidth="1"/>
    <col min="8" max="8" width="69.77734375" style="8" customWidth="1"/>
    <col min="9" max="9" width="11.77734375" style="12" customWidth="1"/>
    <col min="10" max="10" width="9.33203125" style="14"/>
    <col min="11" max="11" width="9.33203125" style="166"/>
    <col min="12" max="16384" width="9.33203125" style="12"/>
  </cols>
  <sheetData>
    <row r="1" spans="1:11" ht="66" customHeight="1" thickBot="1">
      <c r="A1" s="2470" t="s">
        <v>1760</v>
      </c>
      <c r="B1" s="2636"/>
      <c r="C1" s="125" t="s">
        <v>1287</v>
      </c>
      <c r="D1" s="150" t="s">
        <v>1239</v>
      </c>
      <c r="E1" s="2634"/>
      <c r="F1" s="2635"/>
      <c r="G1" s="2635"/>
      <c r="H1" s="2635"/>
      <c r="I1" s="2635"/>
    </row>
    <row r="2" spans="1:11" s="138" customFormat="1" ht="36" customHeight="1" thickBot="1">
      <c r="A2" s="1595" t="s">
        <v>168</v>
      </c>
      <c r="B2" s="1555" t="s">
        <v>1387</v>
      </c>
      <c r="C2" s="1596" t="s">
        <v>1354</v>
      </c>
      <c r="D2" s="1717" t="s">
        <v>64</v>
      </c>
      <c r="E2" s="1718" t="s">
        <v>1383</v>
      </c>
      <c r="F2" s="1719" t="s">
        <v>1384</v>
      </c>
      <c r="G2" s="1578" t="s">
        <v>1293</v>
      </c>
      <c r="H2" s="1579" t="s">
        <v>1294</v>
      </c>
      <c r="I2" s="1648" t="s">
        <v>2622</v>
      </c>
      <c r="J2" s="192"/>
    </row>
    <row r="3" spans="1:11" ht="45" customHeight="1" thickBot="1">
      <c r="A3" s="2183" t="str">
        <f>OF!A95</f>
        <v>OF21</v>
      </c>
      <c r="B3" s="2213" t="str">
        <f>OF!B95</f>
        <v xml:space="preserve">Degraded Water Upstream </v>
      </c>
      <c r="C3" s="551" t="str">
        <f>OF!C95</f>
        <v xml:space="preserve">Sampling indicates a problem with concentrations of metals, hydrocarbons, nutrients, or other substances (excluding bacteria, high temperatures) being present at levels harmful to aquatic life or humans, and:  </v>
      </c>
      <c r="D3" s="360"/>
      <c r="E3" s="360"/>
      <c r="F3" s="363"/>
      <c r="G3" s="538">
        <f>IF((D7=1),"", IF((D6=1),1, IF((D5=1),0.2, 0)))</f>
        <v>0</v>
      </c>
      <c r="H3" s="2146" t="s">
        <v>741</v>
      </c>
      <c r="I3" s="2611" t="s">
        <v>532</v>
      </c>
    </row>
    <row r="4" spans="1:11" ht="15" customHeight="1">
      <c r="A4" s="2183"/>
      <c r="B4" s="2213"/>
      <c r="C4" s="445" t="str">
        <f>OF!C96</f>
        <v>The condition is present within the AA.</v>
      </c>
      <c r="D4" s="255">
        <f>OF!D96</f>
        <v>0</v>
      </c>
      <c r="E4" s="360"/>
      <c r="F4" s="361"/>
      <c r="G4" s="629"/>
      <c r="H4" s="2146"/>
      <c r="I4" s="2612"/>
    </row>
    <row r="5" spans="1:11" ht="27" customHeight="1">
      <c r="A5" s="2183"/>
      <c r="B5" s="2213"/>
      <c r="C5" s="446" t="str">
        <f>OF!C97</f>
        <v>The condition is present in waters within 1 km that flow into the AA, but has not been documented in the AA itself.</v>
      </c>
      <c r="D5" s="78">
        <f>OF!D97</f>
        <v>0</v>
      </c>
      <c r="E5" s="360"/>
      <c r="F5" s="361"/>
      <c r="G5" s="630"/>
      <c r="H5" s="2146"/>
      <c r="I5" s="2612"/>
    </row>
    <row r="6" spans="1:11" ht="27" customHeight="1">
      <c r="A6" s="2183"/>
      <c r="B6" s="2213"/>
      <c r="C6" s="446" t="str">
        <f>OF!C98</f>
        <v>Sampling during both low water periods and times with high runoff (storms, snowmelt) indicates no problems in either the AA or inflowing waters.</v>
      </c>
      <c r="D6" s="78">
        <f>OF!D98</f>
        <v>0</v>
      </c>
      <c r="E6" s="360"/>
      <c r="F6" s="361"/>
      <c r="G6" s="630"/>
      <c r="H6" s="2146"/>
      <c r="I6" s="2612"/>
    </row>
    <row r="7" spans="1:11" ht="27" customHeight="1" thickBot="1">
      <c r="A7" s="2184"/>
      <c r="B7" s="2377"/>
      <c r="C7" s="444" t="str">
        <f>OF!C99</f>
        <v>Data are insufficient (no or inadequate sampling within 1 km, or condition exists only at &gt;1 km upstream). This is the situation for nearly all NB wetlands.</v>
      </c>
      <c r="D7" s="193">
        <f>OF!D99</f>
        <v>0</v>
      </c>
      <c r="E7" s="375"/>
      <c r="F7" s="362"/>
      <c r="G7" s="631"/>
      <c r="H7" s="2149"/>
      <c r="I7" s="2613"/>
    </row>
    <row r="8" spans="1:11" s="2" customFormat="1" ht="30" customHeight="1" thickBot="1">
      <c r="A8" s="2437" t="str">
        <f>OF!A129</f>
        <v>OF28</v>
      </c>
      <c r="B8" s="2341" t="str">
        <f>OF!B129</f>
        <v>Growing Degree Days</v>
      </c>
      <c r="C8" s="561" t="str">
        <f>OF!C129</f>
        <v>According to Figure A-1 in Appendix A of the Manual, the mean annual Growing Degree Days (GDD) in the vicinity of the AA is approximately:</v>
      </c>
      <c r="D8" s="360"/>
      <c r="E8" s="367"/>
      <c r="F8" s="368"/>
      <c r="G8" s="584">
        <f>MAX(F9:F14)/MAX(E9:E14)</f>
        <v>0</v>
      </c>
      <c r="H8" s="2146" t="s">
        <v>1128</v>
      </c>
      <c r="I8" s="2148" t="s">
        <v>1129</v>
      </c>
      <c r="K8" s="192"/>
    </row>
    <row r="9" spans="1:11" s="2" customFormat="1" ht="15" customHeight="1">
      <c r="A9" s="2437"/>
      <c r="B9" s="2341"/>
      <c r="C9" s="170" t="str">
        <f>OF!C130</f>
        <v>800-1000 days</v>
      </c>
      <c r="D9" s="261">
        <f>OF!D130</f>
        <v>0</v>
      </c>
      <c r="E9" s="369">
        <v>0</v>
      </c>
      <c r="F9" s="370">
        <f t="shared" ref="F9:F14" si="0">D9*E9</f>
        <v>0</v>
      </c>
      <c r="G9" s="578"/>
      <c r="H9" s="2146"/>
      <c r="I9" s="2146"/>
      <c r="K9" s="192"/>
    </row>
    <row r="10" spans="1:11" s="2" customFormat="1" ht="15" customHeight="1">
      <c r="A10" s="2437"/>
      <c r="B10" s="2341"/>
      <c r="C10" s="82" t="str">
        <f>OF!C131</f>
        <v>1000-1200</v>
      </c>
      <c r="D10" s="245">
        <f>OF!D131</f>
        <v>0</v>
      </c>
      <c r="E10" s="369">
        <v>1</v>
      </c>
      <c r="F10" s="370">
        <f t="shared" si="0"/>
        <v>0</v>
      </c>
      <c r="G10" s="578"/>
      <c r="H10" s="2146"/>
      <c r="I10" s="2146"/>
      <c r="K10" s="192"/>
    </row>
    <row r="11" spans="1:11" s="2" customFormat="1" ht="15" customHeight="1">
      <c r="A11" s="2437"/>
      <c r="B11" s="2341"/>
      <c r="C11" s="82" t="str">
        <f>OF!C132</f>
        <v>1200-1400</v>
      </c>
      <c r="D11" s="245">
        <f>OF!D132</f>
        <v>0</v>
      </c>
      <c r="E11" s="369">
        <v>2</v>
      </c>
      <c r="F11" s="370">
        <f t="shared" si="0"/>
        <v>0</v>
      </c>
      <c r="G11" s="578"/>
      <c r="H11" s="2146"/>
      <c r="I11" s="2146"/>
      <c r="K11" s="192"/>
    </row>
    <row r="12" spans="1:11" s="2" customFormat="1" ht="15" customHeight="1">
      <c r="A12" s="2437"/>
      <c r="B12" s="2341"/>
      <c r="C12" s="82" t="str">
        <f>OF!C133</f>
        <v>1400-1600</v>
      </c>
      <c r="D12" s="245">
        <f>OF!D133</f>
        <v>0</v>
      </c>
      <c r="E12" s="369">
        <v>3</v>
      </c>
      <c r="F12" s="370">
        <f t="shared" si="0"/>
        <v>0</v>
      </c>
      <c r="G12" s="578"/>
      <c r="H12" s="2146"/>
      <c r="I12" s="2146"/>
      <c r="K12" s="192"/>
    </row>
    <row r="13" spans="1:11" s="2" customFormat="1" ht="15" customHeight="1">
      <c r="A13" s="2437"/>
      <c r="B13" s="2341"/>
      <c r="C13" s="82" t="str">
        <f>OF!C134</f>
        <v>1600-1800</v>
      </c>
      <c r="D13" s="245">
        <f>OF!D134</f>
        <v>0</v>
      </c>
      <c r="E13" s="369">
        <v>4</v>
      </c>
      <c r="F13" s="370">
        <f t="shared" si="0"/>
        <v>0</v>
      </c>
      <c r="G13" s="579"/>
      <c r="H13" s="2146"/>
      <c r="I13" s="2146"/>
      <c r="K13" s="192"/>
    </row>
    <row r="14" spans="1:11" s="2" customFormat="1" ht="15" customHeight="1" thickBot="1">
      <c r="A14" s="2437"/>
      <c r="B14" s="2341"/>
      <c r="C14" s="186" t="str">
        <f>OF!C135</f>
        <v>&gt;1800 days</v>
      </c>
      <c r="D14" s="275">
        <f>OF!D135</f>
        <v>0</v>
      </c>
      <c r="E14" s="371">
        <v>5</v>
      </c>
      <c r="F14" s="372">
        <f t="shared" si="0"/>
        <v>0</v>
      </c>
      <c r="G14" s="585"/>
      <c r="H14" s="2146"/>
      <c r="I14" s="2149"/>
      <c r="K14" s="192"/>
    </row>
    <row r="15" spans="1:11" s="2" customFormat="1" ht="30" customHeight="1" thickBot="1">
      <c r="A15" s="2316" t="str">
        <f>OF!A136</f>
        <v>OF29</v>
      </c>
      <c r="B15" s="2148" t="str">
        <f>OF!B136</f>
        <v>Fish Access or Use</v>
      </c>
      <c r="C15" s="436" t="str">
        <f>OF!C136</f>
        <v>According to agency biologists and/or your own observations, the AA: [mark just the first choice that is true]:</v>
      </c>
      <c r="D15" s="365"/>
      <c r="E15" s="365"/>
      <c r="F15" s="366"/>
      <c r="G15" s="537">
        <f>MAX(F16:F19)/MAX(E16:E19)</f>
        <v>0</v>
      </c>
      <c r="H15" s="2148" t="s">
        <v>1824</v>
      </c>
      <c r="I15" s="2148" t="s">
        <v>229</v>
      </c>
      <c r="K15" s="192"/>
    </row>
    <row r="16" spans="1:11" s="2" customFormat="1" ht="27.6" customHeight="1">
      <c r="A16" s="2201"/>
      <c r="B16" s="2146"/>
      <c r="C16" s="1113" t="str">
        <f>OF!C137</f>
        <v xml:space="preserve">is known to support Atlantic salmon rearing and/or spawning.  In NB, consult Figure A-2 in Appendix A of the Manual, or local fishery biologists. </v>
      </c>
      <c r="D16" s="354">
        <f>OF!D137</f>
        <v>0</v>
      </c>
      <c r="E16" s="361">
        <v>1</v>
      </c>
      <c r="F16" s="361">
        <f>D16*E16</f>
        <v>0</v>
      </c>
      <c r="G16" s="629"/>
      <c r="H16" s="2146"/>
      <c r="I16" s="2146"/>
      <c r="K16" s="192"/>
    </row>
    <row r="17" spans="1:11" s="2" customFormat="1" ht="27" customHeight="1">
      <c r="A17" s="2201"/>
      <c r="B17" s="2146"/>
      <c r="C17" s="437" t="str">
        <f>OF!C138</f>
        <v xml:space="preserve">is connected to nearby waters containing Atlantic salmon and is probably salmon-accessible during some conditions, but anadromous salmon have not been documented in the AA. </v>
      </c>
      <c r="D17" s="254">
        <f>OF!D138</f>
        <v>0</v>
      </c>
      <c r="E17" s="361">
        <v>1</v>
      </c>
      <c r="F17" s="361">
        <f>D17*E17</f>
        <v>0</v>
      </c>
      <c r="G17" s="630"/>
      <c r="H17" s="2146"/>
      <c r="I17" s="2146"/>
      <c r="K17" s="192"/>
    </row>
    <row r="18" spans="1:11" s="2" customFormat="1" ht="27" customHeight="1">
      <c r="A18" s="2201"/>
      <c r="B18" s="2146"/>
      <c r="C18" s="437" t="str">
        <f>OF!C139</f>
        <v>is not connected to nearby salmon waters, but is known or likely to have other fish at least seasonally.  In NB: includes but not limited to:  http://www2.gnb.ca/content/gnb/en/departments/natural_resources/fish/content/StockedWaters.html</v>
      </c>
      <c r="D18" s="254">
        <f>OF!D139</f>
        <v>0</v>
      </c>
      <c r="E18" s="361">
        <v>1</v>
      </c>
      <c r="F18" s="361">
        <f>D18*E18</f>
        <v>0</v>
      </c>
      <c r="G18" s="630"/>
      <c r="H18" s="2146"/>
      <c r="I18" s="2146"/>
      <c r="K18" s="192"/>
    </row>
    <row r="19" spans="1:11" s="2" customFormat="1" ht="15" customHeight="1" thickBot="1">
      <c r="A19" s="2317"/>
      <c r="B19" s="2149"/>
      <c r="C19" s="194" t="str">
        <f>OF!C140</f>
        <v xml:space="preserve">is known or likely to be fishless (e.g., too small, dry, and/or not accessible even temporarily). </v>
      </c>
      <c r="D19" s="248">
        <f>OF!D140</f>
        <v>0</v>
      </c>
      <c r="E19" s="362">
        <v>0</v>
      </c>
      <c r="F19" s="362">
        <f>D19*E19</f>
        <v>0</v>
      </c>
      <c r="G19" s="631"/>
      <c r="H19" s="2149"/>
      <c r="I19" s="2149"/>
      <c r="K19" s="192"/>
    </row>
    <row r="20" spans="1:11" ht="86.4" customHeight="1" thickBot="1">
      <c r="A20" s="703" t="str">
        <f>OF!A154</f>
        <v>OF38</v>
      </c>
      <c r="B20" s="164" t="str">
        <f>OF!B154</f>
        <v>Calcareous Region</v>
      </c>
      <c r="C20" s="705" t="str">
        <f>OF!C154</f>
        <v>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 If no map coverage, change to blank. In NB: see Figure A-6 in Appendix A of the Manual, or use GIS with Bedrock Geology shapefile at http://www.snb.ca/geonb1/e/DC/catalogue-E.asp</v>
      </c>
      <c r="D20" s="296">
        <f>IF((OF!D154=""),"",OF!D154)</f>
        <v>0</v>
      </c>
      <c r="E20" s="237"/>
      <c r="F20" s="373"/>
      <c r="G20" s="537" t="str">
        <f>IF((D20=0),"",IF((D20=""),"",D20/3))</f>
        <v/>
      </c>
      <c r="H20" s="81" t="s">
        <v>2427</v>
      </c>
      <c r="I20" s="1709" t="s">
        <v>242</v>
      </c>
    </row>
    <row r="21" spans="1:11" s="8" customFormat="1" ht="21" customHeight="1" thickBot="1">
      <c r="A21" s="2148" t="str">
        <f>F!A4</f>
        <v>F1</v>
      </c>
      <c r="B21" s="2148" t="str">
        <f>F!B4</f>
        <v>Wetland Type</v>
      </c>
      <c r="C21" s="136" t="str">
        <f>F!C4</f>
        <v>The vegetated part of the Assessment Area (AA) is mostly a (select ONE):</v>
      </c>
      <c r="D21" s="365"/>
      <c r="E21" s="376"/>
      <c r="F21" s="1370"/>
      <c r="G21" s="537">
        <f>MAX(F22:F25)/MAX(E22:E25)</f>
        <v>0</v>
      </c>
      <c r="H21" s="2148" t="s">
        <v>1960</v>
      </c>
      <c r="I21" s="2148" t="s">
        <v>238</v>
      </c>
      <c r="J21" s="2"/>
      <c r="K21" s="163"/>
    </row>
    <row r="22" spans="1:11" s="8" customFormat="1" ht="57" customHeight="1">
      <c r="A22" s="2146"/>
      <c r="B22" s="2146"/>
      <c r="C22" s="1076"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22" s="256">
        <f>F!D5</f>
        <v>0</v>
      </c>
      <c r="E22" s="377">
        <v>1</v>
      </c>
      <c r="F22" s="361">
        <f>D22*E22</f>
        <v>0</v>
      </c>
      <c r="G22" s="710"/>
      <c r="H22" s="2146"/>
      <c r="I22" s="2146"/>
      <c r="J22" s="2"/>
      <c r="K22" s="163"/>
    </row>
    <row r="23" spans="1:11" s="8" customFormat="1" ht="57" customHeight="1">
      <c r="A23" s="2146"/>
      <c r="B23" s="2146"/>
      <c r="C23" s="491"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23" s="247">
        <f>F!D6</f>
        <v>0</v>
      </c>
      <c r="E23" s="377">
        <v>0</v>
      </c>
      <c r="F23" s="361">
        <f>D23*E23</f>
        <v>0</v>
      </c>
      <c r="G23" s="711"/>
      <c r="H23" s="2146"/>
      <c r="I23" s="2146"/>
      <c r="J23" s="2"/>
      <c r="K23" s="163"/>
    </row>
    <row r="24" spans="1:11" s="8" customFormat="1" ht="69" customHeight="1">
      <c r="A24" s="2146"/>
      <c r="B24" s="2146"/>
      <c r="C24" s="491"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24" s="247">
        <f>F!D7</f>
        <v>0</v>
      </c>
      <c r="E24" s="377">
        <v>2</v>
      </c>
      <c r="F24" s="361">
        <f>D24*E24</f>
        <v>0</v>
      </c>
      <c r="G24" s="711"/>
      <c r="H24" s="2146"/>
      <c r="I24" s="2146"/>
      <c r="J24" s="2"/>
      <c r="K24" s="163"/>
    </row>
    <row r="25" spans="1:11" s="8" customFormat="1" ht="69" customHeight="1" thickBot="1">
      <c r="A25" s="2149"/>
      <c r="B25" s="2149"/>
      <c r="C25" s="492"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25" s="248">
        <f>F!D8</f>
        <v>0</v>
      </c>
      <c r="E25" s="378">
        <v>3</v>
      </c>
      <c r="F25" s="362">
        <f>D25*E25</f>
        <v>0</v>
      </c>
      <c r="G25" s="1374"/>
      <c r="H25" s="2149"/>
      <c r="I25" s="2149"/>
      <c r="J25" s="2"/>
      <c r="K25" s="163"/>
    </row>
    <row r="26" spans="1:11" ht="30" customHeight="1" thickBot="1">
      <c r="A26" s="2151" t="str">
        <f>F!A45</f>
        <v>F9</v>
      </c>
      <c r="B26" s="2146" t="str">
        <f>F!B45</f>
        <v>N Fixers</v>
      </c>
      <c r="C26" s="400" t="str">
        <f>F!C45</f>
        <v>The percentage of the AA's shrub plus ground cover that contains nitrogen-fixing plants (e.g., alder, bayberry, clover, lupine, alfalfa, other legumes) is:</v>
      </c>
      <c r="D26" s="360"/>
      <c r="E26" s="360"/>
      <c r="F26" s="382"/>
      <c r="G26" s="506">
        <f>MAX(F27:F31)/MAX(E27:E31)</f>
        <v>0</v>
      </c>
      <c r="H26" s="2146" t="s">
        <v>740</v>
      </c>
      <c r="I26" s="2611" t="s">
        <v>239</v>
      </c>
    </row>
    <row r="27" spans="1:11" ht="15" customHeight="1">
      <c r="A27" s="2151"/>
      <c r="B27" s="2146"/>
      <c r="C27" s="554" t="str">
        <f>F!C46</f>
        <v>&lt;1% or none</v>
      </c>
      <c r="D27" s="354">
        <f>F!D46</f>
        <v>0</v>
      </c>
      <c r="E27" s="361">
        <v>0</v>
      </c>
      <c r="F27" s="361">
        <f>D27*E27</f>
        <v>0</v>
      </c>
      <c r="G27" s="501"/>
      <c r="H27" s="2146"/>
      <c r="I27" s="2612"/>
    </row>
    <row r="28" spans="1:11" ht="15" customHeight="1">
      <c r="A28" s="2151"/>
      <c r="B28" s="2146"/>
      <c r="C28" s="557" t="str">
        <f>F!C47</f>
        <v>1-25% of the shrub plus ground cover, in the AA or along its water edge (whichever has more).</v>
      </c>
      <c r="D28" s="254">
        <f>F!D47</f>
        <v>0</v>
      </c>
      <c r="E28" s="361">
        <v>1</v>
      </c>
      <c r="F28" s="361">
        <f>D28*E28</f>
        <v>0</v>
      </c>
      <c r="G28" s="502"/>
      <c r="H28" s="2146"/>
      <c r="I28" s="2612"/>
    </row>
    <row r="29" spans="1:11" ht="15" customHeight="1">
      <c r="A29" s="2151"/>
      <c r="B29" s="2146"/>
      <c r="C29" s="557" t="str">
        <f>F!C48</f>
        <v>25-50% of the shrub plus ground cover, in the AA or along its water edge (whichever has more).</v>
      </c>
      <c r="D29" s="254">
        <f>F!D48</f>
        <v>0</v>
      </c>
      <c r="E29" s="361">
        <v>2</v>
      </c>
      <c r="F29" s="361">
        <f>D29*E29</f>
        <v>0</v>
      </c>
      <c r="G29" s="502"/>
      <c r="H29" s="2146"/>
      <c r="I29" s="2612"/>
    </row>
    <row r="30" spans="1:11" ht="15" customHeight="1">
      <c r="A30" s="2151"/>
      <c r="B30" s="2146"/>
      <c r="C30" s="557" t="str">
        <f>F!C49</f>
        <v>50-75% of the shrub plus ground cover, in the AA or along its water edge (whichever has more).</v>
      </c>
      <c r="D30" s="254">
        <f>F!D49</f>
        <v>0</v>
      </c>
      <c r="E30" s="361">
        <v>3</v>
      </c>
      <c r="F30" s="361">
        <f>D30*E30</f>
        <v>0</v>
      </c>
      <c r="G30" s="502"/>
      <c r="H30" s="2146"/>
      <c r="I30" s="2612"/>
    </row>
    <row r="31" spans="1:11" ht="15" customHeight="1" thickBot="1">
      <c r="A31" s="2152"/>
      <c r="B31" s="2149"/>
      <c r="C31" s="492" t="str">
        <f>F!C50</f>
        <v>&gt;75% of the shrub plus ground cover, in the AA or along its water edge (whichever has more).</v>
      </c>
      <c r="D31" s="248">
        <f>F!D50</f>
        <v>0</v>
      </c>
      <c r="E31" s="362">
        <v>4</v>
      </c>
      <c r="F31" s="362">
        <f>D31*E31</f>
        <v>0</v>
      </c>
      <c r="G31" s="503"/>
      <c r="H31" s="2149"/>
      <c r="I31" s="2613"/>
    </row>
    <row r="32" spans="1:11" s="2" customFormat="1" ht="60" customHeight="1" thickBot="1">
      <c r="A32" s="703" t="str">
        <f>F!A114</f>
        <v>F23</v>
      </c>
      <c r="B32" s="164" t="str">
        <f>F!B114</f>
        <v>Lacustrine Wetland</v>
      </c>
      <c r="C32" s="705" t="str">
        <f>F!C114</f>
        <v>The vegetated part of the AA borders a lake, i.e., a body of non-tidal standing open water whose size exceeds 8 hectares during most of a normal year.</v>
      </c>
      <c r="D32" s="296">
        <f>F!D114</f>
        <v>0</v>
      </c>
      <c r="E32" s="384"/>
      <c r="F32" s="373"/>
      <c r="G32" s="537" t="str">
        <f>IF((AllSat1&gt;0),"", IF((NoPersis=1),"", IF((D32=0),"",1)))</f>
        <v/>
      </c>
      <c r="H32" s="5" t="s">
        <v>2312</v>
      </c>
      <c r="I32" s="5" t="s">
        <v>244</v>
      </c>
      <c r="K32" s="192"/>
    </row>
    <row r="33" spans="1:11" s="2" customFormat="1" ht="30" customHeight="1" thickBot="1">
      <c r="A33" s="2421" t="str">
        <f>F!A115</f>
        <v>F24</v>
      </c>
      <c r="B33" s="2593" t="str">
        <f>F!B115</f>
        <v>% of AA Without Surface Water</v>
      </c>
      <c r="C33" s="708" t="str">
        <f>F!C115</f>
        <v>The percentage of the AA that never contains surface water during an average year (that is, except perhaps for a few hours after snowmelt or rainstorms), but which is still a wetland, is:</v>
      </c>
      <c r="D33" s="365"/>
      <c r="E33" s="376"/>
      <c r="F33" s="636"/>
      <c r="G33" s="537">
        <f>MAX(F34:F39)/MAX(E34:E39)</f>
        <v>0</v>
      </c>
      <c r="H33" s="2148" t="s">
        <v>802</v>
      </c>
      <c r="I33" s="2148" t="s">
        <v>803</v>
      </c>
      <c r="K33" s="192"/>
    </row>
    <row r="34" spans="1:11" s="2" customFormat="1" ht="27" customHeight="1">
      <c r="A34" s="2422"/>
      <c r="B34" s="2432"/>
      <c r="C34" s="706" t="str">
        <f>F!C116</f>
        <v xml:space="preserve">&lt;1% AND &lt;0.01 hectare (about 10 m on a side) never has surface water. In other words, all or nearly all of the AA is covered by water permanently or at least seasonally.  </v>
      </c>
      <c r="D34" s="297">
        <f>F!D116</f>
        <v>0</v>
      </c>
      <c r="E34" s="361">
        <v>5</v>
      </c>
      <c r="F34" s="361">
        <f t="shared" ref="F34:F39" si="1">D34*E34</f>
        <v>0</v>
      </c>
      <c r="G34" s="630"/>
      <c r="H34" s="2146"/>
      <c r="I34" s="2146"/>
      <c r="K34" s="192"/>
    </row>
    <row r="35" spans="1:11" s="2" customFormat="1" ht="15" customHeight="1">
      <c r="A35" s="2422"/>
      <c r="B35" s="2432"/>
      <c r="C35" s="706" t="str">
        <f>F!C117</f>
        <v>1-25% of the AA,  or &lt;1% but &gt;0.01 ha, never contains surface water.</v>
      </c>
      <c r="D35" s="297">
        <f>F!D117</f>
        <v>0</v>
      </c>
      <c r="E35" s="361">
        <v>4</v>
      </c>
      <c r="F35" s="361">
        <f t="shared" si="1"/>
        <v>0</v>
      </c>
      <c r="G35" s="630"/>
      <c r="H35" s="2146"/>
      <c r="I35" s="2146"/>
      <c r="K35" s="192"/>
    </row>
    <row r="36" spans="1:11" s="2" customFormat="1" ht="15" customHeight="1">
      <c r="A36" s="2422"/>
      <c r="B36" s="2432"/>
      <c r="C36" s="706" t="str">
        <f>F!C118</f>
        <v>25-50% of the AA never contains surface water.</v>
      </c>
      <c r="D36" s="297">
        <f>F!D118</f>
        <v>0</v>
      </c>
      <c r="E36" s="361">
        <v>3</v>
      </c>
      <c r="F36" s="361">
        <f t="shared" si="1"/>
        <v>0</v>
      </c>
      <c r="G36" s="630"/>
      <c r="H36" s="2146"/>
      <c r="I36" s="2146"/>
      <c r="K36" s="192"/>
    </row>
    <row r="37" spans="1:11" s="2" customFormat="1" ht="15" customHeight="1">
      <c r="A37" s="2422"/>
      <c r="B37" s="2432"/>
      <c r="C37" s="706" t="str">
        <f>F!C119</f>
        <v>50-75% of the AA never contains surface water.</v>
      </c>
      <c r="D37" s="297">
        <f>F!D119</f>
        <v>0</v>
      </c>
      <c r="E37" s="361">
        <v>2</v>
      </c>
      <c r="F37" s="361">
        <f t="shared" si="1"/>
        <v>0</v>
      </c>
      <c r="G37" s="630"/>
      <c r="H37" s="2146"/>
      <c r="I37" s="2146"/>
      <c r="K37" s="192"/>
    </row>
    <row r="38" spans="1:11" s="2" customFormat="1" ht="15" customHeight="1">
      <c r="A38" s="2422"/>
      <c r="B38" s="2432"/>
      <c r="C38" s="706" t="str">
        <f>F!C120</f>
        <v>75-99% of the AA never contains surface water.</v>
      </c>
      <c r="D38" s="297">
        <f>F!D120</f>
        <v>0</v>
      </c>
      <c r="E38" s="361">
        <v>1</v>
      </c>
      <c r="F38" s="361">
        <f t="shared" si="1"/>
        <v>0</v>
      </c>
      <c r="G38" s="630"/>
      <c r="H38" s="2146"/>
      <c r="I38" s="2146"/>
      <c r="K38" s="192"/>
    </row>
    <row r="39" spans="1:11" s="2" customFormat="1" ht="27" customHeight="1" thickBot="1">
      <c r="A39" s="2423"/>
      <c r="B39" s="2594"/>
      <c r="C39" s="1740" t="str">
        <f>F!C121</f>
        <v>100%. True for many bogs, meadow marshes, swamps that lack vernal pools.  Enter "1" and SKIP to F42 (Channel Connection).</v>
      </c>
      <c r="D39" s="1741">
        <f>F!D121</f>
        <v>0</v>
      </c>
      <c r="E39" s="362">
        <v>0</v>
      </c>
      <c r="F39" s="362">
        <f t="shared" si="1"/>
        <v>0</v>
      </c>
      <c r="G39" s="631"/>
      <c r="H39" s="2149"/>
      <c r="I39" s="2149"/>
      <c r="K39" s="192"/>
    </row>
    <row r="40" spans="1:11" s="7" customFormat="1" ht="45" customHeight="1" thickBot="1">
      <c r="A40" s="2637" t="str">
        <f>F!A122</f>
        <v>F25</v>
      </c>
      <c r="B40" s="2146" t="str">
        <f>F!B122</f>
        <v>% of AA with Persistent Surface Water</v>
      </c>
      <c r="C40" s="448"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40" s="360"/>
      <c r="E40" s="360"/>
      <c r="F40" s="363"/>
      <c r="G40" s="538">
        <f>IF((AllSat1&gt;0),"",MAX(F41:F45)/MAX(E41:E45))</f>
        <v>0</v>
      </c>
      <c r="H40" s="2211" t="s">
        <v>1392</v>
      </c>
      <c r="I40" s="2213" t="s">
        <v>220</v>
      </c>
      <c r="J40" s="2"/>
      <c r="K40" s="138"/>
    </row>
    <row r="41" spans="1:11" s="7" customFormat="1" ht="27" customHeight="1">
      <c r="A41" s="2637"/>
      <c r="B41" s="2146"/>
      <c r="C41" s="1077" t="str">
        <f>F!C123</f>
        <v>none. The AA dries up completely (no water in channels either) or never has surface water during most years.</v>
      </c>
      <c r="D41" s="78">
        <f>F!D123</f>
        <v>0</v>
      </c>
      <c r="E41" s="360">
        <v>0</v>
      </c>
      <c r="F41" s="361">
        <f>D41*E41</f>
        <v>0</v>
      </c>
      <c r="G41" s="502"/>
      <c r="H41" s="2211"/>
      <c r="I41" s="2213"/>
      <c r="J41" s="553"/>
      <c r="K41" s="138"/>
    </row>
    <row r="42" spans="1:11" ht="15" customHeight="1">
      <c r="A42" s="2637"/>
      <c r="B42" s="2146"/>
      <c r="C42" s="545" t="str">
        <f>F!C124</f>
        <v>1-20% of the AA.</v>
      </c>
      <c r="D42" s="78">
        <f>F!D124</f>
        <v>0</v>
      </c>
      <c r="E42" s="361">
        <v>1</v>
      </c>
      <c r="F42" s="361">
        <f>D42*E42</f>
        <v>0</v>
      </c>
      <c r="G42" s="502"/>
      <c r="H42" s="2211"/>
      <c r="I42" s="2213"/>
    </row>
    <row r="43" spans="1:11" ht="15" customHeight="1">
      <c r="A43" s="2637"/>
      <c r="B43" s="2146"/>
      <c r="C43" s="545" t="str">
        <f>F!C125</f>
        <v>20-50% of the AA.</v>
      </c>
      <c r="D43" s="78">
        <f>F!D125</f>
        <v>0</v>
      </c>
      <c r="E43" s="361">
        <v>2</v>
      </c>
      <c r="F43" s="361">
        <f>D43*E43</f>
        <v>0</v>
      </c>
      <c r="G43" s="502"/>
      <c r="H43" s="2211"/>
      <c r="I43" s="2213"/>
    </row>
    <row r="44" spans="1:11" ht="15" customHeight="1">
      <c r="A44" s="2637"/>
      <c r="B44" s="2146"/>
      <c r="C44" s="545" t="str">
        <f>F!C126</f>
        <v>50-95% of the AA.</v>
      </c>
      <c r="D44" s="78">
        <f>F!D126</f>
        <v>0</v>
      </c>
      <c r="E44" s="361">
        <v>3</v>
      </c>
      <c r="F44" s="361">
        <f>D44*E44</f>
        <v>0</v>
      </c>
      <c r="G44" s="502"/>
      <c r="H44" s="2211"/>
      <c r="I44" s="2213"/>
    </row>
    <row r="45" spans="1:11" ht="15" customHeight="1" thickBot="1">
      <c r="A45" s="2638"/>
      <c r="B45" s="2149"/>
      <c r="C45" s="441" t="str">
        <f>F!C127</f>
        <v>&gt;95% of the AA. True for many fringe wetlands.</v>
      </c>
      <c r="D45" s="193">
        <f>F!D127</f>
        <v>0</v>
      </c>
      <c r="E45" s="378">
        <v>4</v>
      </c>
      <c r="F45" s="362">
        <f>NoPermW10*E45</f>
        <v>0</v>
      </c>
      <c r="G45" s="503"/>
      <c r="H45" s="2420"/>
      <c r="I45" s="2377"/>
    </row>
    <row r="46" spans="1:11" ht="30" customHeight="1" thickBot="1">
      <c r="A46" s="2316" t="str">
        <f>F!A147</f>
        <v>F29</v>
      </c>
      <c r="B46" s="2148" t="str">
        <f>F!B147</f>
        <v>Predominant Depth Class</v>
      </c>
      <c r="C46" s="439" t="str">
        <f>F!C147</f>
        <v>During most of the time when surface water is present during the growing season, its depth, averaged over the entire inundated part of the AA, is:</v>
      </c>
      <c r="D46" s="365"/>
      <c r="E46" s="365"/>
      <c r="F46" s="383"/>
      <c r="G46" s="500">
        <f>IF((AllSat1&gt;0),"",IF((TooSmall=1),"",MAX(F47:F51)/MAX(E47:E51)))</f>
        <v>0</v>
      </c>
      <c r="H46" s="2218" t="s">
        <v>1393</v>
      </c>
      <c r="I46" s="2611" t="s">
        <v>223</v>
      </c>
    </row>
    <row r="47" spans="1:11" ht="15" customHeight="1">
      <c r="A47" s="2201"/>
      <c r="B47" s="2146"/>
      <c r="C47" s="440" t="str">
        <f>F!C148</f>
        <v>&lt;10 cm deep (but &gt;0).</v>
      </c>
      <c r="D47" s="255">
        <f>F!D148</f>
        <v>0</v>
      </c>
      <c r="E47" s="361">
        <v>1</v>
      </c>
      <c r="F47" s="361">
        <f t="shared" ref="F47:F55" si="2">D47*E47</f>
        <v>0</v>
      </c>
      <c r="G47" s="501"/>
      <c r="H47" s="2211"/>
      <c r="I47" s="2612"/>
    </row>
    <row r="48" spans="1:11" ht="15" customHeight="1">
      <c r="A48" s="2201"/>
      <c r="B48" s="2146"/>
      <c r="C48" s="545" t="str">
        <f>F!C149</f>
        <v>10 - 50 cm deep.</v>
      </c>
      <c r="D48" s="78">
        <f>F!D149</f>
        <v>0</v>
      </c>
      <c r="E48" s="361">
        <v>1</v>
      </c>
      <c r="F48" s="361">
        <f t="shared" si="2"/>
        <v>0</v>
      </c>
      <c r="G48" s="502"/>
      <c r="H48" s="2211"/>
      <c r="I48" s="2612"/>
    </row>
    <row r="49" spans="1:9" ht="15" customHeight="1">
      <c r="A49" s="2201"/>
      <c r="B49" s="2146"/>
      <c r="C49" s="545" t="str">
        <f>F!C150</f>
        <v>0.5 - 1 m deep.</v>
      </c>
      <c r="D49" s="78">
        <f>F!D150</f>
        <v>0</v>
      </c>
      <c r="E49" s="361">
        <v>2</v>
      </c>
      <c r="F49" s="361">
        <f t="shared" si="2"/>
        <v>0</v>
      </c>
      <c r="G49" s="502"/>
      <c r="H49" s="2211"/>
      <c r="I49" s="2612"/>
    </row>
    <row r="50" spans="1:9" ht="15" customHeight="1">
      <c r="A50" s="2201"/>
      <c r="B50" s="2146"/>
      <c r="C50" s="545" t="str">
        <f>F!C151</f>
        <v>1 - 2 m deep.</v>
      </c>
      <c r="D50" s="78">
        <f>F!D151</f>
        <v>0</v>
      </c>
      <c r="E50" s="361">
        <v>4</v>
      </c>
      <c r="F50" s="361">
        <f t="shared" si="2"/>
        <v>0</v>
      </c>
      <c r="G50" s="502"/>
      <c r="H50" s="2211"/>
      <c r="I50" s="2612"/>
    </row>
    <row r="51" spans="1:9" ht="15" customHeight="1" thickBot="1">
      <c r="A51" s="2317"/>
      <c r="B51" s="2149"/>
      <c r="C51" s="441" t="str">
        <f>F!C152</f>
        <v>&gt;2 m deep. True for many fringe wetlands.</v>
      </c>
      <c r="D51" s="193">
        <f>F!D152</f>
        <v>0</v>
      </c>
      <c r="E51" s="362">
        <v>3</v>
      </c>
      <c r="F51" s="362">
        <f t="shared" si="2"/>
        <v>0</v>
      </c>
      <c r="G51" s="503"/>
      <c r="H51" s="2420"/>
      <c r="I51" s="2613"/>
    </row>
    <row r="52" spans="1:9" ht="21" customHeight="1" thickBot="1">
      <c r="A52" s="2201" t="str">
        <f>F!A153</f>
        <v>F30</v>
      </c>
      <c r="B52" s="2146" t="str">
        <f>F!B153</f>
        <v>Depth Classes - Evenness of Proportions</v>
      </c>
      <c r="C52" s="448" t="str">
        <f>F!C153</f>
        <v>When present, surface water in most of the AA usually consists of (select one):</v>
      </c>
      <c r="D52" s="360"/>
      <c r="E52" s="360"/>
      <c r="F52" s="363"/>
      <c r="G52" s="506">
        <f>IF((AllSat1&gt;0),"",IF((TooSmall=1),"",MAX(F53:F55)/MAX(E53:E55)))</f>
        <v>0</v>
      </c>
      <c r="H52" s="2211" t="s">
        <v>2313</v>
      </c>
      <c r="I52" s="2611" t="s">
        <v>224</v>
      </c>
    </row>
    <row r="53" spans="1:9" ht="27" customHeight="1">
      <c r="A53" s="2201"/>
      <c r="B53" s="2146"/>
      <c r="C53" s="440" t="str">
        <f>F!C154</f>
        <v xml:space="preserve">One depth class that comprises &gt;90% of the AA’s inundated area (use the classes in the question above). </v>
      </c>
      <c r="D53" s="255">
        <f>F!D154</f>
        <v>0</v>
      </c>
      <c r="E53" s="361">
        <v>0</v>
      </c>
      <c r="F53" s="361">
        <f t="shared" si="2"/>
        <v>0</v>
      </c>
      <c r="G53" s="501"/>
      <c r="H53" s="2211"/>
      <c r="I53" s="2612"/>
    </row>
    <row r="54" spans="1:9" ht="15" customHeight="1">
      <c r="A54" s="2201"/>
      <c r="B54" s="2146"/>
      <c r="C54" s="545" t="str">
        <f>F!C155</f>
        <v>One depth class that comprises 50-90% of the AA's inundated area.</v>
      </c>
      <c r="D54" s="78">
        <f>F!D155</f>
        <v>0</v>
      </c>
      <c r="E54" s="361">
        <v>1</v>
      </c>
      <c r="F54" s="361">
        <f t="shared" si="2"/>
        <v>0</v>
      </c>
      <c r="G54" s="502"/>
      <c r="H54" s="2211"/>
      <c r="I54" s="2612"/>
    </row>
    <row r="55" spans="1:9" ht="15" customHeight="1" thickBot="1">
      <c r="A55" s="2317"/>
      <c r="B55" s="2149"/>
      <c r="C55" s="441" t="str">
        <f>F!C156</f>
        <v>Neither of above. There are 3 or more depth classes and none occupy &gt;50%.</v>
      </c>
      <c r="D55" s="193">
        <f>F!D156</f>
        <v>0</v>
      </c>
      <c r="E55" s="362">
        <v>2</v>
      </c>
      <c r="F55" s="362">
        <f t="shared" si="2"/>
        <v>0</v>
      </c>
      <c r="G55" s="503"/>
      <c r="H55" s="2210"/>
      <c r="I55" s="2613"/>
    </row>
    <row r="56" spans="1:9" ht="30" customHeight="1" thickBot="1">
      <c r="A56" s="2578" t="str">
        <f>F!A164</f>
        <v>F33</v>
      </c>
      <c r="B56" s="2212" t="str">
        <f>F!B164</f>
        <v xml:space="preserve">% of Ponded Water that is Open </v>
      </c>
      <c r="C56" s="441" t="str">
        <f>F!C164</f>
        <v>In ducks-eye aerial view, the percentage of the ponded water that is open (lacking emergent vegetation during most of the growing season, and unhidden by a forest or shrub canopy) is:</v>
      </c>
      <c r="D56" s="360"/>
      <c r="E56" s="360"/>
      <c r="F56" s="382"/>
      <c r="G56" s="506">
        <f>IF((AllSat1&gt;0),"",IF((TooSmall=1),"",IF((NoPonded=1),"",MAX(F57:F62)/MAX(E57:E62))))</f>
        <v>0</v>
      </c>
      <c r="H56" s="2211" t="s">
        <v>1395</v>
      </c>
      <c r="I56" s="2611" t="s">
        <v>222</v>
      </c>
    </row>
    <row r="57" spans="1:9" ht="27" customHeight="1" thickBot="1">
      <c r="A57" s="2516"/>
      <c r="B57" s="2213"/>
      <c r="C57" s="441" t="str">
        <f>F!C165</f>
        <v>None, or &lt;1% of the AA and largest pool occupies &lt;0.01 hectares. Enter "1" and SKIP to F41 (Floating Algae &amp; Duckweed).</v>
      </c>
      <c r="D57" s="193">
        <f>F!D165</f>
        <v>0</v>
      </c>
      <c r="E57" s="361">
        <v>0</v>
      </c>
      <c r="F57" s="361">
        <f t="shared" ref="F57:F62" si="3">D57*E57</f>
        <v>0</v>
      </c>
      <c r="G57" s="501"/>
      <c r="H57" s="2211"/>
      <c r="I57" s="2612"/>
    </row>
    <row r="58" spans="1:9" ht="15" customHeight="1" thickBot="1">
      <c r="A58" s="2516"/>
      <c r="B58" s="2213"/>
      <c r="C58" s="441" t="str">
        <f>F!C166</f>
        <v>1-4% of the ponded water. Enter "1" and SKIP to F40 (Floating Algae &amp; Duckweed).</v>
      </c>
      <c r="D58" s="193">
        <f>F!D166</f>
        <v>0</v>
      </c>
      <c r="E58" s="361">
        <v>3</v>
      </c>
      <c r="F58" s="361">
        <f t="shared" si="3"/>
        <v>0</v>
      </c>
      <c r="G58" s="502"/>
      <c r="H58" s="2211"/>
      <c r="I58" s="2612"/>
    </row>
    <row r="59" spans="1:9" ht="15" customHeight="1" thickBot="1">
      <c r="A59" s="2516"/>
      <c r="B59" s="2213"/>
      <c r="C59" s="441" t="str">
        <f>F!C167</f>
        <v>5-30% of the ponded water.</v>
      </c>
      <c r="D59" s="193">
        <f>F!D167</f>
        <v>0</v>
      </c>
      <c r="E59" s="361">
        <v>4</v>
      </c>
      <c r="F59" s="361">
        <f t="shared" si="3"/>
        <v>0</v>
      </c>
      <c r="G59" s="502"/>
      <c r="H59" s="2211"/>
      <c r="I59" s="2612"/>
    </row>
    <row r="60" spans="1:9" ht="15" customHeight="1" thickBot="1">
      <c r="A60" s="2516"/>
      <c r="B60" s="2213"/>
      <c r="C60" s="441" t="str">
        <f>F!C168</f>
        <v>30-70% of the ponded water.</v>
      </c>
      <c r="D60" s="193">
        <f>F!D168</f>
        <v>0</v>
      </c>
      <c r="E60" s="361">
        <v>2</v>
      </c>
      <c r="F60" s="361">
        <f t="shared" si="3"/>
        <v>0</v>
      </c>
      <c r="G60" s="502"/>
      <c r="H60" s="2211"/>
      <c r="I60" s="2612"/>
    </row>
    <row r="61" spans="1:9" ht="15" customHeight="1" thickBot="1">
      <c r="A61" s="2516"/>
      <c r="B61" s="2213"/>
      <c r="C61" s="441" t="str">
        <f>F!C169</f>
        <v>70-99% of the ponded water.</v>
      </c>
      <c r="D61" s="193">
        <f>F!D169</f>
        <v>0</v>
      </c>
      <c r="E61" s="361">
        <v>1</v>
      </c>
      <c r="F61" s="361">
        <f t="shared" si="3"/>
        <v>0</v>
      </c>
      <c r="G61" s="502"/>
      <c r="H61" s="2211"/>
      <c r="I61" s="2612"/>
    </row>
    <row r="62" spans="1:9" ht="15" customHeight="1" thickBot="1">
      <c r="A62" s="2517"/>
      <c r="B62" s="2377"/>
      <c r="C62" s="441" t="str">
        <f>F!C170</f>
        <v xml:space="preserve">100% of the ponded water. </v>
      </c>
      <c r="D62" s="193">
        <f>F!D170</f>
        <v>0</v>
      </c>
      <c r="E62" s="362">
        <v>1</v>
      </c>
      <c r="F62" s="361">
        <f t="shared" si="3"/>
        <v>0</v>
      </c>
      <c r="G62" s="511"/>
      <c r="H62" s="2211"/>
      <c r="I62" s="2613"/>
    </row>
    <row r="63" spans="1:9" ht="30" customHeight="1" thickBot="1">
      <c r="A63" s="2150" t="str">
        <f>F!A189</f>
        <v>F37</v>
      </c>
      <c r="B63" s="2148" t="str">
        <f>F!B189</f>
        <v>Interspersion of Robust Emergents &amp; Open Water</v>
      </c>
      <c r="C63" s="436" t="str">
        <f>F!C189</f>
        <v>During most of the part of the growing season when water is present, the spatial pattern of robust herbaceous vegetation (e.g., cattail, tall bulrush, buckbean) is mostly:</v>
      </c>
      <c r="D63" s="360"/>
      <c r="E63" s="365"/>
      <c r="F63" s="383"/>
      <c r="G63" s="500">
        <f>IF((AllSat1&gt;0),"",IF((TooSmall=1),"",IF((NoPonded=1),"",IF((NoOpenPonded+NoOpenPonded1&gt;0),"",IF((AllOpenPond=1),"",MAX(F64:F66)/MAX(E64:E66))))))</f>
        <v>0</v>
      </c>
      <c r="H63" s="2148" t="s">
        <v>1396</v>
      </c>
      <c r="I63" s="2611" t="s">
        <v>225</v>
      </c>
    </row>
    <row r="64" spans="1:9" ht="15" customHeight="1">
      <c r="A64" s="2151"/>
      <c r="B64" s="2146"/>
      <c r="C64" s="30" t="str">
        <f>F!C190</f>
        <v>Scattered. More than 30% of such vegetation forms small islands or corridors surrounded by water.</v>
      </c>
      <c r="D64" s="256">
        <f>F!D190</f>
        <v>0</v>
      </c>
      <c r="E64" s="360">
        <v>3</v>
      </c>
      <c r="F64" s="361">
        <f>D64*E64</f>
        <v>0</v>
      </c>
      <c r="G64" s="363"/>
      <c r="H64" s="2146"/>
      <c r="I64" s="2612"/>
    </row>
    <row r="65" spans="1:9" ht="15" customHeight="1">
      <c r="A65" s="2151"/>
      <c r="B65" s="2146"/>
      <c r="C65" s="6" t="str">
        <f>F!C191</f>
        <v>Intermediate.</v>
      </c>
      <c r="D65" s="247">
        <f>F!D191</f>
        <v>0</v>
      </c>
      <c r="E65" s="360">
        <v>2</v>
      </c>
      <c r="F65" s="361">
        <f>D65*E65</f>
        <v>0</v>
      </c>
      <c r="G65" s="363"/>
      <c r="H65" s="2146"/>
      <c r="I65" s="2612"/>
    </row>
    <row r="66" spans="1:9" ht="27" customHeight="1" thickBot="1">
      <c r="A66" s="2151"/>
      <c r="B66" s="2146"/>
      <c r="C66" s="437" t="str">
        <f>F!C192</f>
        <v>Clumped. More than 70% of such vegetation is in bands along the wetland perimeter or is clumped at one or a few sides of the surface water area.</v>
      </c>
      <c r="D66" s="254">
        <f>F!D192</f>
        <v>0</v>
      </c>
      <c r="E66" s="380">
        <v>1</v>
      </c>
      <c r="F66" s="364">
        <f>D66*E66</f>
        <v>0</v>
      </c>
      <c r="G66" s="374"/>
      <c r="H66" s="2146"/>
      <c r="I66" s="2613"/>
    </row>
    <row r="67" spans="1:9" ht="45" customHeight="1" thickBot="1">
      <c r="A67" s="2316" t="str">
        <f>F!A194</f>
        <v>F39</v>
      </c>
      <c r="B67" s="2148" t="str">
        <f>F!B194</f>
        <v>Non-vegetated Aquatic Cover</v>
      </c>
      <c r="C67" s="439" t="str">
        <f>F!C194</f>
        <v>During most of the growing season and in waters deeper than 0.5 m, the cover for fish, aquatic invertebrates, and/or amphibians that is provided NOT by living vegetation, but by accumulations of dead wood and undercut banks is:</v>
      </c>
      <c r="D67" s="365"/>
      <c r="E67" s="365"/>
      <c r="F67" s="383"/>
      <c r="G67" s="500" t="str">
        <f>IF((AllSat1&gt;0),"",IF((TooSmall=1),"",IF((OpenW=0),"",MAX(F68:F70)/MAX(E68:E70))))</f>
        <v/>
      </c>
      <c r="H67" s="2218" t="s">
        <v>1373</v>
      </c>
      <c r="I67" s="2611" t="s">
        <v>221</v>
      </c>
    </row>
    <row r="68" spans="1:9" ht="15" customHeight="1">
      <c r="A68" s="2201"/>
      <c r="B68" s="2146"/>
      <c r="C68" s="440" t="str">
        <f>F!C195</f>
        <v>Little or none.</v>
      </c>
      <c r="D68" s="255">
        <f>F!D195</f>
        <v>0</v>
      </c>
      <c r="E68" s="361">
        <v>0</v>
      </c>
      <c r="F68" s="361">
        <f>D68*E68</f>
        <v>0</v>
      </c>
      <c r="G68" s="501"/>
      <c r="H68" s="2211"/>
      <c r="I68" s="2612"/>
    </row>
    <row r="69" spans="1:9" ht="15" customHeight="1">
      <c r="A69" s="2201"/>
      <c r="B69" s="2146"/>
      <c r="C69" s="545" t="str">
        <f>F!C196</f>
        <v>Intermediate.</v>
      </c>
      <c r="D69" s="78">
        <f>F!D196</f>
        <v>0</v>
      </c>
      <c r="E69" s="361">
        <v>1</v>
      </c>
      <c r="F69" s="361">
        <f>D69*E69</f>
        <v>0</v>
      </c>
      <c r="G69" s="697"/>
      <c r="H69" s="2211"/>
      <c r="I69" s="2612"/>
    </row>
    <row r="70" spans="1:9" ht="15" customHeight="1" thickBot="1">
      <c r="A70" s="2317"/>
      <c r="B70" s="2149"/>
      <c r="C70" s="441" t="str">
        <f>F!C197</f>
        <v>Extensive.</v>
      </c>
      <c r="D70" s="193">
        <f>F!D197</f>
        <v>0</v>
      </c>
      <c r="E70" s="362">
        <v>2</v>
      </c>
      <c r="F70" s="362">
        <f>D70*E70</f>
        <v>0</v>
      </c>
      <c r="G70" s="503"/>
      <c r="H70" s="2420"/>
      <c r="I70" s="2613"/>
    </row>
    <row r="71" spans="1:9" ht="30" customHeight="1" thickBot="1">
      <c r="A71" s="2201" t="str">
        <f>F!A200</f>
        <v>F42</v>
      </c>
      <c r="B71" s="2146" t="str">
        <f>F!B200</f>
        <v>Channel Connection &amp; Outflow Duration</v>
      </c>
      <c r="C71" s="448" t="str">
        <f>F!C200</f>
        <v>The most persistent surface water connection (outlet channel or pipe, ditch, or overbank water exchange) between the AA and the closest larger water body located downslope is:</v>
      </c>
      <c r="D71" s="360"/>
      <c r="E71" s="360"/>
      <c r="F71" s="382"/>
      <c r="G71" s="506">
        <f>MAX(F72:F76)/MAX(E72:E76)</f>
        <v>0</v>
      </c>
      <c r="H71" s="2218" t="s">
        <v>1952</v>
      </c>
      <c r="I71" s="2611" t="s">
        <v>226</v>
      </c>
    </row>
    <row r="72" spans="1:9" ht="15" customHeight="1">
      <c r="A72" s="2201"/>
      <c r="B72" s="2146"/>
      <c r="C72" s="440" t="str">
        <f>F!C201</f>
        <v>persistent (&gt;9 months/year, regardless of whether frozen or not).</v>
      </c>
      <c r="D72" s="255">
        <f>F!D201</f>
        <v>0</v>
      </c>
      <c r="E72" s="361">
        <v>3</v>
      </c>
      <c r="F72" s="361">
        <f>D72*E72</f>
        <v>0</v>
      </c>
      <c r="G72" s="501"/>
      <c r="H72" s="2211"/>
      <c r="I72" s="2612"/>
    </row>
    <row r="73" spans="1:9" ht="15" customHeight="1">
      <c r="A73" s="2201"/>
      <c r="B73" s="2146"/>
      <c r="C73" s="545" t="str">
        <f>F!C202</f>
        <v>seasonal (14 days to 9 months/year, not necessarily consecutive, including times when frozen).</v>
      </c>
      <c r="D73" s="78">
        <f>F!D202</f>
        <v>0</v>
      </c>
      <c r="E73" s="361">
        <v>2</v>
      </c>
      <c r="F73" s="361">
        <f>D73*E73</f>
        <v>0</v>
      </c>
      <c r="G73" s="502"/>
      <c r="H73" s="2211"/>
      <c r="I73" s="2612"/>
    </row>
    <row r="74" spans="1:9" ht="15" customHeight="1">
      <c r="A74" s="2201"/>
      <c r="B74" s="2146"/>
      <c r="C74" s="545" t="str">
        <f>F!C203</f>
        <v>temporary (&lt;14 days, not necessarily consecutive, but must be unfrozen).</v>
      </c>
      <c r="D74" s="78">
        <f>F!D203</f>
        <v>0</v>
      </c>
      <c r="E74" s="361">
        <v>1</v>
      </c>
      <c r="F74" s="361">
        <f>D74*E74</f>
        <v>0</v>
      </c>
      <c r="G74" s="502"/>
      <c r="H74" s="2211"/>
      <c r="I74" s="2612"/>
    </row>
    <row r="75" spans="1:9" ht="27" customHeight="1">
      <c r="A75" s="2201"/>
      <c r="B75" s="2146"/>
      <c r="C75" s="545" t="str">
        <f>F!C204</f>
        <v>none -- but maps show a stream or other water body that is downslope from the AA and within a distance that is less than the AA's length. SKIP to F44 (Tributary Channel).</v>
      </c>
      <c r="D75" s="78">
        <f>F!D204</f>
        <v>0</v>
      </c>
      <c r="E75" s="377">
        <v>0</v>
      </c>
      <c r="F75" s="361">
        <f>D75*E75</f>
        <v>0</v>
      </c>
      <c r="G75" s="511"/>
      <c r="H75" s="2211"/>
      <c r="I75" s="2612"/>
    </row>
    <row r="76" spans="1:9" ht="42" customHeight="1" thickBot="1">
      <c r="A76" s="2317"/>
      <c r="B76" s="2149"/>
      <c r="C76" s="441" t="str">
        <f>F!C205</f>
        <v>no surface water flows out of the wetland except possibly during extreme events (&lt;once per 10 years). Or, water flows only into a wetland, ditch, or lake that lacks an outlet. SKIP to F47 (pH Measurement).</v>
      </c>
      <c r="D76" s="193">
        <f>F!D205</f>
        <v>0</v>
      </c>
      <c r="E76" s="378">
        <v>0</v>
      </c>
      <c r="F76" s="362">
        <f>D76*E76</f>
        <v>0</v>
      </c>
      <c r="G76" s="503"/>
      <c r="H76" s="2420"/>
      <c r="I76" s="2613"/>
    </row>
    <row r="77" spans="1:9" ht="30" customHeight="1" thickBot="1">
      <c r="A77" s="2316" t="str">
        <f>F!A212</f>
        <v>F46</v>
      </c>
      <c r="B77" s="2148" t="str">
        <f>F!B212</f>
        <v>Throughflow Resistance</v>
      </c>
      <c r="C77" s="439" t="str">
        <f>F!C212</f>
        <v>During its travel through the AA at the time of peak annual flow, water arriving in channels: [select only the ONE encountered by most of the incoming water].</v>
      </c>
      <c r="D77" s="365"/>
      <c r="E77" s="365"/>
      <c r="F77" s="383"/>
      <c r="G77" s="500">
        <f>IF(AND(Inflows=0,OutNone=1,OutNone1=1),"",MAX(F78:F82)/MAX(E78:E82))</f>
        <v>0</v>
      </c>
      <c r="H77" s="2218" t="s">
        <v>1397</v>
      </c>
      <c r="I77" s="2611" t="s">
        <v>227</v>
      </c>
    </row>
    <row r="78" spans="1:9" ht="42" customHeight="1">
      <c r="A78" s="2201"/>
      <c r="B78" s="2146"/>
      <c r="C78" s="44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78" s="255">
        <f>F!D213</f>
        <v>0</v>
      </c>
      <c r="E78" s="361">
        <v>0</v>
      </c>
      <c r="F78" s="361">
        <f>D78*E78</f>
        <v>0</v>
      </c>
      <c r="G78" s="501"/>
      <c r="H78" s="2211"/>
      <c r="I78" s="2612"/>
    </row>
    <row r="79" spans="1:9" ht="15" customHeight="1">
      <c r="A79" s="2201"/>
      <c r="B79" s="2146"/>
      <c r="C79" s="545" t="str">
        <f>F!C214</f>
        <v>bumps into herbaceous vegetation but mostly remains in fairly straight channels.</v>
      </c>
      <c r="D79" s="78">
        <f>F!D214</f>
        <v>0</v>
      </c>
      <c r="E79" s="361">
        <v>1</v>
      </c>
      <c r="F79" s="361">
        <f>D79*E79</f>
        <v>0</v>
      </c>
      <c r="G79" s="502"/>
      <c r="H79" s="2211"/>
      <c r="I79" s="2612"/>
    </row>
    <row r="80" spans="1:9" ht="27" customHeight="1">
      <c r="A80" s="2201"/>
      <c r="B80" s="2146"/>
      <c r="C80" s="545" t="str">
        <f>F!C215</f>
        <v>bumps into herbaceous vegetation and mostly spreads throughout, or is in widely meandering, multi-branched, or braided channels.</v>
      </c>
      <c r="D80" s="78">
        <f>F!D215</f>
        <v>0</v>
      </c>
      <c r="E80" s="361">
        <v>3</v>
      </c>
      <c r="F80" s="361">
        <f>D80*E80</f>
        <v>0</v>
      </c>
      <c r="G80" s="502"/>
      <c r="H80" s="2211"/>
      <c r="I80" s="2612"/>
    </row>
    <row r="81" spans="1:11" ht="15" customHeight="1">
      <c r="A81" s="2201"/>
      <c r="B81" s="2146"/>
      <c r="C81" s="545" t="str">
        <f>F!C216</f>
        <v>bumps into tree trunks and/or shrub stems but mostly remains in fairly straight channels.</v>
      </c>
      <c r="D81" s="78">
        <f>F!D216</f>
        <v>0</v>
      </c>
      <c r="E81" s="361">
        <v>2</v>
      </c>
      <c r="F81" s="361">
        <f>D81*E81</f>
        <v>0</v>
      </c>
      <c r="G81" s="502"/>
      <c r="H81" s="2211"/>
      <c r="I81" s="2612"/>
    </row>
    <row r="82" spans="1:11" ht="27" customHeight="1" thickBot="1">
      <c r="A82" s="2317"/>
      <c r="B82" s="2149"/>
      <c r="C82" s="441" t="str">
        <f>F!C217</f>
        <v>bumps into tree trunks and/or shrub stems and follows a fairly indirect path from entrance to exit (meandering, multi-branched, or braided).</v>
      </c>
      <c r="D82" s="193">
        <f>F!D217</f>
        <v>0</v>
      </c>
      <c r="E82" s="362">
        <v>3</v>
      </c>
      <c r="F82" s="362">
        <f>D82*E82</f>
        <v>0</v>
      </c>
      <c r="G82" s="503"/>
      <c r="H82" s="2420"/>
      <c r="I82" s="2613"/>
    </row>
    <row r="83" spans="1:11" ht="21" customHeight="1" thickBot="1">
      <c r="A83" s="2148" t="str">
        <f>F!A218</f>
        <v>F47</v>
      </c>
      <c r="B83" s="2148" t="str">
        <f>F!B218</f>
        <v>pH Measurement</v>
      </c>
      <c r="C83" s="1568" t="str">
        <f>F!C218</f>
        <v>The pH in most of the AA's surface water:</v>
      </c>
      <c r="D83" s="376"/>
      <c r="E83" s="365"/>
      <c r="F83" s="365"/>
      <c r="G83" s="1739">
        <f>IF((D84=1),"", IF((D86&gt;0&lt;5),1, 0.5))</f>
        <v>0.5</v>
      </c>
      <c r="H83" s="2148" t="s">
        <v>1980</v>
      </c>
      <c r="I83" s="2611" t="s">
        <v>275</v>
      </c>
    </row>
    <row r="84" spans="1:11" ht="15" customHeight="1">
      <c r="A84" s="2146"/>
      <c r="B84" s="2146"/>
      <c r="C84" s="1076" t="str">
        <f>F!C219</f>
        <v>was not measured because no surface water could be found during this visit. Enter "1".</v>
      </c>
      <c r="D84" s="247">
        <f>F!D219</f>
        <v>0</v>
      </c>
      <c r="E84" s="361"/>
      <c r="F84" s="361"/>
      <c r="G84" s="386"/>
      <c r="H84" s="2146"/>
      <c r="I84" s="2612"/>
    </row>
    <row r="85" spans="1:11" ht="27" customHeight="1">
      <c r="A85" s="2146"/>
      <c r="B85" s="2146"/>
      <c r="C85" s="491" t="str">
        <f>F!C220</f>
        <v xml:space="preserve">was not measured but surface water is present and is darkly tea-coloured.  Or if no surface water, then mosses and plants that indicate peatland (e.g., Labrador tea) are prevalent. Enter "1". </v>
      </c>
      <c r="D85" s="247">
        <f>F!D220</f>
        <v>0</v>
      </c>
      <c r="E85" s="361"/>
      <c r="F85" s="361"/>
      <c r="G85" s="386"/>
      <c r="H85" s="2146"/>
      <c r="I85" s="2612"/>
    </row>
    <row r="86" spans="1:11" ht="15" customHeight="1" thickBot="1">
      <c r="A86" s="2146"/>
      <c r="B86" s="2149"/>
      <c r="C86" s="1680" t="str">
        <f>F!C221</f>
        <v>was measured, and is:  [enter the reading in the column to the right]:</v>
      </c>
      <c r="D86" s="1375">
        <f>F!D221</f>
        <v>0</v>
      </c>
      <c r="E86" s="364"/>
      <c r="F86" s="364"/>
      <c r="G86" s="388"/>
      <c r="H86" s="2149"/>
      <c r="I86" s="2613"/>
    </row>
    <row r="87" spans="1:11" ht="21" customHeight="1" thickBot="1">
      <c r="A87" s="2148" t="str">
        <f>F!A222</f>
        <v>F48</v>
      </c>
      <c r="B87" s="2148" t="str">
        <f>F!B222</f>
        <v>TDS and/or Conductivity</v>
      </c>
      <c r="C87" s="1568" t="str">
        <f>F!C222</f>
        <v>The Total Dissolved Solids (TDS) in most of the AA's surface water:</v>
      </c>
      <c r="D87" s="376"/>
      <c r="E87" s="365"/>
      <c r="F87" s="365"/>
      <c r="G87" s="1739">
        <f>IF((D88=1),"", IF((D90&gt;2000),0, IF((D89=1),0, IF((D90&gt;200),1, IF((D91&gt;300),1,0.5)))))</f>
        <v>0.5</v>
      </c>
      <c r="H87" s="2148" t="s">
        <v>1967</v>
      </c>
      <c r="I87" s="2611" t="s">
        <v>1961</v>
      </c>
    </row>
    <row r="88" spans="1:11" ht="18" customHeight="1">
      <c r="A88" s="2146"/>
      <c r="B88" s="2146"/>
      <c r="C88" s="1076" t="str">
        <f>F!C223</f>
        <v xml:space="preserve">was not measured because no surface water could be found during this visit. Enter "1". </v>
      </c>
      <c r="D88" s="247">
        <f>F!D223</f>
        <v>0</v>
      </c>
      <c r="E88" s="361"/>
      <c r="F88" s="361"/>
      <c r="G88" s="386"/>
      <c r="H88" s="2146"/>
      <c r="I88" s="2612"/>
    </row>
    <row r="89" spans="1:11" ht="27" customHeight="1">
      <c r="A89" s="2146"/>
      <c r="B89" s="2146"/>
      <c r="C89" s="491" t="str">
        <f>F!C224</f>
        <v>was not measured, but plants that indicate saline conditions cover much of the vegetated AA. Enter "1" .</v>
      </c>
      <c r="D89" s="247">
        <f>F!D224</f>
        <v>0</v>
      </c>
      <c r="E89" s="361"/>
      <c r="F89" s="361"/>
      <c r="G89" s="386"/>
      <c r="H89" s="2146"/>
      <c r="I89" s="2612"/>
    </row>
    <row r="90" spans="1:11" ht="18" customHeight="1">
      <c r="A90" s="2146"/>
      <c r="B90" s="2146"/>
      <c r="C90" s="491" t="str">
        <f>F!C225</f>
        <v>TDS is: [enter the reading in ppm in the column to the right, if measured, or answer next row]:</v>
      </c>
      <c r="D90" s="247">
        <f>F!D225</f>
        <v>0</v>
      </c>
      <c r="E90" s="361"/>
      <c r="F90" s="361"/>
      <c r="G90" s="386"/>
      <c r="H90" s="2146"/>
      <c r="I90" s="2612"/>
    </row>
    <row r="91" spans="1:11" ht="18" customHeight="1" thickBot="1">
      <c r="A91" s="2149"/>
      <c r="B91" s="2149"/>
      <c r="C91" s="492" t="str">
        <f>F!C226</f>
        <v>Conductivity is  [enter the reading in µS/cm in the column to the right]:</v>
      </c>
      <c r="D91" s="248">
        <f>F!D226</f>
        <v>0</v>
      </c>
      <c r="E91" s="362"/>
      <c r="F91" s="362"/>
      <c r="G91" s="390"/>
      <c r="H91" s="2149"/>
      <c r="I91" s="2613"/>
    </row>
    <row r="92" spans="1:11" s="2" customFormat="1" ht="21" customHeight="1" thickBot="1">
      <c r="A92" s="2151" t="str">
        <f>F!A227</f>
        <v>F49</v>
      </c>
      <c r="B92" s="2146" t="str">
        <f>F!B227</f>
        <v>Beaver Probability</v>
      </c>
      <c r="C92" s="1119" t="str">
        <f>F!C227</f>
        <v>Use of the AA by beaver during the past 5 years is (select most applicable ONE):</v>
      </c>
      <c r="D92" s="360"/>
      <c r="E92" s="360"/>
      <c r="F92" s="363"/>
      <c r="G92" s="538">
        <f>IF((AllSat1&gt;0),"",MAX(F93:F95)/MAX(E93:E95))</f>
        <v>0</v>
      </c>
      <c r="H92" s="2146" t="s">
        <v>1897</v>
      </c>
      <c r="I92" s="2148" t="s">
        <v>1962</v>
      </c>
      <c r="K92" s="192"/>
    </row>
    <row r="93" spans="1:11" s="2" customFormat="1" ht="27" customHeight="1">
      <c r="A93" s="2151"/>
      <c r="B93" s="2146"/>
      <c r="C93" s="555" t="str">
        <f>F!C228</f>
        <v>evident from direct observation or presence of gnawed limbs, dams, tracks, dens, lodges, or extensive stands of water-killed trees (snags).</v>
      </c>
      <c r="D93" s="256">
        <f>F!D228</f>
        <v>0</v>
      </c>
      <c r="E93" s="361">
        <v>3</v>
      </c>
      <c r="F93" s="361">
        <f>D93*E93</f>
        <v>0</v>
      </c>
      <c r="G93" s="629"/>
      <c r="H93" s="2146"/>
      <c r="I93" s="2146"/>
      <c r="K93" s="192"/>
    </row>
    <row r="94" spans="1:11" s="2" customFormat="1" ht="57" customHeight="1">
      <c r="A94" s="2151"/>
      <c r="B94" s="2146"/>
      <c r="C94" s="491"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94" s="247">
        <f>F!D229</f>
        <v>0</v>
      </c>
      <c r="E94" s="361">
        <v>2</v>
      </c>
      <c r="F94" s="361">
        <f>D94*E94</f>
        <v>0</v>
      </c>
      <c r="G94" s="630"/>
      <c r="H94" s="2146"/>
      <c r="I94" s="2146"/>
      <c r="K94" s="192"/>
    </row>
    <row r="95" spans="1:11" s="2" customFormat="1" ht="27" customHeight="1" thickBot="1">
      <c r="A95" s="2151"/>
      <c r="B95" s="2146"/>
      <c r="C95" s="491" t="str">
        <f>F!C230</f>
        <v xml:space="preserve">unlikely because site characteristics above are deficient, and/or this is a settled area or other area where beaver are routinely removed. </v>
      </c>
      <c r="D95" s="247">
        <f>F!D230</f>
        <v>0</v>
      </c>
      <c r="E95" s="361">
        <v>0</v>
      </c>
      <c r="F95" s="361">
        <f>D95*E95</f>
        <v>0</v>
      </c>
      <c r="G95" s="630"/>
      <c r="H95" s="2146"/>
      <c r="I95" s="2149"/>
      <c r="K95" s="192"/>
    </row>
    <row r="96" spans="1:11" s="2" customFormat="1" ht="21" customHeight="1" thickBot="1">
      <c r="A96" s="2150" t="str">
        <f>F!A231</f>
        <v>F50</v>
      </c>
      <c r="B96" s="2148" t="str">
        <f>F!B231</f>
        <v>Groundwater Strength of Evidence</v>
      </c>
      <c r="C96" s="136" t="str">
        <f>F!C231</f>
        <v xml:space="preserve">Select first applicable choice. </v>
      </c>
      <c r="D96" s="365"/>
      <c r="E96" s="365"/>
      <c r="F96" s="366"/>
      <c r="G96" s="537">
        <f>MAX(F97:F99)/MAX(E97:E99)</f>
        <v>0</v>
      </c>
      <c r="H96" s="2148" t="s">
        <v>1687</v>
      </c>
      <c r="I96" s="2148" t="s">
        <v>240</v>
      </c>
      <c r="K96" s="192"/>
    </row>
    <row r="97" spans="1:11" s="2" customFormat="1" ht="42" customHeight="1">
      <c r="A97" s="2151"/>
      <c r="B97" s="2146"/>
      <c r="C97" s="555" t="str">
        <f>F!C232</f>
        <v>Groundwater monitoring has demonstrated that groundwater primarily discharges to the wetland for longer periods during the year than periods when the wetland recharges the groundwater. Or, springs are known to be present within the AA.</v>
      </c>
      <c r="D97" s="256">
        <f>F!D232</f>
        <v>0</v>
      </c>
      <c r="E97" s="361">
        <v>2</v>
      </c>
      <c r="F97" s="361">
        <f>D97*E97</f>
        <v>0</v>
      </c>
      <c r="G97" s="629"/>
      <c r="H97" s="2146"/>
      <c r="I97" s="2146"/>
      <c r="K97" s="192"/>
    </row>
    <row r="98" spans="1:11" s="2" customFormat="1" ht="42" customHeight="1">
      <c r="A98" s="2151"/>
      <c r="B98" s="2146"/>
      <c r="C98" s="491" t="str">
        <f>F!C233</f>
        <v>The upper end of the AA is located very close to the base of (but mostly not ON) a natural slope much steeper (usually &gt;15%) than that within the AA and longer than 100 m AND if surface water was measured, its pH (Q47) is &gt;5.5.</v>
      </c>
      <c r="D98" s="247">
        <f>F!D233</f>
        <v>0</v>
      </c>
      <c r="E98" s="361">
        <v>1</v>
      </c>
      <c r="F98" s="361">
        <f>D98*E98</f>
        <v>0</v>
      </c>
      <c r="G98" s="629"/>
      <c r="H98" s="2146"/>
      <c r="I98" s="2146"/>
      <c r="K98" s="192"/>
    </row>
    <row r="99" spans="1:11" s="2" customFormat="1" ht="27" customHeight="1" thickBot="1">
      <c r="A99" s="2152"/>
      <c r="B99" s="2149"/>
      <c r="C99" s="492" t="str">
        <f>F!C234</f>
        <v>Neither of above is true, although some groundwater may discharge to or flow through the AA. Or groundwater influx is unknown.</v>
      </c>
      <c r="D99" s="248">
        <f>F!D234</f>
        <v>0</v>
      </c>
      <c r="E99" s="362">
        <v>0</v>
      </c>
      <c r="F99" s="362">
        <f>D99*E99</f>
        <v>0</v>
      </c>
      <c r="G99" s="712"/>
      <c r="H99" s="2149"/>
      <c r="I99" s="2149"/>
      <c r="K99" s="192"/>
    </row>
    <row r="100" spans="1:11" ht="30" customHeight="1" thickBot="1">
      <c r="A100" s="2146" t="str">
        <f>F!A240</f>
        <v>F52</v>
      </c>
      <c r="B100" s="2146" t="str">
        <f>F!B240</f>
        <v>Vegetated Buffer as % of Perimeter</v>
      </c>
      <c r="C100" s="448" t="str">
        <f>F!C240</f>
        <v>Along the wetland-upland edge and extending 30 m laterally upslope, the percentage of the upland that contains vegetation cover (except lawns, row crops, heavily grazed land, conifer plantations) is:</v>
      </c>
      <c r="D100" s="360"/>
      <c r="E100" s="360"/>
      <c r="F100" s="382"/>
      <c r="G100" s="538">
        <f>MAX(F101:F105)/MAX(E101:E105)</f>
        <v>0</v>
      </c>
      <c r="H100" s="2211" t="s">
        <v>1631</v>
      </c>
      <c r="I100" s="2611" t="s">
        <v>228</v>
      </c>
    </row>
    <row r="101" spans="1:11" ht="15" customHeight="1">
      <c r="A101" s="2213"/>
      <c r="B101" s="2213"/>
      <c r="C101" s="1660" t="str">
        <f>F!C241</f>
        <v xml:space="preserve">&lt;5% </v>
      </c>
      <c r="D101" s="549">
        <f>F!D241</f>
        <v>0</v>
      </c>
      <c r="E101" s="377">
        <v>0</v>
      </c>
      <c r="F101" s="361">
        <f>D101*E101</f>
        <v>0</v>
      </c>
      <c r="G101" s="501"/>
      <c r="H101" s="2211"/>
      <c r="I101" s="2612"/>
    </row>
    <row r="102" spans="1:11" ht="15" customHeight="1">
      <c r="A102" s="2213"/>
      <c r="B102" s="2213"/>
      <c r="C102" s="1454" t="str">
        <f>F!C242</f>
        <v>5 to 30%</v>
      </c>
      <c r="D102" s="78">
        <f>F!D242</f>
        <v>0</v>
      </c>
      <c r="E102" s="377">
        <v>2</v>
      </c>
      <c r="F102" s="361">
        <f>D102*E102</f>
        <v>0</v>
      </c>
      <c r="G102" s="502"/>
      <c r="H102" s="2211"/>
      <c r="I102" s="2612"/>
    </row>
    <row r="103" spans="1:11" ht="15" customHeight="1">
      <c r="A103" s="2213"/>
      <c r="B103" s="2213"/>
      <c r="C103" s="1471" t="str">
        <f>F!C243</f>
        <v>30 to 60%</v>
      </c>
      <c r="D103" s="78">
        <f>F!D243</f>
        <v>0</v>
      </c>
      <c r="E103" s="377">
        <v>3</v>
      </c>
      <c r="F103" s="361">
        <f>D103*E103</f>
        <v>0</v>
      </c>
      <c r="G103" s="502"/>
      <c r="H103" s="2211"/>
      <c r="I103" s="2612"/>
    </row>
    <row r="104" spans="1:11" ht="15" customHeight="1">
      <c r="A104" s="2213"/>
      <c r="B104" s="2213"/>
      <c r="C104" s="1470" t="str">
        <f>F!C244</f>
        <v>60 to 90%</v>
      </c>
      <c r="D104" s="255">
        <f>F!D244</f>
        <v>0</v>
      </c>
      <c r="E104" s="377">
        <v>4</v>
      </c>
      <c r="F104" s="361">
        <f>D104*E104</f>
        <v>0</v>
      </c>
      <c r="G104" s="502"/>
      <c r="H104" s="2211"/>
      <c r="I104" s="2612"/>
    </row>
    <row r="105" spans="1:11" ht="15" customHeight="1" thickBot="1">
      <c r="A105" s="2213"/>
      <c r="B105" s="2213"/>
      <c r="C105" s="1184" t="str">
        <f>F!C245</f>
        <v>&gt;90%, or all the area within 30 m of the AA edge is other wetlands. SKIP to F55.</v>
      </c>
      <c r="D105" s="655">
        <f>F!D245</f>
        <v>0</v>
      </c>
      <c r="E105" s="530">
        <v>6</v>
      </c>
      <c r="F105" s="364">
        <f>D105*E105</f>
        <v>0</v>
      </c>
      <c r="G105" s="511"/>
      <c r="H105" s="2211"/>
      <c r="I105" s="2613"/>
    </row>
    <row r="106" spans="1:11" ht="45" customHeight="1" thickBot="1">
      <c r="A106" s="339" t="str">
        <f>S!A66</f>
        <v>S5</v>
      </c>
      <c r="B106" s="243" t="str">
        <f>S!B66</f>
        <v>Altered Timing of Water Inputs</v>
      </c>
      <c r="C106" s="1204" t="str">
        <f>S!E80</f>
        <v>Final Score=</v>
      </c>
      <c r="D106" s="1044">
        <f>S!F80</f>
        <v>0</v>
      </c>
      <c r="E106" s="384"/>
      <c r="F106" s="373"/>
      <c r="G106" s="537" t="str">
        <f>IF((Inflows=0),"", 1-D106)</f>
        <v/>
      </c>
      <c r="H106" s="5" t="s">
        <v>1394</v>
      </c>
      <c r="I106" s="1709" t="s">
        <v>230</v>
      </c>
    </row>
    <row r="107" spans="1:11" ht="45" customHeight="1" thickBot="1">
      <c r="A107" s="243" t="str">
        <f>S!A107</f>
        <v>S8</v>
      </c>
      <c r="B107" s="243" t="str">
        <f>S!B107</f>
        <v>Excessive Sediment Loading from Contributing Area</v>
      </c>
      <c r="C107" s="1205" t="str">
        <f>S!E124</f>
        <v>Final Score=</v>
      </c>
      <c r="D107" s="1044">
        <f>S!F124</f>
        <v>0</v>
      </c>
      <c r="E107" s="384"/>
      <c r="F107" s="384"/>
      <c r="G107" s="1743">
        <f>1-D107</f>
        <v>1</v>
      </c>
      <c r="H107" s="1568" t="s">
        <v>1825</v>
      </c>
      <c r="I107" s="1709" t="s">
        <v>1963</v>
      </c>
    </row>
    <row r="108" spans="1:11" s="142" customFormat="1" ht="36" customHeight="1" thickBot="1">
      <c r="A108" s="1614" t="s">
        <v>168</v>
      </c>
      <c r="B108" s="1615" t="s">
        <v>2407</v>
      </c>
      <c r="C108" s="1616" t="s">
        <v>1354</v>
      </c>
      <c r="D108" s="1617" t="s">
        <v>64</v>
      </c>
      <c r="E108" s="1618" t="s">
        <v>1383</v>
      </c>
      <c r="F108" s="1619" t="s">
        <v>1384</v>
      </c>
      <c r="G108" s="1620" t="s">
        <v>1293</v>
      </c>
      <c r="H108" s="1615" t="s">
        <v>1294</v>
      </c>
      <c r="I108" s="1742" t="s">
        <v>2622</v>
      </c>
    </row>
    <row r="109" spans="1:11" s="17" customFormat="1" ht="30" customHeight="1" thickBot="1">
      <c r="A109" s="2181" t="str">
        <f>OF!A45</f>
        <v>OF9</v>
      </c>
      <c r="B109" s="2212" t="str">
        <f>OF!B45</f>
        <v>Distance by Road to Nearest Population Center</v>
      </c>
      <c r="C109" s="439" t="str">
        <f>OF!C45</f>
        <v>Measured along the maintained road nearest the AA, the distance to the nearest population center is:</v>
      </c>
      <c r="D109" s="365"/>
      <c r="E109" s="499"/>
      <c r="F109" s="366"/>
      <c r="G109" s="519">
        <f>MAX(F110:F114)/MAX(E110:E114)</f>
        <v>0</v>
      </c>
      <c r="H109" s="2148" t="s">
        <v>1270</v>
      </c>
      <c r="I109" s="2611" t="s">
        <v>231</v>
      </c>
      <c r="J109" s="14"/>
      <c r="K109" s="168"/>
    </row>
    <row r="110" spans="1:11" s="17" customFormat="1" ht="15" customHeight="1">
      <c r="A110" s="2180"/>
      <c r="B110" s="2213"/>
      <c r="C110" s="440" t="str">
        <f>OF!C46</f>
        <v>&lt;100 m</v>
      </c>
      <c r="D110" s="255">
        <f>OF!D46</f>
        <v>0</v>
      </c>
      <c r="E110" s="385">
        <v>5</v>
      </c>
      <c r="F110" s="361">
        <f t="shared" ref="F110:F121" si="4">D110*E110</f>
        <v>0</v>
      </c>
      <c r="G110" s="501"/>
      <c r="H110" s="2146"/>
      <c r="I110" s="2612"/>
      <c r="J110" s="14"/>
      <c r="K110" s="168"/>
    </row>
    <row r="111" spans="1:11" s="17" customFormat="1" ht="15" customHeight="1">
      <c r="A111" s="2180"/>
      <c r="B111" s="2213"/>
      <c r="C111" s="545" t="str">
        <f>OF!C47</f>
        <v>100 - 500 m</v>
      </c>
      <c r="D111" s="78">
        <f>OF!D47</f>
        <v>0</v>
      </c>
      <c r="E111" s="385">
        <v>3</v>
      </c>
      <c r="F111" s="361">
        <f t="shared" si="4"/>
        <v>0</v>
      </c>
      <c r="G111" s="502"/>
      <c r="H111" s="2146"/>
      <c r="I111" s="2612"/>
      <c r="J111" s="14"/>
      <c r="K111" s="168"/>
    </row>
    <row r="112" spans="1:11" s="17" customFormat="1" ht="15" customHeight="1">
      <c r="A112" s="2180"/>
      <c r="B112" s="2213"/>
      <c r="C112" s="545" t="str">
        <f>OF!C48</f>
        <v>0.5- 1 km</v>
      </c>
      <c r="D112" s="78">
        <f>OF!D48</f>
        <v>0</v>
      </c>
      <c r="E112" s="385">
        <v>2</v>
      </c>
      <c r="F112" s="361">
        <f t="shared" si="4"/>
        <v>0</v>
      </c>
      <c r="G112" s="502"/>
      <c r="H112" s="2146"/>
      <c r="I112" s="2612"/>
      <c r="J112" s="14"/>
      <c r="K112" s="168"/>
    </row>
    <row r="113" spans="1:11" s="17" customFormat="1" ht="15" customHeight="1">
      <c r="A113" s="2180"/>
      <c r="B113" s="2213"/>
      <c r="C113" s="545" t="str">
        <f>OF!C49</f>
        <v>1 - 5 km</v>
      </c>
      <c r="D113" s="78">
        <f>OF!D49</f>
        <v>0</v>
      </c>
      <c r="E113" s="385">
        <v>1</v>
      </c>
      <c r="F113" s="361">
        <f t="shared" si="4"/>
        <v>0</v>
      </c>
      <c r="G113" s="502"/>
      <c r="H113" s="2146"/>
      <c r="I113" s="2612"/>
      <c r="J113" s="14"/>
      <c r="K113" s="168"/>
    </row>
    <row r="114" spans="1:11" s="17" customFormat="1" ht="15" customHeight="1" thickBot="1">
      <c r="A114" s="2187"/>
      <c r="B114" s="2377"/>
      <c r="C114" s="441" t="str">
        <f>OF!C50</f>
        <v>&gt;5 km</v>
      </c>
      <c r="D114" s="193">
        <f>OF!D50</f>
        <v>0</v>
      </c>
      <c r="E114" s="389">
        <v>0</v>
      </c>
      <c r="F114" s="390">
        <f t="shared" si="4"/>
        <v>0</v>
      </c>
      <c r="G114" s="503"/>
      <c r="H114" s="2149"/>
      <c r="I114" s="2613"/>
      <c r="J114" s="14"/>
      <c r="K114" s="168"/>
    </row>
    <row r="115" spans="1:11" s="17" customFormat="1" ht="21" customHeight="1" thickBot="1">
      <c r="A115" s="2180" t="str">
        <f>OF!A51</f>
        <v>OF10</v>
      </c>
      <c r="B115" s="2213" t="str">
        <f>OF!B51</f>
        <v>Distance to Nearest Maintained Road</v>
      </c>
      <c r="C115" s="448" t="str">
        <f>OF!C51</f>
        <v>From the center of the AA, the distance to the nearest maintained public road (dirt or paved) is:</v>
      </c>
      <c r="D115" s="360"/>
      <c r="E115" s="698"/>
      <c r="F115" s="363"/>
      <c r="G115" s="513">
        <f>MAX(F116:F121)/MAX(E116:E121)</f>
        <v>0</v>
      </c>
      <c r="H115" s="2146" t="s">
        <v>1271</v>
      </c>
      <c r="I115" s="2611" t="s">
        <v>1196</v>
      </c>
      <c r="J115" s="14"/>
      <c r="K115" s="168"/>
    </row>
    <row r="116" spans="1:11" s="17" customFormat="1" ht="15" customHeight="1">
      <c r="A116" s="2180"/>
      <c r="B116" s="2213"/>
      <c r="C116" s="490" t="str">
        <f>OF!C52</f>
        <v>&lt;10 m</v>
      </c>
      <c r="D116" s="550">
        <f>OF!D52</f>
        <v>0</v>
      </c>
      <c r="E116" s="387">
        <v>5</v>
      </c>
      <c r="F116" s="386">
        <f t="shared" si="4"/>
        <v>0</v>
      </c>
      <c r="G116" s="502"/>
      <c r="H116" s="2146"/>
      <c r="I116" s="2612"/>
      <c r="J116" s="14"/>
      <c r="K116" s="168"/>
    </row>
    <row r="117" spans="1:11" s="17" customFormat="1" ht="15" customHeight="1">
      <c r="A117" s="2180"/>
      <c r="B117" s="2213"/>
      <c r="C117" s="447" t="str">
        <f>OF!C53</f>
        <v>10 - 25 m</v>
      </c>
      <c r="D117" s="549">
        <f>OF!D53</f>
        <v>0</v>
      </c>
      <c r="E117" s="387">
        <v>4</v>
      </c>
      <c r="F117" s="386">
        <f t="shared" si="4"/>
        <v>0</v>
      </c>
      <c r="G117" s="502"/>
      <c r="H117" s="2146"/>
      <c r="I117" s="2612"/>
      <c r="J117" s="14"/>
      <c r="K117" s="168"/>
    </row>
    <row r="118" spans="1:11" s="17" customFormat="1" ht="15" customHeight="1">
      <c r="A118" s="2180"/>
      <c r="B118" s="2213"/>
      <c r="C118" s="447" t="str">
        <f>OF!C54</f>
        <v>25 - 50 m</v>
      </c>
      <c r="D118" s="549">
        <f>OF!D54</f>
        <v>0</v>
      </c>
      <c r="E118" s="387">
        <v>3</v>
      </c>
      <c r="F118" s="386">
        <f t="shared" si="4"/>
        <v>0</v>
      </c>
      <c r="G118" s="502"/>
      <c r="H118" s="2146"/>
      <c r="I118" s="2612"/>
      <c r="J118" s="14"/>
      <c r="K118" s="168"/>
    </row>
    <row r="119" spans="1:11" s="17" customFormat="1" ht="15" customHeight="1">
      <c r="A119" s="2180"/>
      <c r="B119" s="2213"/>
      <c r="C119" s="447" t="str">
        <f>OF!C55</f>
        <v>50 - 100 m</v>
      </c>
      <c r="D119" s="549">
        <f>OF!D55</f>
        <v>0</v>
      </c>
      <c r="E119" s="387">
        <v>2</v>
      </c>
      <c r="F119" s="386">
        <f t="shared" si="4"/>
        <v>0</v>
      </c>
      <c r="G119" s="502"/>
      <c r="H119" s="2146"/>
      <c r="I119" s="2612"/>
      <c r="J119" s="14"/>
      <c r="K119" s="168"/>
    </row>
    <row r="120" spans="1:11" s="17" customFormat="1" ht="15" customHeight="1">
      <c r="A120" s="2180"/>
      <c r="B120" s="2213"/>
      <c r="C120" s="447" t="str">
        <f>OF!C56</f>
        <v>100 - 500 m</v>
      </c>
      <c r="D120" s="549">
        <f>OF!D56</f>
        <v>0</v>
      </c>
      <c r="E120" s="387">
        <v>1</v>
      </c>
      <c r="F120" s="386">
        <f t="shared" si="4"/>
        <v>0</v>
      </c>
      <c r="G120" s="502"/>
      <c r="H120" s="2146"/>
      <c r="I120" s="2612"/>
      <c r="J120" s="14"/>
      <c r="K120" s="168"/>
    </row>
    <row r="121" spans="1:11" s="17" customFormat="1" ht="15" customHeight="1" thickBot="1">
      <c r="A121" s="2187"/>
      <c r="B121" s="2377"/>
      <c r="C121" s="441" t="str">
        <f>OF!C57</f>
        <v>&gt;500 m</v>
      </c>
      <c r="D121" s="193">
        <f>OF!D57</f>
        <v>0</v>
      </c>
      <c r="E121" s="389">
        <v>0</v>
      </c>
      <c r="F121" s="390">
        <f t="shared" si="4"/>
        <v>0</v>
      </c>
      <c r="G121" s="503"/>
      <c r="H121" s="2149"/>
      <c r="I121" s="2613"/>
      <c r="J121" s="14"/>
      <c r="K121" s="168"/>
    </row>
    <row r="122" spans="1:11" s="17" customFormat="1" ht="60" customHeight="1" thickBot="1">
      <c r="A122" s="2146" t="str">
        <f>F!A280</f>
        <v>F61</v>
      </c>
      <c r="B122" s="2146" t="str">
        <f>F!B280</f>
        <v xml:space="preserve">Unvisited Core Area </v>
      </c>
      <c r="C122" s="556"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22" s="360"/>
      <c r="E122" s="709"/>
      <c r="F122" s="360"/>
      <c r="G122" s="513">
        <f>MAX(F123:F128)/MAX(E123:E128)</f>
        <v>0</v>
      </c>
      <c r="H122" s="2146" t="s">
        <v>1272</v>
      </c>
      <c r="I122" s="2611" t="s">
        <v>1197</v>
      </c>
      <c r="J122" s="14"/>
      <c r="K122" s="168"/>
    </row>
    <row r="123" spans="1:11" s="17" customFormat="1" ht="15" customHeight="1">
      <c r="A123" s="2146"/>
      <c r="B123" s="2146"/>
      <c r="C123" s="1714" t="str">
        <f>F!C281</f>
        <v>&lt;5% and no inhabited building is within 100 m of the AA.</v>
      </c>
      <c r="D123" s="254">
        <f>F!D281</f>
        <v>0</v>
      </c>
      <c r="E123" s="1162">
        <v>3</v>
      </c>
      <c r="F123" s="361">
        <f t="shared" ref="F123:F128" si="5">D123*E123</f>
        <v>0</v>
      </c>
      <c r="G123" s="502"/>
      <c r="H123" s="2146"/>
      <c r="I123" s="2612"/>
      <c r="J123" s="14"/>
      <c r="K123" s="168"/>
    </row>
    <row r="124" spans="1:11" s="17" customFormat="1" ht="15" customHeight="1">
      <c r="A124" s="2146"/>
      <c r="B124" s="2146"/>
      <c r="C124" s="1716" t="str">
        <f>F!C282</f>
        <v>&lt;5% and inhabited building is within 100 m of the AA.</v>
      </c>
      <c r="D124" s="247">
        <f>F!D282</f>
        <v>0</v>
      </c>
      <c r="E124" s="1162">
        <v>3</v>
      </c>
      <c r="F124" s="361">
        <f t="shared" si="5"/>
        <v>0</v>
      </c>
      <c r="G124" s="502"/>
      <c r="H124" s="2146"/>
      <c r="I124" s="2612"/>
      <c r="J124" s="14"/>
      <c r="K124" s="168"/>
    </row>
    <row r="125" spans="1:11" s="17" customFormat="1" ht="15" customHeight="1">
      <c r="A125" s="2146"/>
      <c r="B125" s="2146"/>
      <c r="C125" s="1073" t="str">
        <f>F!C283</f>
        <v>5-50% and no inhabited building is within 100 m of the AA.</v>
      </c>
      <c r="D125" s="354">
        <f>F!D283</f>
        <v>0</v>
      </c>
      <c r="E125" s="1162">
        <v>2</v>
      </c>
      <c r="F125" s="361">
        <f t="shared" si="5"/>
        <v>0</v>
      </c>
      <c r="G125" s="502"/>
      <c r="H125" s="2146"/>
      <c r="I125" s="2612"/>
      <c r="J125" s="14"/>
      <c r="K125" s="168"/>
    </row>
    <row r="126" spans="1:11" s="17" customFormat="1" ht="15" customHeight="1">
      <c r="A126" s="2146"/>
      <c r="B126" s="2146"/>
      <c r="C126" s="1073" t="str">
        <f>F!C284</f>
        <v>5-50% and inhabited building is within 100 m of the AA.</v>
      </c>
      <c r="D126" s="247">
        <f>F!D284</f>
        <v>0</v>
      </c>
      <c r="E126" s="1162">
        <v>2</v>
      </c>
      <c r="F126" s="361">
        <f t="shared" si="5"/>
        <v>0</v>
      </c>
      <c r="G126" s="502"/>
      <c r="H126" s="2146"/>
      <c r="I126" s="2612"/>
      <c r="J126" s="14"/>
      <c r="K126" s="168"/>
    </row>
    <row r="127" spans="1:11" s="17" customFormat="1" ht="15" customHeight="1">
      <c r="A127" s="2146"/>
      <c r="B127" s="2146"/>
      <c r="C127" s="1472" t="str">
        <f>F!C285</f>
        <v>50-95%</v>
      </c>
      <c r="D127" s="354">
        <f>F!D285</f>
        <v>0</v>
      </c>
      <c r="E127" s="1162">
        <v>1</v>
      </c>
      <c r="F127" s="361">
        <f t="shared" si="5"/>
        <v>0</v>
      </c>
      <c r="G127" s="502"/>
      <c r="H127" s="2146"/>
      <c r="I127" s="2612"/>
      <c r="J127" s="14"/>
      <c r="K127" s="168"/>
    </row>
    <row r="128" spans="1:11" s="17" customFormat="1" ht="15" customHeight="1" thickBot="1">
      <c r="A128" s="2149"/>
      <c r="B128" s="2149"/>
      <c r="C128" s="1169" t="str">
        <f>F!C286</f>
        <v>&gt;95% of the AA</v>
      </c>
      <c r="D128" s="248">
        <f>F!D286</f>
        <v>0</v>
      </c>
      <c r="E128" s="1232">
        <v>0</v>
      </c>
      <c r="F128" s="362">
        <f t="shared" si="5"/>
        <v>0</v>
      </c>
      <c r="G128" s="503"/>
      <c r="H128" s="2149"/>
      <c r="I128" s="2613"/>
      <c r="J128" s="14"/>
      <c r="K128" s="168"/>
    </row>
    <row r="129" spans="1:11" s="17" customFormat="1" ht="30" customHeight="1" thickBot="1">
      <c r="A129" s="226" t="str">
        <f>F!A294</f>
        <v>F65</v>
      </c>
      <c r="B129" s="226" t="str">
        <f>F!B294</f>
        <v xml:space="preserve">Consumptive Uses (Provisioning Services)  </v>
      </c>
      <c r="C129" s="1125" t="str">
        <f>F!C298</f>
        <v>fishing.</v>
      </c>
      <c r="D129" s="1043">
        <f>FA!D138</f>
        <v>0</v>
      </c>
      <c r="E129" s="393">
        <v>1</v>
      </c>
      <c r="F129" s="374">
        <f>D129*E129</f>
        <v>0</v>
      </c>
      <c r="G129" s="697">
        <f>D129</f>
        <v>0</v>
      </c>
      <c r="H129" s="169" t="s">
        <v>58</v>
      </c>
      <c r="I129" s="1709" t="s">
        <v>2081</v>
      </c>
      <c r="J129" s="14"/>
      <c r="K129" s="168"/>
    </row>
    <row r="130" spans="1:11" s="17" customFormat="1" ht="30" customHeight="1" thickBot="1">
      <c r="A130" s="704"/>
      <c r="B130" s="122" t="str">
        <f>WBF!C164</f>
        <v>Function Score for Feeding Waterbird Habitat</v>
      </c>
      <c r="C130" s="707"/>
      <c r="D130" s="394">
        <f>WBF!G164</f>
        <v>0.5</v>
      </c>
      <c r="E130" s="395">
        <v>1</v>
      </c>
      <c r="F130" s="384">
        <f>D130*E130</f>
        <v>0.5</v>
      </c>
      <c r="G130" s="713">
        <f>D130/10</f>
        <v>0.05</v>
      </c>
      <c r="H130" s="5" t="s">
        <v>59</v>
      </c>
      <c r="I130" s="1709" t="s">
        <v>237</v>
      </c>
      <c r="J130" s="14"/>
      <c r="K130" s="168"/>
    </row>
    <row r="131" spans="1:11" s="17" customFormat="1" ht="21" customHeight="1" thickBot="1">
      <c r="A131" s="2639"/>
      <c r="B131" s="2639"/>
      <c r="C131" s="2639"/>
      <c r="D131" s="2639"/>
      <c r="E131" s="2639"/>
      <c r="F131" s="2639"/>
      <c r="G131" s="2639"/>
      <c r="H131" s="2639"/>
      <c r="J131" s="14"/>
      <c r="K131" s="168"/>
    </row>
    <row r="132" spans="1:11" s="17" customFormat="1" ht="21" customHeight="1">
      <c r="A132" s="2640"/>
      <c r="B132" s="2640"/>
      <c r="C132" s="2640"/>
      <c r="D132" s="2641" t="s">
        <v>748</v>
      </c>
      <c r="E132" s="2642"/>
      <c r="F132" s="2642"/>
      <c r="G132" s="1711">
        <f>AVERAGE(SatPct10,Depth10,DepthEven10,PermWpct10,Interspers10,ThruFlo10)</f>
        <v>0</v>
      </c>
      <c r="H132" s="1897" t="s">
        <v>2672</v>
      </c>
      <c r="I132" s="1898" t="s">
        <v>2747</v>
      </c>
      <c r="J132" s="14"/>
      <c r="K132" s="168"/>
    </row>
    <row r="133" spans="1:11" s="17" customFormat="1" ht="21" customHeight="1">
      <c r="A133" s="2640"/>
      <c r="B133" s="2640"/>
      <c r="C133" s="2640"/>
      <c r="D133" s="2617" t="s">
        <v>201</v>
      </c>
      <c r="E133" s="2618"/>
      <c r="F133" s="2618"/>
      <c r="G133" s="1712">
        <f>IF((AllSat1=1),"", AVERAGE(Beaver10,AVERAGE(Wettype10,WoodAbove10, ABpct10)))</f>
        <v>0</v>
      </c>
      <c r="H133" s="1858" t="s">
        <v>2673</v>
      </c>
      <c r="I133" s="1899" t="s">
        <v>2748</v>
      </c>
      <c r="J133" s="14"/>
      <c r="K133" s="168"/>
    </row>
    <row r="134" spans="1:11" s="17" customFormat="1" ht="21" customHeight="1">
      <c r="A134" s="2640"/>
      <c r="B134" s="2640"/>
      <c r="C134" s="2640"/>
      <c r="D134" s="2617" t="s">
        <v>232</v>
      </c>
      <c r="E134" s="2618"/>
      <c r="F134" s="2618"/>
      <c r="G134" s="1712">
        <f>AVERAGE(Groundw10, Wettype10,Nfix10,Karst10a,Lake10a)</f>
        <v>0</v>
      </c>
      <c r="H134" s="1858" t="s">
        <v>2674</v>
      </c>
      <c r="I134" s="1899" t="s">
        <v>2749</v>
      </c>
      <c r="J134" s="14"/>
      <c r="K134" s="168"/>
    </row>
    <row r="135" spans="1:11" s="17" customFormat="1" ht="21" customHeight="1">
      <c r="A135" s="2640"/>
      <c r="B135" s="2640"/>
      <c r="C135" s="2640"/>
      <c r="D135" s="2617" t="s">
        <v>243</v>
      </c>
      <c r="E135" s="2618"/>
      <c r="F135" s="2618"/>
      <c r="G135" s="1712">
        <f>IF((AllSat1=1),"",AVERAGE(OutDura10,Depth10, warmth10))</f>
        <v>0</v>
      </c>
      <c r="H135" s="1920" t="s">
        <v>2821</v>
      </c>
      <c r="I135" s="1899" t="s">
        <v>2750</v>
      </c>
      <c r="J135" s="14"/>
      <c r="K135" s="168"/>
    </row>
    <row r="136" spans="1:11" s="17" customFormat="1" ht="21" customHeight="1" thickBot="1">
      <c r="A136" s="2640"/>
      <c r="B136" s="2640"/>
      <c r="C136" s="2640"/>
      <c r="D136" s="2619" t="s">
        <v>574</v>
      </c>
      <c r="E136" s="2620"/>
      <c r="F136" s="2620"/>
      <c r="G136" s="1713">
        <f>MIN(SedExcess10,AcidicPool10,Conduc10,AltTime10,ToxData10,NatVegCUpct10)</f>
        <v>0</v>
      </c>
      <c r="H136" s="1900" t="s">
        <v>1964</v>
      </c>
      <c r="I136" s="1901" t="s">
        <v>2751</v>
      </c>
      <c r="J136" s="14"/>
      <c r="K136" s="168"/>
    </row>
    <row r="137" spans="1:11" s="17" customFormat="1" ht="21" customHeight="1" thickBot="1">
      <c r="A137" s="2640"/>
      <c r="B137" s="2640"/>
      <c r="C137" s="2640"/>
      <c r="D137" s="2623"/>
      <c r="E137" s="2623"/>
      <c r="F137" s="2623"/>
      <c r="G137" s="2623"/>
      <c r="H137" s="2624"/>
      <c r="J137" s="25"/>
      <c r="K137" s="168"/>
    </row>
    <row r="138" spans="1:11" s="17" customFormat="1" ht="45" customHeight="1" thickBot="1">
      <c r="A138" s="2624"/>
      <c r="B138" s="2625"/>
      <c r="C138" s="2394" t="s">
        <v>1049</v>
      </c>
      <c r="D138" s="2395"/>
      <c r="E138" s="2396"/>
      <c r="F138" s="1591" t="s">
        <v>75</v>
      </c>
      <c r="G138" s="1700">
        <f>IF((Access10=0),0,IF((AllSat1=1),0,10*AVERAGE(Hydro10,Struc10,Produc10,AnoxRisk10,Stress10)))</f>
        <v>0</v>
      </c>
      <c r="H138" s="2363" t="s">
        <v>2675</v>
      </c>
      <c r="I138" s="2364"/>
      <c r="J138" s="26"/>
      <c r="K138" s="168"/>
    </row>
    <row r="139" spans="1:11" s="17" customFormat="1" ht="30" customHeight="1" thickBot="1">
      <c r="A139" s="2624"/>
      <c r="B139" s="2625"/>
      <c r="C139" s="2394" t="s">
        <v>2413</v>
      </c>
      <c r="D139" s="2395"/>
      <c r="E139" s="2396"/>
      <c r="F139" s="1949" t="s">
        <v>2888</v>
      </c>
      <c r="G139" s="1701">
        <f>10*(AVERAGE(Fishing10,PopDist10, WbirdFeed10, DistRd10,Core10))</f>
        <v>0.1</v>
      </c>
      <c r="H139" s="2363" t="s">
        <v>2890</v>
      </c>
      <c r="I139" s="2364"/>
      <c r="J139" s="14"/>
      <c r="K139" s="168"/>
    </row>
    <row r="140" spans="1:11" s="17" customFormat="1" ht="21" customHeight="1" thickBot="1">
      <c r="A140" s="2624"/>
      <c r="B140" s="2624"/>
      <c r="C140" s="2624"/>
      <c r="D140" s="2624"/>
      <c r="E140" s="2624"/>
      <c r="F140" s="2624"/>
      <c r="G140" s="2624"/>
      <c r="H140" s="2624"/>
      <c r="J140" s="14"/>
      <c r="K140" s="168"/>
    </row>
    <row r="141" spans="1:11" s="17" customFormat="1" ht="21" customHeight="1" thickBot="1">
      <c r="G141" s="1230"/>
      <c r="H141" s="2609" t="s">
        <v>806</v>
      </c>
      <c r="I141" s="2610"/>
      <c r="J141" s="14"/>
      <c r="K141" s="168"/>
    </row>
    <row r="142" spans="1:11" s="17" customFormat="1" ht="42" customHeight="1">
      <c r="H142" s="2557" t="s">
        <v>1628</v>
      </c>
      <c r="I142" s="2558"/>
      <c r="J142" s="14"/>
      <c r="K142" s="168"/>
    </row>
    <row r="143" spans="1:11" s="17" customFormat="1" ht="42" customHeight="1">
      <c r="H143" s="2373" t="s">
        <v>958</v>
      </c>
      <c r="I143" s="2374"/>
      <c r="J143" s="14"/>
      <c r="K143" s="168"/>
    </row>
    <row r="144" spans="1:11" s="17" customFormat="1" ht="27" customHeight="1">
      <c r="H144" s="2373" t="s">
        <v>944</v>
      </c>
      <c r="I144" s="2374"/>
      <c r="J144" s="14"/>
      <c r="K144" s="168"/>
    </row>
    <row r="145" spans="2:11" s="17" customFormat="1" ht="27" customHeight="1">
      <c r="H145" s="2373" t="s">
        <v>2165</v>
      </c>
      <c r="I145" s="2374"/>
      <c r="J145" s="14"/>
      <c r="K145" s="168"/>
    </row>
    <row r="146" spans="2:11" s="17" customFormat="1" ht="27" customHeight="1">
      <c r="H146" s="2373" t="s">
        <v>946</v>
      </c>
      <c r="I146" s="2374"/>
      <c r="J146" s="14"/>
      <c r="K146" s="168"/>
    </row>
    <row r="147" spans="2:11" s="17" customFormat="1" ht="27" customHeight="1">
      <c r="H147" s="2373" t="s">
        <v>2166</v>
      </c>
      <c r="I147" s="2374"/>
      <c r="J147" s="14"/>
      <c r="K147" s="168"/>
    </row>
    <row r="148" spans="2:11" s="17" customFormat="1" ht="27" customHeight="1">
      <c r="H148" s="2373" t="s">
        <v>2167</v>
      </c>
      <c r="I148" s="2374"/>
      <c r="J148" s="14"/>
      <c r="K148" s="168"/>
    </row>
    <row r="149" spans="2:11" s="17" customFormat="1" ht="27" customHeight="1">
      <c r="H149" s="2373" t="s">
        <v>2168</v>
      </c>
      <c r="I149" s="2374"/>
      <c r="J149" s="14"/>
      <c r="K149" s="168"/>
    </row>
    <row r="150" spans="2:11" s="17" customFormat="1" ht="27" customHeight="1">
      <c r="H150" s="2373" t="s">
        <v>955</v>
      </c>
      <c r="I150" s="2374"/>
      <c r="J150" s="14"/>
      <c r="K150" s="168"/>
    </row>
    <row r="151" spans="2:11" s="17" customFormat="1" ht="42" customHeight="1">
      <c r="B151" s="51"/>
      <c r="C151" s="4"/>
      <c r="D151" s="396"/>
      <c r="E151" s="396"/>
      <c r="F151" s="396"/>
      <c r="G151" s="177"/>
      <c r="H151" s="2373" t="s">
        <v>959</v>
      </c>
      <c r="I151" s="2374"/>
      <c r="J151" s="14"/>
      <c r="K151" s="168"/>
    </row>
    <row r="152" spans="2:11" s="17" customFormat="1" ht="72" customHeight="1" thickBot="1">
      <c r="B152" s="51"/>
      <c r="C152" s="4"/>
      <c r="D152" s="396"/>
      <c r="E152" s="396"/>
      <c r="F152" s="396"/>
      <c r="G152" s="177"/>
      <c r="H152" s="2407" t="s">
        <v>960</v>
      </c>
      <c r="I152" s="2408"/>
      <c r="J152" s="14"/>
      <c r="K152" s="168"/>
    </row>
    <row r="153" spans="2:11" s="17" customFormat="1">
      <c r="B153" s="51"/>
      <c r="C153" s="4"/>
      <c r="D153" s="396"/>
      <c r="E153" s="396"/>
      <c r="F153" s="396"/>
      <c r="G153" s="177"/>
      <c r="H153" s="553"/>
      <c r="J153" s="14"/>
      <c r="K153" s="168"/>
    </row>
    <row r="154" spans="2:11" s="17" customFormat="1">
      <c r="B154" s="51"/>
      <c r="C154" s="4"/>
      <c r="D154" s="396"/>
      <c r="E154" s="396"/>
      <c r="F154" s="396"/>
      <c r="G154" s="177"/>
      <c r="H154" s="1367"/>
      <c r="J154" s="14"/>
      <c r="K154" s="168"/>
    </row>
    <row r="155" spans="2:11" s="17" customFormat="1">
      <c r="B155" s="51"/>
      <c r="C155" s="4"/>
      <c r="D155" s="396"/>
      <c r="E155" s="396"/>
      <c r="F155" s="396"/>
      <c r="G155" s="177"/>
      <c r="H155" s="1367"/>
      <c r="J155" s="14"/>
      <c r="K155" s="168"/>
    </row>
    <row r="156" spans="2:11" s="17" customFormat="1">
      <c r="B156" s="51"/>
      <c r="C156" s="4"/>
      <c r="D156" s="396"/>
      <c r="E156" s="396"/>
      <c r="F156" s="396"/>
      <c r="G156" s="177"/>
      <c r="H156" s="2"/>
      <c r="J156" s="14"/>
      <c r="K156" s="168"/>
    </row>
    <row r="157" spans="2:11" s="17" customFormat="1">
      <c r="B157" s="51"/>
      <c r="C157" s="4"/>
      <c r="D157" s="396"/>
      <c r="E157" s="396"/>
      <c r="F157" s="396"/>
      <c r="G157" s="177"/>
      <c r="H157" s="2"/>
      <c r="J157" s="14"/>
      <c r="K157" s="168"/>
    </row>
    <row r="158" spans="2:11" s="17" customFormat="1">
      <c r="B158" s="51"/>
      <c r="C158" s="4"/>
      <c r="D158" s="396"/>
      <c r="E158" s="396"/>
      <c r="F158" s="396"/>
      <c r="G158" s="177"/>
      <c r="H158" s="2"/>
      <c r="J158" s="14"/>
      <c r="K158" s="168"/>
    </row>
    <row r="159" spans="2:11" s="17" customFormat="1">
      <c r="B159" s="51"/>
      <c r="C159" s="4"/>
      <c r="D159" s="396"/>
      <c r="E159" s="396"/>
      <c r="F159" s="396"/>
      <c r="G159" s="177"/>
      <c r="H159" s="2"/>
      <c r="J159" s="14"/>
      <c r="K159" s="168"/>
    </row>
    <row r="160" spans="2:11" s="17" customFormat="1">
      <c r="B160" s="51"/>
      <c r="C160" s="4"/>
      <c r="D160" s="396"/>
      <c r="E160" s="396"/>
      <c r="F160" s="396"/>
      <c r="G160" s="177"/>
      <c r="H160" s="2"/>
      <c r="J160" s="14"/>
      <c r="K160" s="168"/>
    </row>
    <row r="161" spans="2:11" s="17" customFormat="1">
      <c r="B161" s="51"/>
      <c r="C161" s="4"/>
      <c r="D161" s="396"/>
      <c r="E161" s="396"/>
      <c r="F161" s="396"/>
      <c r="G161" s="177"/>
      <c r="H161" s="2"/>
      <c r="J161" s="14"/>
      <c r="K161" s="168"/>
    </row>
    <row r="162" spans="2:11" s="17" customFormat="1">
      <c r="B162" s="51"/>
      <c r="C162" s="4"/>
      <c r="D162" s="396"/>
      <c r="E162" s="396"/>
      <c r="F162" s="396"/>
      <c r="G162" s="177"/>
      <c r="H162" s="2"/>
      <c r="J162" s="14"/>
      <c r="K162" s="168"/>
    </row>
    <row r="163" spans="2:11" s="17" customFormat="1">
      <c r="B163" s="51"/>
      <c r="C163" s="4"/>
      <c r="D163" s="396"/>
      <c r="E163" s="396"/>
      <c r="F163" s="396"/>
      <c r="G163" s="177"/>
      <c r="H163" s="2"/>
      <c r="J163" s="14"/>
      <c r="K163" s="168"/>
    </row>
    <row r="164" spans="2:11" s="17" customFormat="1">
      <c r="B164" s="51"/>
      <c r="C164" s="4"/>
      <c r="D164" s="396"/>
      <c r="E164" s="396"/>
      <c r="F164" s="396"/>
      <c r="G164" s="177"/>
      <c r="H164" s="2"/>
      <c r="J164" s="14"/>
      <c r="K164" s="168"/>
    </row>
    <row r="165" spans="2:11" s="17" customFormat="1">
      <c r="B165" s="51"/>
      <c r="C165" s="4"/>
      <c r="D165" s="396"/>
      <c r="E165" s="396"/>
      <c r="F165" s="396"/>
      <c r="G165" s="177"/>
      <c r="H165" s="2"/>
      <c r="J165" s="14"/>
      <c r="K165" s="168"/>
    </row>
    <row r="166" spans="2:11" s="17" customFormat="1">
      <c r="B166" s="51"/>
      <c r="C166" s="4"/>
      <c r="D166" s="396"/>
      <c r="E166" s="396"/>
      <c r="F166" s="396"/>
      <c r="G166" s="177"/>
      <c r="H166" s="2"/>
      <c r="J166" s="14"/>
      <c r="K166" s="168"/>
    </row>
    <row r="167" spans="2:11" s="17" customFormat="1">
      <c r="B167" s="51"/>
      <c r="C167" s="4"/>
      <c r="D167" s="396"/>
      <c r="E167" s="396"/>
      <c r="F167" s="396"/>
      <c r="G167" s="177"/>
      <c r="H167" s="2"/>
      <c r="J167" s="14"/>
      <c r="K167" s="168"/>
    </row>
    <row r="168" spans="2:11" s="17" customFormat="1">
      <c r="B168" s="51"/>
      <c r="C168" s="4"/>
      <c r="D168" s="396"/>
      <c r="E168" s="396"/>
      <c r="F168" s="396"/>
      <c r="G168" s="177"/>
      <c r="H168" s="2"/>
      <c r="J168" s="14"/>
      <c r="K168" s="168"/>
    </row>
    <row r="169" spans="2:11" s="17" customFormat="1">
      <c r="B169" s="51"/>
      <c r="C169" s="4"/>
      <c r="D169" s="396"/>
      <c r="E169" s="396"/>
      <c r="F169" s="396"/>
      <c r="G169" s="177"/>
      <c r="H169" s="2"/>
      <c r="J169" s="14"/>
      <c r="K169" s="168"/>
    </row>
    <row r="170" spans="2:11" s="17" customFormat="1">
      <c r="B170" s="51"/>
      <c r="C170" s="4"/>
      <c r="D170" s="396"/>
      <c r="E170" s="396"/>
      <c r="F170" s="396"/>
      <c r="G170" s="177"/>
      <c r="H170" s="2"/>
      <c r="J170" s="14"/>
      <c r="K170" s="168"/>
    </row>
    <row r="171" spans="2:11" s="17" customFormat="1">
      <c r="B171" s="51"/>
      <c r="C171" s="4"/>
      <c r="D171" s="396"/>
      <c r="E171" s="396"/>
      <c r="F171" s="396"/>
      <c r="G171" s="177"/>
      <c r="H171" s="2"/>
      <c r="J171" s="14"/>
      <c r="K171" s="168"/>
    </row>
    <row r="172" spans="2:11" s="17" customFormat="1">
      <c r="B172" s="51"/>
      <c r="C172" s="4"/>
      <c r="D172" s="396"/>
      <c r="E172" s="396"/>
      <c r="F172" s="396"/>
      <c r="G172" s="177"/>
      <c r="H172" s="2"/>
      <c r="J172" s="14"/>
      <c r="K172" s="168"/>
    </row>
    <row r="173" spans="2:11" s="17" customFormat="1">
      <c r="B173" s="51"/>
      <c r="C173" s="4"/>
      <c r="D173" s="396"/>
      <c r="E173" s="396"/>
      <c r="F173" s="396"/>
      <c r="G173" s="177"/>
      <c r="H173" s="2"/>
      <c r="J173" s="14"/>
      <c r="K173" s="168"/>
    </row>
    <row r="174" spans="2:11" s="17" customFormat="1">
      <c r="B174" s="51"/>
      <c r="C174" s="4"/>
      <c r="D174" s="396"/>
      <c r="E174" s="396"/>
      <c r="F174" s="396"/>
      <c r="G174" s="177"/>
      <c r="H174" s="2"/>
      <c r="J174" s="14"/>
      <c r="K174" s="168"/>
    </row>
    <row r="175" spans="2:11" s="17" customFormat="1">
      <c r="B175" s="51"/>
      <c r="C175" s="4"/>
      <c r="D175" s="396"/>
      <c r="E175" s="396"/>
      <c r="F175" s="396"/>
      <c r="G175" s="177"/>
      <c r="H175" s="2"/>
      <c r="J175" s="14"/>
      <c r="K175" s="168"/>
    </row>
    <row r="176" spans="2:11" s="17" customFormat="1">
      <c r="B176" s="51"/>
      <c r="C176" s="4"/>
      <c r="D176" s="396"/>
      <c r="E176" s="396"/>
      <c r="F176" s="396"/>
      <c r="G176" s="177"/>
      <c r="H176" s="2"/>
      <c r="J176" s="14"/>
      <c r="K176" s="168"/>
    </row>
    <row r="177" spans="2:11" s="17" customFormat="1">
      <c r="B177" s="51"/>
      <c r="C177" s="4"/>
      <c r="D177" s="396"/>
      <c r="E177" s="396"/>
      <c r="F177" s="396"/>
      <c r="G177" s="177"/>
      <c r="H177" s="2"/>
      <c r="J177" s="14"/>
      <c r="K177" s="168"/>
    </row>
    <row r="178" spans="2:11" s="17" customFormat="1">
      <c r="B178" s="51"/>
      <c r="C178" s="4"/>
      <c r="D178" s="396"/>
      <c r="E178" s="396"/>
      <c r="F178" s="396"/>
      <c r="G178" s="177"/>
      <c r="H178" s="2"/>
      <c r="J178" s="14"/>
      <c r="K178" s="168"/>
    </row>
    <row r="179" spans="2:11" s="17" customFormat="1">
      <c r="B179" s="51"/>
      <c r="C179" s="4"/>
      <c r="D179" s="396"/>
      <c r="E179" s="396"/>
      <c r="F179" s="396"/>
      <c r="G179" s="177"/>
      <c r="H179" s="2"/>
      <c r="J179" s="14"/>
      <c r="K179" s="168"/>
    </row>
    <row r="180" spans="2:11" s="17" customFormat="1">
      <c r="B180" s="51"/>
      <c r="C180" s="4"/>
      <c r="D180" s="396"/>
      <c r="E180" s="396"/>
      <c r="F180" s="396"/>
      <c r="G180" s="177"/>
      <c r="H180" s="2"/>
      <c r="J180" s="14"/>
      <c r="K180" s="168"/>
    </row>
    <row r="181" spans="2:11" s="17" customFormat="1">
      <c r="B181" s="51"/>
      <c r="C181" s="4"/>
      <c r="D181" s="396"/>
      <c r="E181" s="396"/>
      <c r="F181" s="396"/>
      <c r="G181" s="177"/>
      <c r="H181" s="2"/>
      <c r="J181" s="14"/>
      <c r="K181" s="168"/>
    </row>
    <row r="182" spans="2:11" s="17" customFormat="1">
      <c r="B182" s="51"/>
      <c r="C182" s="4"/>
      <c r="D182" s="396"/>
      <c r="E182" s="396"/>
      <c r="F182" s="396"/>
      <c r="G182" s="177"/>
      <c r="H182" s="2"/>
      <c r="J182" s="14"/>
      <c r="K182" s="168"/>
    </row>
    <row r="183" spans="2:11" s="17" customFormat="1">
      <c r="B183" s="51"/>
      <c r="C183" s="4"/>
      <c r="D183" s="396"/>
      <c r="E183" s="396"/>
      <c r="F183" s="396"/>
      <c r="G183" s="177"/>
      <c r="H183" s="2"/>
      <c r="J183" s="14"/>
      <c r="K183" s="168"/>
    </row>
    <row r="184" spans="2:11" s="17" customFormat="1">
      <c r="B184" s="51"/>
      <c r="C184" s="4"/>
      <c r="D184" s="396"/>
      <c r="E184" s="396"/>
      <c r="F184" s="396"/>
      <c r="G184" s="177"/>
      <c r="H184" s="2"/>
      <c r="J184" s="14"/>
      <c r="K184" s="168"/>
    </row>
    <row r="185" spans="2:11" s="17" customFormat="1">
      <c r="B185" s="51"/>
      <c r="C185" s="4"/>
      <c r="D185" s="396"/>
      <c r="E185" s="396"/>
      <c r="F185" s="396"/>
      <c r="G185" s="177"/>
      <c r="H185" s="2"/>
      <c r="J185" s="14"/>
      <c r="K185" s="168"/>
    </row>
    <row r="186" spans="2:11" s="17" customFormat="1">
      <c r="B186" s="51"/>
      <c r="C186" s="4"/>
      <c r="D186" s="396"/>
      <c r="E186" s="396"/>
      <c r="F186" s="396"/>
      <c r="G186" s="177"/>
      <c r="H186" s="2"/>
      <c r="J186" s="14"/>
      <c r="K186" s="168"/>
    </row>
    <row r="187" spans="2:11" s="17" customFormat="1">
      <c r="B187" s="51"/>
      <c r="C187" s="4"/>
      <c r="D187" s="396"/>
      <c r="E187" s="396"/>
      <c r="F187" s="396"/>
      <c r="G187" s="177"/>
      <c r="H187" s="2"/>
      <c r="J187" s="14"/>
      <c r="K187" s="168"/>
    </row>
    <row r="188" spans="2:11" s="17" customFormat="1">
      <c r="B188" s="51"/>
      <c r="C188" s="4"/>
      <c r="D188" s="396"/>
      <c r="E188" s="396"/>
      <c r="F188" s="396"/>
      <c r="G188" s="177"/>
      <c r="H188" s="2"/>
      <c r="J188" s="14"/>
      <c r="K188" s="168"/>
    </row>
    <row r="189" spans="2:11" s="17" customFormat="1">
      <c r="B189" s="51"/>
      <c r="C189" s="4"/>
      <c r="D189" s="396"/>
      <c r="E189" s="396"/>
      <c r="F189" s="396"/>
      <c r="G189" s="177"/>
      <c r="H189" s="2"/>
      <c r="J189" s="14"/>
      <c r="K189" s="168"/>
    </row>
    <row r="190" spans="2:11" s="17" customFormat="1">
      <c r="B190" s="51"/>
      <c r="C190" s="4"/>
      <c r="D190" s="396"/>
      <c r="E190" s="396"/>
      <c r="F190" s="396"/>
      <c r="G190" s="177"/>
      <c r="H190" s="2"/>
      <c r="J190" s="14"/>
      <c r="K190" s="168"/>
    </row>
    <row r="191" spans="2:11" s="17" customFormat="1">
      <c r="B191" s="51"/>
      <c r="C191" s="4"/>
      <c r="D191" s="396"/>
      <c r="E191" s="396"/>
      <c r="F191" s="396"/>
      <c r="G191" s="177"/>
      <c r="H191" s="2"/>
      <c r="J191" s="14"/>
      <c r="K191" s="168"/>
    </row>
    <row r="192" spans="2:11" s="17" customFormat="1">
      <c r="B192" s="51"/>
      <c r="C192" s="4"/>
      <c r="D192" s="396"/>
      <c r="E192" s="396"/>
      <c r="F192" s="396"/>
      <c r="G192" s="177"/>
      <c r="H192" s="2"/>
      <c r="J192" s="14"/>
      <c r="K192" s="168"/>
    </row>
    <row r="193" spans="2:11" s="17" customFormat="1">
      <c r="B193" s="51"/>
      <c r="C193" s="4"/>
      <c r="D193" s="396"/>
      <c r="E193" s="396"/>
      <c r="F193" s="396"/>
      <c r="G193" s="177"/>
      <c r="H193" s="2"/>
      <c r="J193" s="14"/>
      <c r="K193" s="168"/>
    </row>
    <row r="194" spans="2:11" s="17" customFormat="1">
      <c r="B194" s="51"/>
      <c r="C194" s="4"/>
      <c r="D194" s="396"/>
      <c r="E194" s="396"/>
      <c r="F194" s="396"/>
      <c r="G194" s="177"/>
      <c r="H194" s="2"/>
      <c r="J194" s="14"/>
      <c r="K194" s="168"/>
    </row>
    <row r="195" spans="2:11" s="17" customFormat="1">
      <c r="B195" s="51"/>
      <c r="C195" s="4"/>
      <c r="D195" s="396"/>
      <c r="E195" s="396"/>
      <c r="F195" s="396"/>
      <c r="G195" s="177"/>
      <c r="H195" s="2"/>
      <c r="J195" s="14"/>
      <c r="K195" s="168"/>
    </row>
    <row r="196" spans="2:11" s="17" customFormat="1">
      <c r="B196" s="51"/>
      <c r="C196" s="4"/>
      <c r="D196" s="396"/>
      <c r="E196" s="396"/>
      <c r="F196" s="396"/>
      <c r="G196" s="177"/>
      <c r="H196" s="2"/>
      <c r="J196" s="14"/>
      <c r="K196" s="168"/>
    </row>
    <row r="197" spans="2:11" s="17" customFormat="1">
      <c r="B197" s="51"/>
      <c r="C197" s="4"/>
      <c r="D197" s="396"/>
      <c r="E197" s="396"/>
      <c r="F197" s="396"/>
      <c r="G197" s="177"/>
      <c r="H197" s="2"/>
      <c r="J197" s="14"/>
      <c r="K197" s="168"/>
    </row>
    <row r="198" spans="2:11" s="17" customFormat="1">
      <c r="B198" s="51"/>
      <c r="C198" s="4"/>
      <c r="D198" s="396"/>
      <c r="E198" s="396"/>
      <c r="F198" s="396"/>
      <c r="G198" s="177"/>
      <c r="H198" s="2"/>
      <c r="J198" s="14"/>
      <c r="K198" s="168"/>
    </row>
    <row r="199" spans="2:11" s="17" customFormat="1">
      <c r="B199" s="51"/>
      <c r="C199" s="4"/>
      <c r="D199" s="396"/>
      <c r="E199" s="396"/>
      <c r="F199" s="396"/>
      <c r="G199" s="177"/>
      <c r="H199" s="2"/>
      <c r="J199" s="14"/>
      <c r="K199" s="168"/>
    </row>
    <row r="200" spans="2:11" s="17" customFormat="1">
      <c r="B200" s="51"/>
      <c r="C200" s="4"/>
      <c r="D200" s="396"/>
      <c r="E200" s="396"/>
      <c r="F200" s="396"/>
      <c r="G200" s="177"/>
      <c r="H200" s="2"/>
      <c r="J200" s="14"/>
      <c r="K200" s="168"/>
    </row>
    <row r="201" spans="2:11" s="17" customFormat="1">
      <c r="B201" s="51"/>
      <c r="C201" s="4"/>
      <c r="D201" s="396"/>
      <c r="E201" s="396"/>
      <c r="F201" s="396"/>
      <c r="G201" s="177"/>
      <c r="H201" s="2"/>
      <c r="J201" s="14"/>
      <c r="K201" s="168"/>
    </row>
    <row r="202" spans="2:11" s="17" customFormat="1">
      <c r="B202" s="51"/>
      <c r="C202" s="4"/>
      <c r="D202" s="396"/>
      <c r="E202" s="396"/>
      <c r="F202" s="396"/>
      <c r="G202" s="177"/>
      <c r="H202" s="2"/>
      <c r="J202" s="14"/>
      <c r="K202" s="168"/>
    </row>
    <row r="203" spans="2:11" s="17" customFormat="1">
      <c r="B203" s="51"/>
      <c r="C203" s="4"/>
      <c r="D203" s="396"/>
      <c r="E203" s="396"/>
      <c r="F203" s="396"/>
      <c r="G203" s="177"/>
      <c r="H203" s="2"/>
      <c r="J203" s="14"/>
      <c r="K203" s="168"/>
    </row>
    <row r="204" spans="2:11" s="17" customFormat="1">
      <c r="B204" s="51"/>
      <c r="C204" s="4"/>
      <c r="D204" s="396"/>
      <c r="E204" s="396"/>
      <c r="F204" s="396"/>
      <c r="G204" s="177"/>
      <c r="H204" s="2"/>
      <c r="J204" s="14"/>
      <c r="K204" s="168"/>
    </row>
    <row r="205" spans="2:11" s="17" customFormat="1">
      <c r="B205" s="51"/>
      <c r="C205" s="4"/>
      <c r="D205" s="396"/>
      <c r="E205" s="396"/>
      <c r="F205" s="396"/>
      <c r="G205" s="177"/>
      <c r="H205" s="2"/>
      <c r="J205" s="14"/>
      <c r="K205" s="168"/>
    </row>
    <row r="206" spans="2:11" s="17" customFormat="1">
      <c r="B206" s="51"/>
      <c r="C206" s="4"/>
      <c r="D206" s="396"/>
      <c r="E206" s="396"/>
      <c r="F206" s="396"/>
      <c r="G206" s="177"/>
      <c r="H206" s="2"/>
      <c r="J206" s="14"/>
      <c r="K206" s="168"/>
    </row>
    <row r="207" spans="2:11" s="17" customFormat="1">
      <c r="B207" s="51"/>
      <c r="C207" s="4"/>
      <c r="D207" s="396"/>
      <c r="E207" s="396"/>
      <c r="F207" s="396"/>
      <c r="G207" s="177"/>
      <c r="H207" s="2"/>
      <c r="J207" s="14"/>
      <c r="K207" s="168"/>
    </row>
    <row r="208" spans="2:11" s="17" customFormat="1">
      <c r="B208" s="51"/>
      <c r="C208" s="4"/>
      <c r="D208" s="396"/>
      <c r="E208" s="396"/>
      <c r="F208" s="396"/>
      <c r="G208" s="177"/>
      <c r="H208" s="2"/>
      <c r="J208" s="14"/>
      <c r="K208" s="168"/>
    </row>
    <row r="209" spans="2:11" s="17" customFormat="1">
      <c r="B209" s="51"/>
      <c r="C209" s="4"/>
      <c r="D209" s="396"/>
      <c r="E209" s="396"/>
      <c r="F209" s="396"/>
      <c r="G209" s="177"/>
      <c r="H209" s="2"/>
      <c r="J209" s="14"/>
      <c r="K209" s="168"/>
    </row>
    <row r="210" spans="2:11" s="17" customFormat="1">
      <c r="B210" s="51"/>
      <c r="C210" s="4"/>
      <c r="D210" s="396"/>
      <c r="E210" s="396"/>
      <c r="F210" s="396"/>
      <c r="G210" s="177"/>
      <c r="H210" s="2"/>
      <c r="J210" s="14"/>
      <c r="K210" s="168"/>
    </row>
    <row r="211" spans="2:11" s="17" customFormat="1">
      <c r="B211" s="51"/>
      <c r="C211" s="4"/>
      <c r="D211" s="396"/>
      <c r="E211" s="396"/>
      <c r="F211" s="396"/>
      <c r="G211" s="177"/>
      <c r="H211" s="2"/>
      <c r="J211" s="14"/>
      <c r="K211" s="168"/>
    </row>
    <row r="212" spans="2:11" s="17" customFormat="1">
      <c r="B212" s="51"/>
      <c r="C212" s="4"/>
      <c r="D212" s="396"/>
      <c r="E212" s="396"/>
      <c r="F212" s="396"/>
      <c r="G212" s="177"/>
      <c r="H212" s="2"/>
      <c r="J212" s="14"/>
      <c r="K212" s="168"/>
    </row>
    <row r="213" spans="2:11" s="17" customFormat="1">
      <c r="B213" s="51"/>
      <c r="C213" s="4"/>
      <c r="D213" s="396"/>
      <c r="E213" s="396"/>
      <c r="F213" s="396"/>
      <c r="G213" s="177"/>
      <c r="H213" s="2"/>
      <c r="J213" s="14"/>
      <c r="K213" s="168"/>
    </row>
    <row r="214" spans="2:11" s="17" customFormat="1">
      <c r="B214" s="51"/>
      <c r="C214" s="4"/>
      <c r="D214" s="396"/>
      <c r="E214" s="396"/>
      <c r="F214" s="396"/>
      <c r="G214" s="177"/>
      <c r="H214" s="2"/>
      <c r="J214" s="14"/>
      <c r="K214" s="168"/>
    </row>
    <row r="215" spans="2:11" s="17" customFormat="1">
      <c r="B215" s="51"/>
      <c r="C215" s="4"/>
      <c r="D215" s="396"/>
      <c r="E215" s="396"/>
      <c r="F215" s="396"/>
      <c r="G215" s="177"/>
      <c r="H215" s="2"/>
      <c r="J215" s="14"/>
      <c r="K215" s="168"/>
    </row>
    <row r="216" spans="2:11" s="17" customFormat="1">
      <c r="B216" s="51"/>
      <c r="C216" s="4"/>
      <c r="D216" s="396"/>
      <c r="E216" s="396"/>
      <c r="F216" s="396"/>
      <c r="G216" s="177"/>
      <c r="H216" s="2"/>
      <c r="J216" s="14"/>
      <c r="K216" s="168"/>
    </row>
    <row r="217" spans="2:11" s="17" customFormat="1">
      <c r="B217" s="51"/>
      <c r="C217" s="4"/>
      <c r="D217" s="396"/>
      <c r="E217" s="396"/>
      <c r="F217" s="396"/>
      <c r="G217" s="177"/>
      <c r="H217" s="2"/>
      <c r="J217" s="14"/>
      <c r="K217" s="168"/>
    </row>
    <row r="218" spans="2:11" s="17" customFormat="1">
      <c r="B218" s="51"/>
      <c r="C218" s="4"/>
      <c r="D218" s="396"/>
      <c r="E218" s="396"/>
      <c r="F218" s="396"/>
      <c r="G218" s="177"/>
      <c r="H218" s="2"/>
      <c r="J218" s="14"/>
      <c r="K218" s="168"/>
    </row>
    <row r="219" spans="2:11" s="17" customFormat="1">
      <c r="B219" s="51"/>
      <c r="C219" s="4"/>
      <c r="D219" s="396"/>
      <c r="E219" s="396"/>
      <c r="F219" s="396"/>
      <c r="G219" s="177"/>
      <c r="H219" s="2"/>
      <c r="J219" s="14"/>
      <c r="K219" s="168"/>
    </row>
    <row r="220" spans="2:11" s="17" customFormat="1">
      <c r="B220" s="51"/>
      <c r="C220" s="4"/>
      <c r="D220" s="396"/>
      <c r="E220" s="396"/>
      <c r="F220" s="396"/>
      <c r="G220" s="177"/>
      <c r="H220" s="2"/>
      <c r="J220" s="14"/>
      <c r="K220" s="168"/>
    </row>
    <row r="221" spans="2:11" s="17" customFormat="1">
      <c r="B221" s="51"/>
      <c r="C221" s="4"/>
      <c r="D221" s="396"/>
      <c r="E221" s="396"/>
      <c r="F221" s="396"/>
      <c r="G221" s="177"/>
      <c r="H221" s="2"/>
      <c r="J221" s="14"/>
      <c r="K221" s="168"/>
    </row>
    <row r="222" spans="2:11" s="17" customFormat="1">
      <c r="B222" s="51"/>
      <c r="C222" s="4"/>
      <c r="D222" s="396"/>
      <c r="E222" s="396"/>
      <c r="F222" s="396"/>
      <c r="G222" s="177"/>
      <c r="H222" s="2"/>
      <c r="J222" s="14"/>
      <c r="K222" s="168"/>
    </row>
    <row r="223" spans="2:11" s="17" customFormat="1">
      <c r="B223" s="51"/>
      <c r="C223" s="4"/>
      <c r="D223" s="396"/>
      <c r="E223" s="396"/>
      <c r="F223" s="396"/>
      <c r="G223" s="177"/>
      <c r="H223" s="2"/>
      <c r="J223" s="14"/>
      <c r="K223" s="168"/>
    </row>
    <row r="224" spans="2:11" s="17" customFormat="1">
      <c r="B224" s="51"/>
      <c r="C224" s="4"/>
      <c r="D224" s="396"/>
      <c r="E224" s="396"/>
      <c r="F224" s="396"/>
      <c r="G224" s="177"/>
      <c r="H224" s="2"/>
      <c r="J224" s="14"/>
      <c r="K224" s="168"/>
    </row>
    <row r="225" spans="2:11" s="17" customFormat="1">
      <c r="B225" s="51"/>
      <c r="C225" s="4"/>
      <c r="D225" s="396"/>
      <c r="E225" s="396"/>
      <c r="F225" s="396"/>
      <c r="G225" s="177"/>
      <c r="H225" s="2"/>
      <c r="J225" s="14"/>
      <c r="K225" s="168"/>
    </row>
    <row r="226" spans="2:11" s="17" customFormat="1">
      <c r="B226" s="51"/>
      <c r="C226" s="4"/>
      <c r="D226" s="396"/>
      <c r="E226" s="396"/>
      <c r="F226" s="396"/>
      <c r="G226" s="177"/>
      <c r="H226" s="2"/>
      <c r="J226" s="14"/>
      <c r="K226" s="168"/>
    </row>
    <row r="227" spans="2:11" s="17" customFormat="1">
      <c r="B227" s="51"/>
      <c r="C227" s="4"/>
      <c r="D227" s="396"/>
      <c r="E227" s="396"/>
      <c r="F227" s="396"/>
      <c r="G227" s="177"/>
      <c r="H227" s="2"/>
      <c r="J227" s="14"/>
      <c r="K227" s="168"/>
    </row>
    <row r="228" spans="2:11" s="17" customFormat="1">
      <c r="B228" s="51"/>
      <c r="C228" s="4"/>
      <c r="D228" s="396"/>
      <c r="E228" s="396"/>
      <c r="F228" s="396"/>
      <c r="G228" s="177"/>
      <c r="H228" s="2"/>
      <c r="J228" s="14"/>
      <c r="K228" s="168"/>
    </row>
  </sheetData>
  <sheetProtection password="C74A" sheet="1" objects="1" scenarios="1"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116">
    <mergeCell ref="C138:E138"/>
    <mergeCell ref="A138:B139"/>
    <mergeCell ref="B26:B31"/>
    <mergeCell ref="A109:A114"/>
    <mergeCell ref="A115:A121"/>
    <mergeCell ref="D137:H137"/>
    <mergeCell ref="A131:C137"/>
    <mergeCell ref="D132:F132"/>
    <mergeCell ref="D133:F133"/>
    <mergeCell ref="D134:F134"/>
    <mergeCell ref="D135:F135"/>
    <mergeCell ref="D136:F136"/>
    <mergeCell ref="A122:A128"/>
    <mergeCell ref="B122:B128"/>
    <mergeCell ref="H122:H128"/>
    <mergeCell ref="A26:A31"/>
    <mergeCell ref="B71:B76"/>
    <mergeCell ref="B83:B86"/>
    <mergeCell ref="H46:H51"/>
    <mergeCell ref="H77:H82"/>
    <mergeCell ref="D131:H131"/>
    <mergeCell ref="H96:H99"/>
    <mergeCell ref="B115:B121"/>
    <mergeCell ref="H115:H121"/>
    <mergeCell ref="B109:B114"/>
    <mergeCell ref="B77:B82"/>
    <mergeCell ref="B52:B55"/>
    <mergeCell ref="B87:B91"/>
    <mergeCell ref="B96:B99"/>
    <mergeCell ref="A96:A99"/>
    <mergeCell ref="A83:A86"/>
    <mergeCell ref="A71:A76"/>
    <mergeCell ref="B100:B105"/>
    <mergeCell ref="A100:A105"/>
    <mergeCell ref="B92:B95"/>
    <mergeCell ref="A77:A82"/>
    <mergeCell ref="H87:H91"/>
    <mergeCell ref="A87:A91"/>
    <mergeCell ref="A92:A95"/>
    <mergeCell ref="H92:H95"/>
    <mergeCell ref="H71:H76"/>
    <mergeCell ref="B67:B70"/>
    <mergeCell ref="H67:H70"/>
    <mergeCell ref="H56:H62"/>
    <mergeCell ref="A67:A70"/>
    <mergeCell ref="H63:H66"/>
    <mergeCell ref="B46:B51"/>
    <mergeCell ref="A63:A66"/>
    <mergeCell ref="B63:B66"/>
    <mergeCell ref="H52:H55"/>
    <mergeCell ref="B40:B45"/>
    <mergeCell ref="H40:H45"/>
    <mergeCell ref="A56:A62"/>
    <mergeCell ref="B56:B62"/>
    <mergeCell ref="H83:H86"/>
    <mergeCell ref="A52:A55"/>
    <mergeCell ref="A46:A51"/>
    <mergeCell ref="A1:B1"/>
    <mergeCell ref="A40:A45"/>
    <mergeCell ref="H3:H7"/>
    <mergeCell ref="B3:B7"/>
    <mergeCell ref="A3:A7"/>
    <mergeCell ref="H8:H14"/>
    <mergeCell ref="A33:A39"/>
    <mergeCell ref="H15:H19"/>
    <mergeCell ref="H33:H39"/>
    <mergeCell ref="B21:B25"/>
    <mergeCell ref="H21:H25"/>
    <mergeCell ref="H26:H31"/>
    <mergeCell ref="B15:B19"/>
    <mergeCell ref="A15:A19"/>
    <mergeCell ref="B33:B39"/>
    <mergeCell ref="A8:A14"/>
    <mergeCell ref="B8:B14"/>
    <mergeCell ref="A21:A25"/>
    <mergeCell ref="I21:I25"/>
    <mergeCell ref="I26:I31"/>
    <mergeCell ref="I33:I39"/>
    <mergeCell ref="I40:I45"/>
    <mergeCell ref="I46:I51"/>
    <mergeCell ref="E1:I1"/>
    <mergeCell ref="I3:I7"/>
    <mergeCell ref="I8:I14"/>
    <mergeCell ref="I15:I19"/>
    <mergeCell ref="I77:I82"/>
    <mergeCell ref="I83:I86"/>
    <mergeCell ref="I87:I91"/>
    <mergeCell ref="I92:I95"/>
    <mergeCell ref="I96:I99"/>
    <mergeCell ref="I52:I55"/>
    <mergeCell ref="I56:I62"/>
    <mergeCell ref="I63:I66"/>
    <mergeCell ref="I67:I70"/>
    <mergeCell ref="I71:I76"/>
    <mergeCell ref="H138:I138"/>
    <mergeCell ref="I100:I105"/>
    <mergeCell ref="I109:I114"/>
    <mergeCell ref="I115:I121"/>
    <mergeCell ref="I122:I128"/>
    <mergeCell ref="H100:H105"/>
    <mergeCell ref="H109:H114"/>
    <mergeCell ref="H150:I150"/>
    <mergeCell ref="H151:I151"/>
    <mergeCell ref="H152:I152"/>
    <mergeCell ref="H145:I145"/>
    <mergeCell ref="H146:I146"/>
    <mergeCell ref="H147:I147"/>
    <mergeCell ref="H148:I148"/>
    <mergeCell ref="H149:I149"/>
    <mergeCell ref="H139:I139"/>
    <mergeCell ref="H141:I141"/>
    <mergeCell ref="H142:I142"/>
    <mergeCell ref="H143:I143"/>
    <mergeCell ref="H144:I144"/>
    <mergeCell ref="A140:H140"/>
    <mergeCell ref="C139:E139"/>
  </mergeCells>
  <phoneticPr fontId="2" type="noConversion"/>
  <pageMargins left="0.75" right="0.75" top="1" bottom="1" header="0.5" footer="0.5"/>
  <pageSetup orientation="portrait" r:id="rId2"/>
  <headerFooter alignWithMargins="0"/>
  <ignoredErrors>
    <ignoredError sqref="G122" formulaRange="1"/>
  </ignoredErrors>
</worksheet>
</file>

<file path=xl/worksheets/sheet16.xml><?xml version="1.0" encoding="utf-8"?>
<worksheet xmlns="http://schemas.openxmlformats.org/spreadsheetml/2006/main" xmlns:r="http://schemas.openxmlformats.org/officeDocument/2006/relationships">
  <sheetPr codeName="Sheet14"/>
  <dimension ref="A1:R225"/>
  <sheetViews>
    <sheetView zoomScaleNormal="100" workbookViewId="0">
      <selection sqref="A1:B1"/>
    </sheetView>
  </sheetViews>
  <sheetFormatPr defaultColWidth="9.33203125" defaultRowHeight="13.8"/>
  <cols>
    <col min="1" max="1" width="5.77734375" style="23" customWidth="1"/>
    <col min="2" max="2" width="18.77734375" style="32" customWidth="1"/>
    <col min="3" max="3" width="69.77734375" style="4" customWidth="1"/>
    <col min="4" max="5" width="6.77734375" style="159" customWidth="1"/>
    <col min="6" max="6" width="6.77734375" style="189" customWidth="1"/>
    <col min="7" max="7" width="9.77734375" style="749" customWidth="1"/>
    <col min="8" max="8" width="69.77734375" style="553" customWidth="1"/>
    <col min="9" max="9" width="11.77734375" style="553" customWidth="1"/>
    <col min="10" max="10" width="9.33203125" style="2"/>
    <col min="11" max="11" width="9.33203125" style="192"/>
    <col min="12" max="18" width="9.33203125" style="2"/>
    <col min="19" max="16384" width="9.33203125" style="4"/>
  </cols>
  <sheetData>
    <row r="1" spans="1:9" ht="69" customHeight="1" thickBot="1">
      <c r="A1" s="2470" t="s">
        <v>1240</v>
      </c>
      <c r="B1" s="2471"/>
      <c r="C1" s="124" t="s">
        <v>1826</v>
      </c>
      <c r="D1" s="153" t="s">
        <v>1241</v>
      </c>
      <c r="E1" s="2579"/>
      <c r="F1" s="2580"/>
      <c r="G1" s="2580"/>
      <c r="H1" s="2580"/>
      <c r="I1" s="2580"/>
    </row>
    <row r="2" spans="1:9" s="138" customFormat="1" ht="36" customHeight="1" thickBot="1">
      <c r="A2" s="1595" t="s">
        <v>168</v>
      </c>
      <c r="B2" s="1555" t="s">
        <v>1387</v>
      </c>
      <c r="C2" s="1596" t="s">
        <v>1354</v>
      </c>
      <c r="D2" s="1555" t="s">
        <v>64</v>
      </c>
      <c r="E2" s="1668" t="s">
        <v>1383</v>
      </c>
      <c r="F2" s="1669" t="s">
        <v>1384</v>
      </c>
      <c r="G2" s="1670" t="s">
        <v>1293</v>
      </c>
      <c r="H2" s="1555" t="s">
        <v>1294</v>
      </c>
      <c r="I2" s="1648" t="s">
        <v>2622</v>
      </c>
    </row>
    <row r="3" spans="1:9" ht="21" customHeight="1" thickBot="1">
      <c r="A3" s="2648" t="str">
        <f>OF!A74</f>
        <v>OF14</v>
      </c>
      <c r="B3" s="2318" t="str">
        <f>OF!B74</f>
        <v>Tidal Proximity</v>
      </c>
      <c r="C3" s="439" t="str">
        <f>OF!C74</f>
        <v>The distance from the AA edge to the closest tidal water body (regardless of its salinity) is:</v>
      </c>
      <c r="D3" s="232"/>
      <c r="E3" s="232"/>
      <c r="F3" s="235"/>
      <c r="G3" s="537">
        <f>MAX(F4:F8)/MAX(E4:E8)</f>
        <v>0</v>
      </c>
      <c r="H3" s="2148" t="s">
        <v>2245</v>
      </c>
      <c r="I3" s="2148" t="s">
        <v>197</v>
      </c>
    </row>
    <row r="4" spans="1:9" ht="15" customHeight="1">
      <c r="A4" s="2649"/>
      <c r="B4" s="2319"/>
      <c r="C4" s="440" t="str">
        <f>OF!C75</f>
        <v>&lt;100 m</v>
      </c>
      <c r="D4" s="255">
        <f>OF!D75</f>
        <v>0</v>
      </c>
      <c r="E4" s="80">
        <v>4</v>
      </c>
      <c r="F4" s="361">
        <f>D4*E4</f>
        <v>0</v>
      </c>
      <c r="G4" s="106"/>
      <c r="H4" s="2146"/>
      <c r="I4" s="2146"/>
    </row>
    <row r="5" spans="1:9" ht="15" customHeight="1">
      <c r="A5" s="2649"/>
      <c r="B5" s="2319"/>
      <c r="C5" s="651" t="str">
        <f>OF!C76</f>
        <v>100 m - 1 km</v>
      </c>
      <c r="D5" s="78">
        <f>OF!D76</f>
        <v>0</v>
      </c>
      <c r="E5" s="80">
        <v>4</v>
      </c>
      <c r="F5" s="361">
        <f>D5*E5</f>
        <v>0</v>
      </c>
      <c r="G5" s="741"/>
      <c r="H5" s="2146"/>
      <c r="I5" s="2146"/>
    </row>
    <row r="6" spans="1:9" ht="15" customHeight="1">
      <c r="A6" s="2649"/>
      <c r="B6" s="2319"/>
      <c r="C6" s="651" t="str">
        <f>OF!C77</f>
        <v>1 - 5 km</v>
      </c>
      <c r="D6" s="78">
        <f>OF!D77</f>
        <v>0</v>
      </c>
      <c r="E6" s="80">
        <v>3</v>
      </c>
      <c r="F6" s="361">
        <f>D6*E6</f>
        <v>0</v>
      </c>
      <c r="G6" s="741"/>
      <c r="H6" s="2146"/>
      <c r="I6" s="2146"/>
    </row>
    <row r="7" spans="1:9" ht="15" customHeight="1">
      <c r="A7" s="2649"/>
      <c r="B7" s="2319"/>
      <c r="C7" s="651" t="str">
        <f>OF!C79</f>
        <v>10-40 km</v>
      </c>
      <c r="D7" s="78">
        <f>OF!D79</f>
        <v>0</v>
      </c>
      <c r="E7" s="80">
        <v>2</v>
      </c>
      <c r="F7" s="361">
        <f>D7*E7</f>
        <v>0</v>
      </c>
      <c r="G7" s="741"/>
      <c r="H7" s="2146"/>
      <c r="I7" s="2146"/>
    </row>
    <row r="8" spans="1:9" ht="15" customHeight="1" thickBot="1">
      <c r="A8" s="2650"/>
      <c r="B8" s="2322"/>
      <c r="C8" s="441" t="str">
        <f>OF!C80</f>
        <v>&gt;40 km</v>
      </c>
      <c r="D8" s="193">
        <f>OF!D80</f>
        <v>0</v>
      </c>
      <c r="E8" s="234">
        <v>0</v>
      </c>
      <c r="F8" s="362">
        <f>D8*E8</f>
        <v>0</v>
      </c>
      <c r="G8" s="742"/>
      <c r="H8" s="2149"/>
      <c r="I8" s="2149"/>
    </row>
    <row r="9" spans="1:9" ht="45" customHeight="1" thickBot="1">
      <c r="A9" s="2151" t="str">
        <f>OF!A110</f>
        <v>OF24</v>
      </c>
      <c r="B9" s="2146" t="str">
        <f>OF!B110</f>
        <v>Unvegetated Surface in the Contributing Area</v>
      </c>
      <c r="C9" s="400" t="str">
        <f>OF!C110</f>
        <v>The proportion of the AA's contributing area (measured to no more than 1000 m upslope) that is comprised of buildings, roads, parking lots, other pavement, exposed bedrock, landslides, and other mostly-bare surface is about :</v>
      </c>
      <c r="D9" s="83"/>
      <c r="E9" s="379"/>
      <c r="F9" s="629"/>
      <c r="G9" s="538">
        <f>MAX(F10:F12)/MAX(E10:E12)</f>
        <v>0</v>
      </c>
      <c r="H9" s="2146" t="s">
        <v>805</v>
      </c>
      <c r="I9" s="2148" t="s">
        <v>233</v>
      </c>
    </row>
    <row r="10" spans="1:9" ht="15" customHeight="1">
      <c r="A10" s="2151"/>
      <c r="B10" s="2146"/>
      <c r="C10" s="660" t="str">
        <f>OF!C111</f>
        <v>&lt;10%</v>
      </c>
      <c r="D10" s="354">
        <f>OF!D111</f>
        <v>0</v>
      </c>
      <c r="E10" s="379">
        <v>3</v>
      </c>
      <c r="F10" s="361">
        <f>D10*E10</f>
        <v>0</v>
      </c>
      <c r="G10" s="629"/>
      <c r="H10" s="2146"/>
      <c r="I10" s="2146"/>
    </row>
    <row r="11" spans="1:9" ht="15" customHeight="1">
      <c r="A11" s="2151"/>
      <c r="B11" s="2146"/>
      <c r="C11" s="659" t="str">
        <f>OF!C112</f>
        <v>10 to 25%</v>
      </c>
      <c r="D11" s="254">
        <f>OF!D112</f>
        <v>0</v>
      </c>
      <c r="E11" s="379">
        <v>2</v>
      </c>
      <c r="F11" s="361">
        <f>D11*E11</f>
        <v>0</v>
      </c>
      <c r="G11" s="630"/>
      <c r="H11" s="2146"/>
      <c r="I11" s="2146"/>
    </row>
    <row r="12" spans="1:9" ht="15" customHeight="1" thickBot="1">
      <c r="A12" s="2152"/>
      <c r="B12" s="2149"/>
      <c r="C12" s="492" t="str">
        <f>OF!C113</f>
        <v>&gt;25%</v>
      </c>
      <c r="D12" s="248">
        <f>OF!D113</f>
        <v>0</v>
      </c>
      <c r="E12" s="738">
        <v>0</v>
      </c>
      <c r="F12" s="362">
        <f>D12*E12</f>
        <v>0</v>
      </c>
      <c r="G12" s="631"/>
      <c r="H12" s="2149"/>
      <c r="I12" s="2149"/>
    </row>
    <row r="13" spans="1:9" ht="30" customHeight="1" thickBot="1">
      <c r="A13" s="2343" t="str">
        <f>OF!A129</f>
        <v>OF28</v>
      </c>
      <c r="B13" s="2340" t="str">
        <f>OF!B129</f>
        <v>Growing Degree Days</v>
      </c>
      <c r="C13" s="411" t="str">
        <f>OF!C129</f>
        <v>According to Figure A-1 in Appendix A of the Manual, the mean annual Growing Degree Days (GDD) in the vicinity of the AA is approximately:</v>
      </c>
      <c r="D13" s="232"/>
      <c r="E13" s="576"/>
      <c r="F13" s="583"/>
      <c r="G13" s="577">
        <f>MAX(F14:F19)/MAX(E14:E19)</f>
        <v>0</v>
      </c>
      <c r="H13" s="2148" t="s">
        <v>1130</v>
      </c>
      <c r="I13" s="2148" t="s">
        <v>1131</v>
      </c>
    </row>
    <row r="14" spans="1:9" ht="15" customHeight="1">
      <c r="A14" s="2329"/>
      <c r="B14" s="2341"/>
      <c r="C14" s="170" t="str">
        <f>OF!C130</f>
        <v>800-1000 days</v>
      </c>
      <c r="D14" s="261">
        <f>OF!D130</f>
        <v>0</v>
      </c>
      <c r="E14" s="369">
        <v>1</v>
      </c>
      <c r="F14" s="370">
        <f t="shared" ref="F14:F19" si="0">D14*E14</f>
        <v>0</v>
      </c>
      <c r="G14" s="578"/>
      <c r="H14" s="2146"/>
      <c r="I14" s="2146"/>
    </row>
    <row r="15" spans="1:9" ht="15" customHeight="1">
      <c r="A15" s="2329"/>
      <c r="B15" s="2341"/>
      <c r="C15" s="82" t="str">
        <f>OF!C131</f>
        <v>1000-1200</v>
      </c>
      <c r="D15" s="245">
        <f>OF!D131</f>
        <v>0</v>
      </c>
      <c r="E15" s="369">
        <v>2</v>
      </c>
      <c r="F15" s="370">
        <f t="shared" si="0"/>
        <v>0</v>
      </c>
      <c r="G15" s="578"/>
      <c r="H15" s="2146"/>
      <c r="I15" s="2146"/>
    </row>
    <row r="16" spans="1:9" ht="15" customHeight="1">
      <c r="A16" s="2329"/>
      <c r="B16" s="2341"/>
      <c r="C16" s="82" t="str">
        <f>OF!C132</f>
        <v>1200-1400</v>
      </c>
      <c r="D16" s="245">
        <f>OF!D132</f>
        <v>0</v>
      </c>
      <c r="E16" s="369">
        <v>3</v>
      </c>
      <c r="F16" s="370">
        <f t="shared" si="0"/>
        <v>0</v>
      </c>
      <c r="G16" s="578"/>
      <c r="H16" s="2146"/>
      <c r="I16" s="2146"/>
    </row>
    <row r="17" spans="1:11" ht="15" customHeight="1">
      <c r="A17" s="2329"/>
      <c r="B17" s="2341"/>
      <c r="C17" s="82" t="str">
        <f>OF!C133</f>
        <v>1400-1600</v>
      </c>
      <c r="D17" s="245">
        <f>OF!D133</f>
        <v>0</v>
      </c>
      <c r="E17" s="369">
        <v>4</v>
      </c>
      <c r="F17" s="370">
        <f t="shared" si="0"/>
        <v>0</v>
      </c>
      <c r="G17" s="578"/>
      <c r="H17" s="2146"/>
      <c r="I17" s="2146"/>
    </row>
    <row r="18" spans="1:11" ht="15" customHeight="1">
      <c r="A18" s="2329"/>
      <c r="B18" s="2341"/>
      <c r="C18" s="82" t="str">
        <f>OF!C134</f>
        <v>1600-1800</v>
      </c>
      <c r="D18" s="245">
        <f>OF!D134</f>
        <v>0</v>
      </c>
      <c r="E18" s="369">
        <v>5</v>
      </c>
      <c r="F18" s="370">
        <f t="shared" si="0"/>
        <v>0</v>
      </c>
      <c r="G18" s="579"/>
      <c r="H18" s="2146"/>
      <c r="I18" s="2146"/>
    </row>
    <row r="19" spans="1:11" ht="15" customHeight="1" thickBot="1">
      <c r="A19" s="2330"/>
      <c r="B19" s="2342"/>
      <c r="C19" s="438" t="str">
        <f>OF!C135</f>
        <v>&gt;1800 days</v>
      </c>
      <c r="D19" s="246">
        <f>OF!D135</f>
        <v>0</v>
      </c>
      <c r="E19" s="580">
        <v>6</v>
      </c>
      <c r="F19" s="581">
        <f t="shared" si="0"/>
        <v>0</v>
      </c>
      <c r="G19" s="582"/>
      <c r="H19" s="2149"/>
      <c r="I19" s="2149"/>
    </row>
    <row r="20" spans="1:11" ht="30" customHeight="1" thickBot="1">
      <c r="A20" s="2150" t="str">
        <f>OF!A136</f>
        <v>OF29</v>
      </c>
      <c r="B20" s="2148" t="str">
        <f>OF!B136</f>
        <v>Fish Access or Use</v>
      </c>
      <c r="C20" s="436" t="str">
        <f>OF!C136</f>
        <v>According to agency biologists and/or your own observations, the AA: [mark just the first choice that is true]:</v>
      </c>
      <c r="D20" s="232"/>
      <c r="E20" s="365"/>
      <c r="F20" s="737"/>
      <c r="G20" s="537" t="str">
        <f>IF((F24=1),1,"")</f>
        <v/>
      </c>
      <c r="H20" s="2148" t="s">
        <v>2369</v>
      </c>
      <c r="I20" s="2148" t="s">
        <v>2082</v>
      </c>
    </row>
    <row r="21" spans="1:11" ht="28.2" customHeight="1">
      <c r="A21" s="2151"/>
      <c r="B21" s="2146"/>
      <c r="C21" s="30" t="str">
        <f>OF!C137</f>
        <v xml:space="preserve">is known to support Atlantic salmon rearing and/or spawning.  In NB, consult Figure A-2 in Appendix A of the Manual, or local fishery biologists. </v>
      </c>
      <c r="D21" s="256">
        <f>OF!D137</f>
        <v>0</v>
      </c>
      <c r="E21" s="361">
        <v>0</v>
      </c>
      <c r="F21" s="361">
        <f>D21*E21</f>
        <v>0</v>
      </c>
      <c r="G21" s="629"/>
      <c r="H21" s="2146"/>
      <c r="I21" s="2146"/>
    </row>
    <row r="22" spans="1:11" ht="27" customHeight="1">
      <c r="A22" s="2151"/>
      <c r="B22" s="2146"/>
      <c r="C22" s="6" t="str">
        <f>OF!C138</f>
        <v xml:space="preserve">is connected to nearby waters containing Atlantic salmon and is probably salmon-accessible during some conditions, but anadromous salmon have not been documented in the AA. </v>
      </c>
      <c r="D22" s="247">
        <f>OF!D138</f>
        <v>0</v>
      </c>
      <c r="E22" s="361">
        <v>0</v>
      </c>
      <c r="F22" s="361">
        <f>D22*E22</f>
        <v>0</v>
      </c>
      <c r="G22" s="630"/>
      <c r="H22" s="2146"/>
      <c r="I22" s="2146"/>
    </row>
    <row r="23" spans="1:11" ht="27" customHeight="1">
      <c r="A23" s="2151"/>
      <c r="B23" s="2146"/>
      <c r="C23" s="6" t="str">
        <f>OF!C139</f>
        <v>is not connected to nearby salmon waters, but is known or likely to have other fish at least seasonally.  In NB: includes but not limited to:  http://www2.gnb.ca/content/gnb/en/departments/natural_resources/fish/content/StockedWaters.html</v>
      </c>
      <c r="D23" s="247">
        <f>OF!D139</f>
        <v>0</v>
      </c>
      <c r="E23" s="361">
        <v>0</v>
      </c>
      <c r="F23" s="361">
        <f>D23*E23</f>
        <v>0</v>
      </c>
      <c r="G23" s="630"/>
      <c r="H23" s="2146"/>
      <c r="I23" s="2146"/>
    </row>
    <row r="24" spans="1:11" ht="15" customHeight="1" thickBot="1">
      <c r="A24" s="2151"/>
      <c r="B24" s="2146"/>
      <c r="C24" s="6" t="str">
        <f>OF!C140</f>
        <v xml:space="preserve">is known or likely to be fishless (e.g., too small, dry, and/or not accessible even temporarily). </v>
      </c>
      <c r="D24" s="247">
        <f>OF!D140</f>
        <v>0</v>
      </c>
      <c r="E24" s="361">
        <v>1</v>
      </c>
      <c r="F24" s="361">
        <f>D24*E24</f>
        <v>0</v>
      </c>
      <c r="G24" s="630"/>
      <c r="H24" s="2146"/>
      <c r="I24" s="2149"/>
    </row>
    <row r="25" spans="1:11" ht="87" customHeight="1" thickBot="1">
      <c r="A25" s="624" t="str">
        <f>OF!A154</f>
        <v>OF38</v>
      </c>
      <c r="B25" s="243" t="str">
        <f>OF!B154</f>
        <v>Calcareous Region</v>
      </c>
      <c r="C25" s="724" t="str">
        <f>OF!C154</f>
        <v>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 If no map coverage, change to blank. In NB: see Figure A-6 in Appendix A of the Manual, or use GIS with Bedrock Geology shapefile at http://www.snb.ca/geonb1/e/DC/catalogue-E.asp</v>
      </c>
      <c r="D25" s="298">
        <f>IF((OF!D154=""),"",OF!D154)</f>
        <v>0</v>
      </c>
      <c r="E25" s="237"/>
      <c r="F25" s="373"/>
      <c r="G25" s="743" t="str">
        <f>IF((D25=""),"", IF((D25=0),"",D25/3))</f>
        <v/>
      </c>
      <c r="H25" s="81" t="s">
        <v>2114</v>
      </c>
      <c r="I25" s="5" t="s">
        <v>285</v>
      </c>
    </row>
    <row r="26" spans="1:11" s="8" customFormat="1" ht="21" customHeight="1" thickBot="1">
      <c r="A26" s="2389" t="str">
        <f>F!A4</f>
        <v>F1</v>
      </c>
      <c r="B26" s="2148" t="str">
        <f>F!B4</f>
        <v>Wetland Type</v>
      </c>
      <c r="C26" s="400" t="str">
        <f>F!C4</f>
        <v>The vegetated part of the Assessment Area (AA) is mostly a (select ONE):</v>
      </c>
      <c r="D26" s="232"/>
      <c r="E26" s="379"/>
      <c r="F26" s="695"/>
      <c r="G26" s="538">
        <f>MAX(F27:F30)/MAX(E27:E30)</f>
        <v>0</v>
      </c>
      <c r="H26" s="2146" t="s">
        <v>1827</v>
      </c>
      <c r="I26" s="2148" t="s">
        <v>181</v>
      </c>
      <c r="K26" s="163"/>
    </row>
    <row r="27" spans="1:11" s="8" customFormat="1" ht="57" customHeight="1">
      <c r="A27" s="2390"/>
      <c r="B27" s="2146"/>
      <c r="C27" s="660"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27" s="354">
        <f>F!D5</f>
        <v>0</v>
      </c>
      <c r="E27" s="377">
        <v>0</v>
      </c>
      <c r="F27" s="361">
        <f>D27*E27</f>
        <v>0</v>
      </c>
      <c r="G27" s="695"/>
      <c r="H27" s="2146"/>
      <c r="I27" s="2146"/>
      <c r="K27" s="163"/>
    </row>
    <row r="28" spans="1:11" s="8" customFormat="1" ht="57" customHeight="1">
      <c r="A28" s="2390"/>
      <c r="B28" s="2146"/>
      <c r="C28" s="659"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28" s="254">
        <f>F!D6</f>
        <v>0</v>
      </c>
      <c r="E28" s="377">
        <v>1</v>
      </c>
      <c r="F28" s="361">
        <f>D28*E28</f>
        <v>0</v>
      </c>
      <c r="G28" s="695"/>
      <c r="H28" s="2146"/>
      <c r="I28" s="2146"/>
      <c r="K28" s="163"/>
    </row>
    <row r="29" spans="1:11" s="8" customFormat="1" ht="69" customHeight="1">
      <c r="A29" s="2390"/>
      <c r="B29" s="2146"/>
      <c r="C29" s="659"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29" s="254">
        <f>F!D7</f>
        <v>0</v>
      </c>
      <c r="E29" s="377">
        <v>2</v>
      </c>
      <c r="F29" s="361">
        <f>D29*E29</f>
        <v>0</v>
      </c>
      <c r="G29" s="695"/>
      <c r="H29" s="2146"/>
      <c r="I29" s="2146"/>
      <c r="K29" s="163"/>
    </row>
    <row r="30" spans="1:11" s="8" customFormat="1" ht="69" customHeight="1" thickBot="1">
      <c r="A30" s="2391"/>
      <c r="B30" s="2146"/>
      <c r="C30" s="659"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30" s="254">
        <f>F!D8</f>
        <v>0</v>
      </c>
      <c r="E30" s="530">
        <v>3</v>
      </c>
      <c r="F30" s="364">
        <f>D30*E30</f>
        <v>0</v>
      </c>
      <c r="G30" s="1174"/>
      <c r="H30" s="2146"/>
      <c r="I30" s="2149"/>
      <c r="K30" s="163"/>
    </row>
    <row r="31" spans="1:11" s="8" customFormat="1" ht="60" customHeight="1" thickBot="1">
      <c r="A31" s="2360" t="str">
        <f>F!A9</f>
        <v>F2</v>
      </c>
      <c r="B31" s="2148" t="str">
        <f>F!B9</f>
        <v xml:space="preserve">Wetland Types - Adjoining or Subordinate </v>
      </c>
      <c r="C31" s="81" t="str">
        <f>F!C9</f>
        <v>Mark all other vegetated wetland types you can see (from ground or in aerial imagery) that adjoin the AA or are within it, but only if visible during your visit or from aerial imagery, AND either they are larger than 1 hectare OR comprise more than 1% of contiguous wetland. Do not mark the predominant type again.</v>
      </c>
      <c r="D31" s="376"/>
      <c r="E31" s="365"/>
      <c r="F31" s="365"/>
      <c r="G31" s="665">
        <f>SUM(D32:D35)/4</f>
        <v>0</v>
      </c>
      <c r="H31" s="2491" t="s">
        <v>2112</v>
      </c>
      <c r="I31" s="2148" t="s">
        <v>2111</v>
      </c>
      <c r="K31" s="163"/>
    </row>
    <row r="32" spans="1:11" s="8" customFormat="1" ht="15" customHeight="1">
      <c r="A32" s="2651"/>
      <c r="B32" s="2146"/>
      <c r="C32" s="1728" t="str">
        <f>F!C10</f>
        <v>Swamp (with or without vernal pools)</v>
      </c>
      <c r="D32" s="247">
        <f>F!D10</f>
        <v>0</v>
      </c>
      <c r="E32" s="361"/>
      <c r="F32" s="361"/>
      <c r="G32" s="744"/>
      <c r="H32" s="2492"/>
      <c r="I32" s="2146"/>
      <c r="K32" s="163"/>
    </row>
    <row r="33" spans="1:11" s="8" customFormat="1" ht="15" customHeight="1">
      <c r="A33" s="2651"/>
      <c r="B33" s="2146"/>
      <c r="C33" s="1409" t="str">
        <f>F!C11</f>
        <v>Bog</v>
      </c>
      <c r="D33" s="247">
        <f>F!D11</f>
        <v>0</v>
      </c>
      <c r="E33" s="361"/>
      <c r="F33" s="361"/>
      <c r="G33" s="744"/>
      <c r="H33" s="2492"/>
      <c r="I33" s="2146"/>
      <c r="K33" s="163"/>
    </row>
    <row r="34" spans="1:11" s="8" customFormat="1" ht="15" customHeight="1">
      <c r="A34" s="2651"/>
      <c r="B34" s="2146"/>
      <c r="C34" s="1409" t="str">
        <f>F!C12</f>
        <v>Fen</v>
      </c>
      <c r="D34" s="247">
        <f>F!D12</f>
        <v>0</v>
      </c>
      <c r="E34" s="361"/>
      <c r="F34" s="361"/>
      <c r="G34" s="744"/>
      <c r="H34" s="2492"/>
      <c r="I34" s="2146"/>
      <c r="K34" s="163"/>
    </row>
    <row r="35" spans="1:11" s="8" customFormat="1" ht="15" customHeight="1" thickBot="1">
      <c r="A35" s="2652"/>
      <c r="B35" s="2149"/>
      <c r="C35" s="1410" t="str">
        <f>F!C13</f>
        <v>Marsh</v>
      </c>
      <c r="D35" s="248">
        <f>F!D13</f>
        <v>0</v>
      </c>
      <c r="E35" s="362"/>
      <c r="F35" s="362"/>
      <c r="G35" s="745"/>
      <c r="H35" s="2493"/>
      <c r="I35" s="2149"/>
      <c r="K35" s="163"/>
    </row>
    <row r="36" spans="1:11" ht="60" customHeight="1" thickBot="1">
      <c r="A36" s="1403" t="str">
        <f>F!A14</f>
        <v>F3</v>
      </c>
      <c r="B36" s="1403" t="str">
        <f>F!B14</f>
        <v>Woody Height &amp; Form Diversity</v>
      </c>
      <c r="C36" s="1403" t="str">
        <f>F!C14</f>
        <v xml:space="preserve">Following EACH row below, indicate with a number code (6 if &gt;95%, 5 if 75-95%, 4 if 50-75%, 3 if 25-50%, 2 if 5-25%, 1 if &lt;5%, 0 if none) the percentage of the vegetated AA occupied by that feature. If ALL are marked 0 or 1, SKIP to F9 (N fixers). </v>
      </c>
      <c r="D36" s="1045">
        <f>MAX(F!D16, F!D18, F!D20)/6</f>
        <v>0</v>
      </c>
      <c r="E36" s="360"/>
      <c r="F36" s="360"/>
      <c r="G36" s="538" t="str">
        <f>IF((SUM(F!D15:D18)=0),"", D36)</f>
        <v/>
      </c>
      <c r="H36" s="1400" t="s">
        <v>2113</v>
      </c>
      <c r="I36" s="5" t="s">
        <v>1335</v>
      </c>
    </row>
    <row r="37" spans="1:11" s="8" customFormat="1" ht="30" customHeight="1" thickBot="1">
      <c r="A37" s="2148" t="str">
        <f>F!A30</f>
        <v>F5</v>
      </c>
      <c r="B37" s="2148" t="str">
        <f>F!B30</f>
        <v>Height Class Interspersion</v>
      </c>
      <c r="C37" s="5" t="str">
        <f>F!C30</f>
        <v>In aerial ("duck's eye") view, the following best represents the distribution pattern of vegetation taller than 1 m  VS. shorter than 1 m:</v>
      </c>
      <c r="D37" s="1175"/>
      <c r="E37" s="365"/>
      <c r="F37" s="365"/>
      <c r="G37" s="538" t="str">
        <f>IF((SUM(F!D15:D18)=0),"", MAX(F38:F41)/MAX(E38:E41))</f>
        <v/>
      </c>
      <c r="H37" s="2148" t="s">
        <v>1976</v>
      </c>
      <c r="I37" s="2148" t="s">
        <v>1966</v>
      </c>
      <c r="K37" s="163"/>
    </row>
    <row r="38" spans="1:11" s="8" customFormat="1" ht="42" customHeight="1">
      <c r="A38" s="2146"/>
      <c r="B38" s="2146"/>
      <c r="C38" s="30" t="str">
        <f>F!C31</f>
        <v xml:space="preserve">Taller vegetation (&gt;1m height) comprises 30-70% of the vegetated part of the AA and shorter vegetation (&lt;1m height) is scattered widely amid the taller. OR Shorter vegetation comprises 30-70% of the vegetated part of the AA, AND taller vegetation is scattered widely amid the shorter. </v>
      </c>
      <c r="D38" s="247">
        <f>F!D31</f>
        <v>0</v>
      </c>
      <c r="E38" s="361">
        <v>3</v>
      </c>
      <c r="F38" s="364">
        <f>D38*E38</f>
        <v>0</v>
      </c>
      <c r="G38" s="386"/>
      <c r="H38" s="2146"/>
      <c r="I38" s="2146"/>
      <c r="K38" s="163"/>
    </row>
    <row r="39" spans="1:11" s="8" customFormat="1" ht="57" customHeight="1">
      <c r="A39" s="2146"/>
      <c r="B39" s="2146"/>
      <c r="C39" s="1679" t="str">
        <f>F!C32</f>
        <v xml:space="preserve">Taller vegetation comprises 30-70% of the vegetated part of the AA and shorter vegetation is mainly segregated in zones or proportionately large clumps, not scattered widely amid the taller. OR Shorter vegetation comprises 30-70% of the vegetated part of the AA and taller vegetation is mainly in zones or proportionately large clumps, not scattered widely amid the taller. </v>
      </c>
      <c r="D39" s="247">
        <f>F!D32</f>
        <v>0</v>
      </c>
      <c r="E39" s="361">
        <v>2</v>
      </c>
      <c r="F39" s="364">
        <f>D39*E39</f>
        <v>0</v>
      </c>
      <c r="G39" s="386"/>
      <c r="H39" s="2146"/>
      <c r="I39" s="2146"/>
      <c r="K39" s="163"/>
    </row>
    <row r="40" spans="1:11" s="8" customFormat="1" ht="42" customHeight="1">
      <c r="A40" s="2146"/>
      <c r="B40" s="2146"/>
      <c r="C40" s="1679" t="str">
        <f>F!C33</f>
        <v xml:space="preserve">Taller vegetation comprises &gt;70% of the vegetated part of the AA and shorter vegetation is scattered widely amid the taller. OR Shorter vegetation comprises &gt;70% of the vegetated part of the AA, AND taller vegetation (if any) is scattered widely amid the shorter. </v>
      </c>
      <c r="D40" s="247">
        <f>F!D33</f>
        <v>0</v>
      </c>
      <c r="E40" s="361">
        <v>1</v>
      </c>
      <c r="F40" s="364">
        <f>D40*E40</f>
        <v>0</v>
      </c>
      <c r="G40" s="386"/>
      <c r="H40" s="2146"/>
      <c r="I40" s="2146"/>
      <c r="K40" s="163"/>
    </row>
    <row r="41" spans="1:11" s="8" customFormat="1" ht="57" customHeight="1" thickBot="1">
      <c r="A41" s="2149"/>
      <c r="B41" s="2149"/>
      <c r="C41" s="1396" t="str">
        <f>F!C34</f>
        <v xml:space="preserve">Taller vegetation comprises &gt;70% of the vegetated part of the AA and shorter vegetation is absent or is mainly segregated in zones or proportionately large clumps, not scattered widely amid the taller. OR Shorter vegetation comprises &gt;70% of the vegetated part of the AA and taller vegetation is absent or is mainly in zones or proportionately large clumps, not scattered widely amid the taller. </v>
      </c>
      <c r="D41" s="248">
        <f>F!D34</f>
        <v>0</v>
      </c>
      <c r="E41" s="362">
        <v>0</v>
      </c>
      <c r="F41" s="362">
        <f>D41*E41</f>
        <v>0</v>
      </c>
      <c r="G41" s="390"/>
      <c r="H41" s="2149"/>
      <c r="I41" s="2149"/>
      <c r="K41" s="163"/>
    </row>
    <row r="42" spans="1:11" ht="36" customHeight="1" thickBot="1">
      <c r="A42" s="2151" t="str">
        <f>F!A39</f>
        <v>F7</v>
      </c>
      <c r="B42" s="2146" t="str">
        <f>F!B39</f>
        <v>Downed Wood</v>
      </c>
      <c r="C42" s="658" t="str">
        <f>F!C39</f>
        <v>The number of downed wood pieces longer than 2 m and with diameter &gt;10 cm, and not persistently submerged, is:</v>
      </c>
      <c r="D42" s="232"/>
      <c r="E42" s="360"/>
      <c r="F42" s="363"/>
      <c r="G42" s="538" t="str">
        <f>IF((SUM(F!D15:D18)=0),"", IF((D43=1),1,""))</f>
        <v/>
      </c>
      <c r="H42" s="2211" t="s">
        <v>1972</v>
      </c>
      <c r="I42" s="2148" t="s">
        <v>192</v>
      </c>
    </row>
    <row r="43" spans="1:11" ht="18" customHeight="1">
      <c r="A43" s="2180"/>
      <c r="B43" s="2213"/>
      <c r="C43" s="30" t="str">
        <f>F!C40</f>
        <v>Several (&gt;5 if AA is &gt;5 hectares, less for smaller AAs) meet these criteria.</v>
      </c>
      <c r="D43" s="256">
        <f>F!D40</f>
        <v>0</v>
      </c>
      <c r="E43" s="361">
        <v>1</v>
      </c>
      <c r="F43" s="361">
        <f>D43*E43</f>
        <v>0</v>
      </c>
      <c r="G43" s="629"/>
      <c r="H43" s="2208"/>
      <c r="I43" s="2146"/>
    </row>
    <row r="44" spans="1:11" ht="18" customHeight="1" thickBot="1">
      <c r="A44" s="2187"/>
      <c r="B44" s="2377"/>
      <c r="C44" s="194" t="str">
        <f>F!C41</f>
        <v>Few or none that meet these criteria.</v>
      </c>
      <c r="D44" s="248">
        <f>F!D41</f>
        <v>0</v>
      </c>
      <c r="E44" s="362">
        <v>0</v>
      </c>
      <c r="F44" s="362">
        <f>D44*E44</f>
        <v>0</v>
      </c>
      <c r="G44" s="631"/>
      <c r="H44" s="2210"/>
      <c r="I44" s="2149"/>
    </row>
    <row r="45" spans="1:11" ht="21" customHeight="1" thickBot="1">
      <c r="A45" s="2150" t="str">
        <f>F!A45</f>
        <v>F9</v>
      </c>
      <c r="B45" s="2148" t="str">
        <f>F!B45</f>
        <v>N Fixers</v>
      </c>
      <c r="C45" s="123" t="s">
        <v>1609</v>
      </c>
      <c r="D45" s="1748"/>
      <c r="E45" s="365"/>
      <c r="F45" s="366"/>
      <c r="G45" s="537">
        <f>MAX(F46:F50)/MAX(E46:E50)</f>
        <v>0</v>
      </c>
      <c r="H45" s="2218" t="s">
        <v>804</v>
      </c>
      <c r="I45" s="2148" t="s">
        <v>191</v>
      </c>
    </row>
    <row r="46" spans="1:11" ht="15" customHeight="1">
      <c r="A46" s="2180"/>
      <c r="B46" s="2213"/>
      <c r="C46" s="440" t="s">
        <v>1610</v>
      </c>
      <c r="D46" s="256">
        <f>F!D46</f>
        <v>0</v>
      </c>
      <c r="E46" s="361">
        <v>0</v>
      </c>
      <c r="F46" s="361">
        <f>D46*E46</f>
        <v>0</v>
      </c>
      <c r="G46" s="629"/>
      <c r="H46" s="2211"/>
      <c r="I46" s="2146"/>
    </row>
    <row r="47" spans="1:11" ht="27" customHeight="1">
      <c r="A47" s="2180"/>
      <c r="B47" s="2213"/>
      <c r="C47" s="1077" t="s">
        <v>1828</v>
      </c>
      <c r="D47" s="247">
        <f>F!D47</f>
        <v>0</v>
      </c>
      <c r="E47" s="361">
        <v>1</v>
      </c>
      <c r="F47" s="361">
        <f>D47*E47</f>
        <v>0</v>
      </c>
      <c r="G47" s="630"/>
      <c r="H47" s="2211"/>
      <c r="I47" s="2146"/>
    </row>
    <row r="48" spans="1:11" ht="27" customHeight="1">
      <c r="A48" s="2180"/>
      <c r="B48" s="2213"/>
      <c r="C48" s="1077" t="s">
        <v>1829</v>
      </c>
      <c r="D48" s="247">
        <f>F!D48</f>
        <v>0</v>
      </c>
      <c r="E48" s="361">
        <v>2</v>
      </c>
      <c r="F48" s="361">
        <f>D48*E48</f>
        <v>0</v>
      </c>
      <c r="G48" s="630"/>
      <c r="H48" s="2211"/>
      <c r="I48" s="2146"/>
    </row>
    <row r="49" spans="1:11" ht="27" customHeight="1">
      <c r="A49" s="2180"/>
      <c r="B49" s="2213"/>
      <c r="C49" s="1077" t="s">
        <v>1830</v>
      </c>
      <c r="D49" s="247">
        <f>F!D49</f>
        <v>0</v>
      </c>
      <c r="E49" s="361">
        <v>3</v>
      </c>
      <c r="F49" s="361">
        <f>D49*E49</f>
        <v>0</v>
      </c>
      <c r="G49" s="630"/>
      <c r="H49" s="2211"/>
      <c r="I49" s="2146"/>
    </row>
    <row r="50" spans="1:11" ht="27" customHeight="1" thickBot="1">
      <c r="A50" s="2187"/>
      <c r="B50" s="2377"/>
      <c r="C50" s="441" t="s">
        <v>1831</v>
      </c>
      <c r="D50" s="248">
        <f>F!D50</f>
        <v>0</v>
      </c>
      <c r="E50" s="362">
        <v>4</v>
      </c>
      <c r="F50" s="362">
        <f>D50*E50</f>
        <v>0</v>
      </c>
      <c r="G50" s="631"/>
      <c r="H50" s="2420"/>
      <c r="I50" s="2149"/>
    </row>
    <row r="51" spans="1:11" ht="30" customHeight="1" thickBot="1">
      <c r="A51" s="2151" t="str">
        <f>F!A57</f>
        <v>F11</v>
      </c>
      <c r="B51" s="2146" t="str">
        <f>F!B57</f>
        <v>% Bare Ground &amp; Thatch</v>
      </c>
      <c r="C51" s="1118" t="str">
        <f>F!C57</f>
        <v>Consider the parts of the AA that lack surface water at the driest time of the growing season. Viewed from directly above the ground layer, the predominant condition in those areas at that time is:</v>
      </c>
      <c r="D51" s="83"/>
      <c r="E51" s="360"/>
      <c r="F51" s="363"/>
      <c r="G51" s="538">
        <f>MAX(F52:F55)/MAX(E52:E55)</f>
        <v>0</v>
      </c>
      <c r="H51" s="2211" t="s">
        <v>24</v>
      </c>
      <c r="I51" s="2146" t="s">
        <v>193</v>
      </c>
    </row>
    <row r="52" spans="1:11" ht="42" customHeight="1">
      <c r="A52" s="2180"/>
      <c r="B52" s="2213"/>
      <c r="C52" s="30" t="str">
        <f>F!C58</f>
        <v>Little or no (&lt;5%) bare ground is visible between erect stems or under canopy anywhere in the vegetated AA. Ground is extensively blanketed by dense thatch, moss, lichens, graminoids with great stem densities, or plants with ground-hugging foliage. </v>
      </c>
      <c r="D52" s="256">
        <f>F!D58</f>
        <v>0</v>
      </c>
      <c r="E52" s="361">
        <v>3</v>
      </c>
      <c r="F52" s="361">
        <f>D52*E52</f>
        <v>0</v>
      </c>
      <c r="G52" s="629"/>
      <c r="H52" s="2208"/>
      <c r="I52" s="2146"/>
    </row>
    <row r="53" spans="1:11" ht="27" customHeight="1">
      <c r="A53" s="2180"/>
      <c r="B53" s="2213"/>
      <c r="C53" s="6" t="str">
        <f>F!C59</f>
        <v>Slightly bare ground (5-20% bare between plants) is visible in places, but those areas comprise less than 5% of the unflooded parts of the AA.</v>
      </c>
      <c r="D53" s="247">
        <f>F!D59</f>
        <v>0</v>
      </c>
      <c r="E53" s="361">
        <v>2</v>
      </c>
      <c r="F53" s="361">
        <f>D53*E53</f>
        <v>0</v>
      </c>
      <c r="G53" s="630"/>
      <c r="H53" s="2208"/>
      <c r="I53" s="2146"/>
    </row>
    <row r="54" spans="1:11" ht="27" customHeight="1">
      <c r="A54" s="2180"/>
      <c r="B54" s="2213"/>
      <c r="C54" s="6" t="str">
        <f>F!C60</f>
        <v>Much bare ground (20-50% bare between plants) is visible in places, and those areas comprise more than 5% of the unflooded parts of the AA. </v>
      </c>
      <c r="D54" s="247">
        <f>F!D60</f>
        <v>0</v>
      </c>
      <c r="E54" s="361">
        <v>1</v>
      </c>
      <c r="F54" s="361">
        <f>D54*E54</f>
        <v>0</v>
      </c>
      <c r="G54" s="630"/>
      <c r="H54" s="2208"/>
      <c r="I54" s="2146"/>
    </row>
    <row r="55" spans="1:11" ht="15" customHeight="1" thickBot="1">
      <c r="A55" s="2187"/>
      <c r="B55" s="2377"/>
      <c r="C55" s="194" t="str">
        <f>F!C61</f>
        <v>Other conditions.</v>
      </c>
      <c r="D55" s="248">
        <f>F!D61</f>
        <v>0</v>
      </c>
      <c r="E55" s="362">
        <v>0</v>
      </c>
      <c r="F55" s="362">
        <f>D55*E55</f>
        <v>0</v>
      </c>
      <c r="G55" s="631"/>
      <c r="H55" s="2210"/>
      <c r="I55" s="2149"/>
    </row>
    <row r="56" spans="1:11" ht="60" customHeight="1" thickBot="1">
      <c r="A56" s="2361" t="str">
        <f>F!A63</f>
        <v>F12</v>
      </c>
      <c r="B56" s="2146" t="str">
        <f>F!B63</f>
        <v xml:space="preserve">Ground Irregularity </v>
      </c>
      <c r="C56" s="658"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56" s="232"/>
      <c r="E56" s="360"/>
      <c r="F56" s="363"/>
      <c r="G56" s="538">
        <f>MAX(F57:F59)/MAX(E57:E59)</f>
        <v>0</v>
      </c>
      <c r="H56" s="2211" t="s">
        <v>104</v>
      </c>
      <c r="I56" s="2148" t="s">
        <v>194</v>
      </c>
    </row>
    <row r="57" spans="1:11" ht="15" customHeight="1">
      <c r="A57" s="2388"/>
      <c r="B57" s="2213"/>
      <c r="C57" s="30" t="str">
        <f>F!C64</f>
        <v>Few or none (minimal microtopography; &lt;1% has such features).</v>
      </c>
      <c r="D57" s="256">
        <f>F!D64</f>
        <v>0</v>
      </c>
      <c r="E57" s="361">
        <v>0</v>
      </c>
      <c r="F57" s="361">
        <f>D57*E57</f>
        <v>0</v>
      </c>
      <c r="G57" s="629"/>
      <c r="H57" s="2208"/>
      <c r="I57" s="2146"/>
    </row>
    <row r="58" spans="1:11" ht="15" customHeight="1">
      <c r="A58" s="2388"/>
      <c r="B58" s="2213"/>
      <c r="C58" s="6" t="str">
        <f>F!C65</f>
        <v>Intermediate.</v>
      </c>
      <c r="D58" s="247">
        <f>F!D65</f>
        <v>0</v>
      </c>
      <c r="E58" s="361">
        <v>1</v>
      </c>
      <c r="F58" s="361">
        <f>D58*E58</f>
        <v>0</v>
      </c>
      <c r="G58" s="630"/>
      <c r="H58" s="2208"/>
      <c r="I58" s="2146"/>
    </row>
    <row r="59" spans="1:11" ht="15" customHeight="1" thickBot="1">
      <c r="A59" s="2388"/>
      <c r="B59" s="2213"/>
      <c r="C59" s="437" t="str">
        <f>F!C66</f>
        <v>Several (extensive micro-topography).</v>
      </c>
      <c r="D59" s="254">
        <f>F!D66</f>
        <v>0</v>
      </c>
      <c r="E59" s="364">
        <v>2</v>
      </c>
      <c r="F59" s="364">
        <f>D59*E59</f>
        <v>0</v>
      </c>
      <c r="G59" s="639"/>
      <c r="H59" s="2208"/>
      <c r="I59" s="2149"/>
    </row>
    <row r="60" spans="1:11" ht="30" customHeight="1" thickBot="1">
      <c r="A60" s="2155" t="str">
        <f>F!A99</f>
        <v>F19</v>
      </c>
      <c r="B60" s="2593" t="str">
        <f>F!B99</f>
        <v xml:space="preserve">Dominance of Most Abundant Herbaceous Species </v>
      </c>
      <c r="C60" s="532" t="str">
        <f>F!C99</f>
        <v>Determine which two native herbaceous (forb and graminoid) species comprise the greatest portion of the herbaceous cover that is unshaded by a woody canopy. Then choose one of the following:</v>
      </c>
      <c r="D60" s="232"/>
      <c r="E60" s="365"/>
      <c r="F60" s="366"/>
      <c r="G60" s="537">
        <f>IF((NoHerbCov=1),"", MAX(F61:F62)/MAX(E61:E62))</f>
        <v>0</v>
      </c>
      <c r="H60" s="2148" t="s">
        <v>2314</v>
      </c>
      <c r="I60" s="2148" t="s">
        <v>1199</v>
      </c>
    </row>
    <row r="61" spans="1:11" ht="27" customHeight="1">
      <c r="A61" s="2145"/>
      <c r="B61" s="2432"/>
      <c r="C61" s="533" t="str">
        <f>F!C100</f>
        <v>those species together comprise &gt; 50% of the areal cover of native herbaceous plants at any time during the year.</v>
      </c>
      <c r="D61" s="258">
        <f>F!D100</f>
        <v>0</v>
      </c>
      <c r="E61" s="361">
        <v>0</v>
      </c>
      <c r="F61" s="364">
        <f>D61*E61</f>
        <v>0</v>
      </c>
      <c r="G61" s="629"/>
      <c r="H61" s="2146"/>
      <c r="I61" s="2146"/>
    </row>
    <row r="62" spans="1:11" ht="27" customHeight="1" thickBot="1">
      <c r="A62" s="2163"/>
      <c r="B62" s="2594"/>
      <c r="C62" s="668" t="str">
        <f>F!C101</f>
        <v>those species together do not comprise &gt; 50% of the areal cover of native herbaceous plants at any time during the year.</v>
      </c>
      <c r="D62" s="285">
        <f>F!D101</f>
        <v>0</v>
      </c>
      <c r="E62" s="362">
        <v>1</v>
      </c>
      <c r="F62" s="362">
        <f>D62*E62</f>
        <v>0</v>
      </c>
      <c r="G62" s="631"/>
      <c r="H62" s="2149"/>
      <c r="I62" s="2149"/>
    </row>
    <row r="63" spans="1:11" s="8" customFormat="1" ht="30" customHeight="1" thickBot="1">
      <c r="A63" s="2151" t="str">
        <f>F!A115</f>
        <v>F24</v>
      </c>
      <c r="B63" s="2146" t="str">
        <f>F!B115</f>
        <v>% of AA Without Surface Water</v>
      </c>
      <c r="C63" s="1119" t="str">
        <f>F!C115</f>
        <v>The percentage of the AA that never contains surface water during an average year (that is, except perhaps for a few hours after snowmelt or rainstorms), but which is still a wetland, is:</v>
      </c>
      <c r="D63" s="83"/>
      <c r="E63" s="379"/>
      <c r="F63" s="360"/>
      <c r="G63" s="506">
        <f>MAX(F64:F69)/MAX(E64:E69)</f>
        <v>0</v>
      </c>
      <c r="H63" s="2146" t="s">
        <v>1144</v>
      </c>
      <c r="I63" s="2148" t="s">
        <v>793</v>
      </c>
      <c r="K63" s="163"/>
    </row>
    <row r="64" spans="1:11" s="8" customFormat="1" ht="27" customHeight="1">
      <c r="A64" s="2151"/>
      <c r="B64" s="2146"/>
      <c r="C64" s="120" t="str">
        <f>F!C116</f>
        <v xml:space="preserve">&lt;1% AND &lt;0.01 hectare (about 10 m on a side) never has surface water. In other words, all or nearly all of the AA is covered by water permanently or at least seasonally.  </v>
      </c>
      <c r="D64" s="279">
        <f>F!D116</f>
        <v>0</v>
      </c>
      <c r="E64" s="361">
        <v>5</v>
      </c>
      <c r="F64" s="361">
        <f t="shared" ref="F64:F69" si="1">D64*E64</f>
        <v>0</v>
      </c>
      <c r="G64" s="386"/>
      <c r="H64" s="2146"/>
      <c r="I64" s="2146"/>
      <c r="K64" s="163"/>
    </row>
    <row r="65" spans="1:11" s="8" customFormat="1" ht="15" customHeight="1">
      <c r="A65" s="2151"/>
      <c r="B65" s="2146"/>
      <c r="C65" s="120" t="str">
        <f>F!C117</f>
        <v>1-25% of the AA,  or &lt;1% but &gt;0.01 ha, never contains surface water.</v>
      </c>
      <c r="D65" s="279">
        <f>F!D117</f>
        <v>0</v>
      </c>
      <c r="E65" s="361">
        <v>6</v>
      </c>
      <c r="F65" s="361">
        <f t="shared" si="1"/>
        <v>0</v>
      </c>
      <c r="G65" s="386"/>
      <c r="H65" s="2146"/>
      <c r="I65" s="2146"/>
      <c r="K65" s="163"/>
    </row>
    <row r="66" spans="1:11" s="8" customFormat="1" ht="15" customHeight="1">
      <c r="A66" s="2151"/>
      <c r="B66" s="2146"/>
      <c r="C66" s="120" t="str">
        <f>F!C118</f>
        <v>25-50% of the AA never contains surface water.</v>
      </c>
      <c r="D66" s="279">
        <f>F!D118</f>
        <v>0</v>
      </c>
      <c r="E66" s="361">
        <v>4</v>
      </c>
      <c r="F66" s="361">
        <f t="shared" si="1"/>
        <v>0</v>
      </c>
      <c r="G66" s="386"/>
      <c r="H66" s="2146"/>
      <c r="I66" s="2146"/>
      <c r="K66" s="163"/>
    </row>
    <row r="67" spans="1:11" s="8" customFormat="1" ht="15" customHeight="1">
      <c r="A67" s="2151"/>
      <c r="B67" s="2146"/>
      <c r="C67" s="120" t="str">
        <f>F!C119</f>
        <v>50-75% of the AA never contains surface water.</v>
      </c>
      <c r="D67" s="279">
        <f>F!D119</f>
        <v>0</v>
      </c>
      <c r="E67" s="361">
        <v>3</v>
      </c>
      <c r="F67" s="361">
        <f t="shared" si="1"/>
        <v>0</v>
      </c>
      <c r="G67" s="386"/>
      <c r="H67" s="2146"/>
      <c r="I67" s="2146"/>
      <c r="K67" s="163"/>
    </row>
    <row r="68" spans="1:11" s="8" customFormat="1" ht="15" customHeight="1">
      <c r="A68" s="2151"/>
      <c r="B68" s="2146"/>
      <c r="C68" s="120" t="str">
        <f>F!C120</f>
        <v>75-99% of the AA never contains surface water.</v>
      </c>
      <c r="D68" s="279">
        <f>F!D120</f>
        <v>0</v>
      </c>
      <c r="E68" s="361">
        <v>2</v>
      </c>
      <c r="F68" s="361">
        <f t="shared" si="1"/>
        <v>0</v>
      </c>
      <c r="G68" s="386"/>
      <c r="H68" s="2146"/>
      <c r="I68" s="2146"/>
      <c r="K68" s="163"/>
    </row>
    <row r="69" spans="1:11" s="8" customFormat="1" ht="27" customHeight="1" thickBot="1">
      <c r="A69" s="2151"/>
      <c r="B69" s="2146"/>
      <c r="C69" s="23" t="str">
        <f>F!C121</f>
        <v>100%. True for many bogs, meadow marshes, swamps that lack vernal pools.  Enter "1" and SKIP to F42 (Channel Connection).</v>
      </c>
      <c r="D69" s="1078">
        <f>F!D121</f>
        <v>0</v>
      </c>
      <c r="E69" s="364">
        <v>1</v>
      </c>
      <c r="F69" s="364">
        <f t="shared" si="1"/>
        <v>0</v>
      </c>
      <c r="G69" s="388"/>
      <c r="H69" s="2146"/>
      <c r="I69" s="2149"/>
      <c r="K69" s="163"/>
    </row>
    <row r="70" spans="1:11" s="7" customFormat="1" ht="45" customHeight="1" thickBot="1">
      <c r="A70" s="2150" t="str">
        <f>F!A122</f>
        <v>F25</v>
      </c>
      <c r="B70" s="2148" t="str">
        <f>F!B122</f>
        <v>% of AA with Persistent Surface Water</v>
      </c>
      <c r="C70" s="1745"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0" s="232"/>
      <c r="E70" s="365"/>
      <c r="F70" s="366"/>
      <c r="G70" s="537">
        <f>IF((AllSat1&gt;0),"",MAX(F71:F75)/MAX(E71:E75))</f>
        <v>0</v>
      </c>
      <c r="H70" s="2218" t="s">
        <v>2315</v>
      </c>
      <c r="I70" s="2212" t="s">
        <v>184</v>
      </c>
      <c r="K70" s="138"/>
    </row>
    <row r="71" spans="1:11" s="7" customFormat="1" ht="27" customHeight="1">
      <c r="A71" s="2151"/>
      <c r="B71" s="2146"/>
      <c r="C71" s="659" t="str">
        <f>F!C123</f>
        <v>none. The AA dries up completely (no water in channels either) or never has surface water during most years.</v>
      </c>
      <c r="D71" s="254">
        <f>F!D123</f>
        <v>0</v>
      </c>
      <c r="E71" s="360">
        <v>0</v>
      </c>
      <c r="F71" s="361">
        <f>D71*E71</f>
        <v>0</v>
      </c>
      <c r="G71" s="630"/>
      <c r="H71" s="2211"/>
      <c r="I71" s="2213"/>
      <c r="K71" s="138"/>
    </row>
    <row r="72" spans="1:11" ht="15" customHeight="1">
      <c r="A72" s="2151"/>
      <c r="B72" s="2146"/>
      <c r="C72" s="659" t="str">
        <f>F!C124</f>
        <v>1-20% of the AA.</v>
      </c>
      <c r="D72" s="254">
        <f>F!D124</f>
        <v>0</v>
      </c>
      <c r="E72" s="361">
        <v>1</v>
      </c>
      <c r="F72" s="361">
        <f>D72*E72</f>
        <v>0</v>
      </c>
      <c r="G72" s="630"/>
      <c r="H72" s="2211"/>
      <c r="I72" s="2213"/>
    </row>
    <row r="73" spans="1:11" ht="15" customHeight="1">
      <c r="A73" s="2151"/>
      <c r="B73" s="2146"/>
      <c r="C73" s="659" t="str">
        <f>F!C125</f>
        <v>20-50% of the AA.</v>
      </c>
      <c r="D73" s="254">
        <f>F!D125</f>
        <v>0</v>
      </c>
      <c r="E73" s="361">
        <v>2</v>
      </c>
      <c r="F73" s="361">
        <f>D73*E73</f>
        <v>0</v>
      </c>
      <c r="G73" s="630"/>
      <c r="H73" s="2211"/>
      <c r="I73" s="2213"/>
    </row>
    <row r="74" spans="1:11" ht="15" customHeight="1">
      <c r="A74" s="2151"/>
      <c r="B74" s="2146"/>
      <c r="C74" s="659" t="str">
        <f>F!C126</f>
        <v>50-95% of the AA.</v>
      </c>
      <c r="D74" s="254">
        <f>F!D126</f>
        <v>0</v>
      </c>
      <c r="E74" s="361">
        <v>3</v>
      </c>
      <c r="F74" s="361">
        <f>D74*E74</f>
        <v>0</v>
      </c>
      <c r="G74" s="630"/>
      <c r="H74" s="2211"/>
      <c r="I74" s="2213"/>
    </row>
    <row r="75" spans="1:11" ht="15" customHeight="1" thickBot="1">
      <c r="A75" s="2152"/>
      <c r="B75" s="2149"/>
      <c r="C75" s="492" t="str">
        <f>F!C127</f>
        <v>&gt;95% of the AA. True for many fringe wetlands.</v>
      </c>
      <c r="D75" s="248">
        <f>F!D127</f>
        <v>0</v>
      </c>
      <c r="E75" s="378">
        <v>4</v>
      </c>
      <c r="F75" s="362">
        <f>D75*E75</f>
        <v>0</v>
      </c>
      <c r="G75" s="631"/>
      <c r="H75" s="2420"/>
      <c r="I75" s="2377"/>
    </row>
    <row r="76" spans="1:11" ht="30" customHeight="1" thickBot="1">
      <c r="A76" s="2361" t="str">
        <f>F!A134</f>
        <v>F27</v>
      </c>
      <c r="B76" s="2146" t="str">
        <f>F!B134</f>
        <v>% of AA that is Flooded Only Seasonally</v>
      </c>
      <c r="C76" s="1727" t="str">
        <f>F!C134</f>
        <v>The percentage of the AA that is covered by unfrozen surface water only during the wettest time of the year during most years is:</v>
      </c>
      <c r="D76" s="83"/>
      <c r="E76" s="360"/>
      <c r="F76" s="363"/>
      <c r="G76" s="506">
        <f>IF((AllSat1&gt;0),"",MAX(F77:F81)/MAX(E77:E81))</f>
        <v>0</v>
      </c>
      <c r="H76" s="2211" t="s">
        <v>2316</v>
      </c>
      <c r="I76" s="2146" t="s">
        <v>182</v>
      </c>
    </row>
    <row r="77" spans="1:11" ht="16.8" customHeight="1">
      <c r="A77" s="2361"/>
      <c r="B77" s="2146"/>
      <c r="C77" s="661" t="str">
        <f>F!C135</f>
        <v xml:space="preserve">None, or &lt;0.01 hectare and &lt;1% of the AA. </v>
      </c>
      <c r="D77" s="256">
        <f>F!D135</f>
        <v>0</v>
      </c>
      <c r="E77" s="361">
        <v>3</v>
      </c>
      <c r="F77" s="361">
        <f>D77*E77</f>
        <v>0</v>
      </c>
      <c r="G77" s="629"/>
      <c r="H77" s="2211"/>
      <c r="I77" s="2146"/>
    </row>
    <row r="78" spans="1:11" ht="16.8" customHeight="1">
      <c r="A78" s="2361"/>
      <c r="B78" s="2146"/>
      <c r="C78" s="491" t="str">
        <f>F!C136</f>
        <v>1-20% of the AA, or &lt;1% but &gt;0.01 ha.</v>
      </c>
      <c r="D78" s="247">
        <f>F!D136</f>
        <v>0</v>
      </c>
      <c r="E78" s="361">
        <v>4</v>
      </c>
      <c r="F78" s="361">
        <f>D78*E78</f>
        <v>0</v>
      </c>
      <c r="G78" s="630"/>
      <c r="H78" s="2211"/>
      <c r="I78" s="2146"/>
    </row>
    <row r="79" spans="1:11" ht="16.8" customHeight="1">
      <c r="A79" s="2361"/>
      <c r="B79" s="2146"/>
      <c r="C79" s="491" t="str">
        <f>F!C137</f>
        <v>20-50% of the AA.</v>
      </c>
      <c r="D79" s="247">
        <f>F!D137</f>
        <v>0</v>
      </c>
      <c r="E79" s="361">
        <v>3</v>
      </c>
      <c r="F79" s="361">
        <f>D79*E79</f>
        <v>0</v>
      </c>
      <c r="G79" s="630"/>
      <c r="H79" s="2211"/>
      <c r="I79" s="2146"/>
    </row>
    <row r="80" spans="1:11" ht="16.8" customHeight="1">
      <c r="A80" s="2361"/>
      <c r="B80" s="2146"/>
      <c r="C80" s="491" t="str">
        <f>F!C138</f>
        <v>50-95% of the AA.</v>
      </c>
      <c r="D80" s="247">
        <f>F!D138</f>
        <v>0</v>
      </c>
      <c r="E80" s="361">
        <v>2</v>
      </c>
      <c r="F80" s="361">
        <f>D80*E80</f>
        <v>0</v>
      </c>
      <c r="G80" s="630"/>
      <c r="H80" s="2211"/>
      <c r="I80" s="2146"/>
    </row>
    <row r="81" spans="1:9" ht="16.8" customHeight="1" thickBot="1">
      <c r="A81" s="2361"/>
      <c r="B81" s="2146"/>
      <c r="C81" s="659" t="str">
        <f>F!C139</f>
        <v xml:space="preserve">&gt;95% of the AA. </v>
      </c>
      <c r="D81" s="254">
        <f>F!D139</f>
        <v>0</v>
      </c>
      <c r="E81" s="364">
        <v>1</v>
      </c>
      <c r="F81" s="364">
        <f>D81*E81</f>
        <v>0</v>
      </c>
      <c r="G81" s="639"/>
      <c r="H81" s="2211"/>
      <c r="I81" s="2146"/>
    </row>
    <row r="82" spans="1:9" ht="30" customHeight="1" thickBot="1">
      <c r="A82" s="2150" t="str">
        <f>F!A140</f>
        <v>F28</v>
      </c>
      <c r="B82" s="2148" t="str">
        <f>F!B140</f>
        <v>Annual Water Fluctuation Range</v>
      </c>
      <c r="C82" s="436" t="str">
        <f>F!C140</f>
        <v>The annual fluctuation in surface water level within most of the parts of the AA that contain surface water is:</v>
      </c>
      <c r="D82" s="232"/>
      <c r="E82" s="365"/>
      <c r="F82" s="366"/>
      <c r="G82" s="500">
        <f>IF((AllSat1&gt;0),"",IF((NoSeasonal=1),"",MAX(F83:F86)/MAX(E83:E86)))</f>
        <v>0</v>
      </c>
      <c r="H82" s="2643" t="s">
        <v>2317</v>
      </c>
      <c r="I82" s="2148" t="s">
        <v>187</v>
      </c>
    </row>
    <row r="83" spans="1:9" ht="18" customHeight="1">
      <c r="A83" s="2151"/>
      <c r="B83" s="2146"/>
      <c r="C83" s="30" t="str">
        <f>F!C141</f>
        <v>&lt;10 cm change (stable or nearly so).</v>
      </c>
      <c r="D83" s="256">
        <f>F!D141</f>
        <v>0</v>
      </c>
      <c r="E83" s="361">
        <v>3</v>
      </c>
      <c r="F83" s="361">
        <f>D83*E83</f>
        <v>0</v>
      </c>
      <c r="G83" s="629"/>
      <c r="H83" s="2542"/>
      <c r="I83" s="2146"/>
    </row>
    <row r="84" spans="1:9" ht="18" customHeight="1">
      <c r="A84" s="2151"/>
      <c r="B84" s="2146"/>
      <c r="C84" s="1724" t="str">
        <f>F!C142</f>
        <v>10 cm - 50 cm change.</v>
      </c>
      <c r="D84" s="247">
        <f>F!D142</f>
        <v>0</v>
      </c>
      <c r="E84" s="361">
        <v>4</v>
      </c>
      <c r="F84" s="361">
        <f>D84*E84</f>
        <v>0</v>
      </c>
      <c r="G84" s="630"/>
      <c r="H84" s="2542"/>
      <c r="I84" s="2146"/>
    </row>
    <row r="85" spans="1:9" ht="18" customHeight="1">
      <c r="A85" s="2151"/>
      <c r="B85" s="2146"/>
      <c r="C85" s="1724" t="str">
        <f>F!C143</f>
        <v>0.5 - 1 m change.</v>
      </c>
      <c r="D85" s="247">
        <f>F!D143</f>
        <v>0</v>
      </c>
      <c r="E85" s="361">
        <v>2</v>
      </c>
      <c r="F85" s="361">
        <f>D85*E85</f>
        <v>0</v>
      </c>
      <c r="G85" s="630"/>
      <c r="H85" s="2542"/>
      <c r="I85" s="2146"/>
    </row>
    <row r="86" spans="1:9" ht="18" customHeight="1" thickBot="1">
      <c r="A86" s="2152"/>
      <c r="B86" s="2149"/>
      <c r="C86" s="194" t="str">
        <f>F!C144</f>
        <v>1-2 m change.</v>
      </c>
      <c r="D86" s="248">
        <f>F!D144</f>
        <v>0</v>
      </c>
      <c r="E86" s="362">
        <v>1</v>
      </c>
      <c r="F86" s="362">
        <f>D86*E86</f>
        <v>0</v>
      </c>
      <c r="G86" s="631"/>
      <c r="H86" s="2644"/>
      <c r="I86" s="2149"/>
    </row>
    <row r="87" spans="1:9" ht="30" customHeight="1" thickBot="1">
      <c r="A87" s="2150" t="str">
        <f>F!A147</f>
        <v>F29</v>
      </c>
      <c r="B87" s="2148" t="str">
        <f>F!B147</f>
        <v>Predominant Depth Class</v>
      </c>
      <c r="C87" s="436" t="str">
        <f>F!C147</f>
        <v>During most of the time when surface water is present during the growing season, its depth, averaged over the entire inundated part of the AA, is:</v>
      </c>
      <c r="D87" s="232"/>
      <c r="E87" s="365"/>
      <c r="F87" s="366"/>
      <c r="G87" s="500">
        <f>IF((AllSat1&gt;0),"",IF((TooSmall=1),"",MAX(F88:F92)/MAX(E88:E92)))</f>
        <v>0</v>
      </c>
      <c r="H87" s="2218" t="s">
        <v>1374</v>
      </c>
      <c r="I87" s="2148" t="s">
        <v>188</v>
      </c>
    </row>
    <row r="88" spans="1:9" ht="15" customHeight="1">
      <c r="A88" s="2180"/>
      <c r="B88" s="2213"/>
      <c r="C88" s="30" t="str">
        <f>F!C148</f>
        <v>&lt;10 cm deep (but &gt;0).</v>
      </c>
      <c r="D88" s="256">
        <f>F!D148</f>
        <v>0</v>
      </c>
      <c r="E88" s="361">
        <v>3</v>
      </c>
      <c r="F88" s="361">
        <f>D88*E88</f>
        <v>0</v>
      </c>
      <c r="G88" s="629"/>
      <c r="H88" s="2211"/>
      <c r="I88" s="2146"/>
    </row>
    <row r="89" spans="1:9" ht="15" customHeight="1">
      <c r="A89" s="2180"/>
      <c r="B89" s="2213"/>
      <c r="C89" s="6" t="str">
        <f>F!C149</f>
        <v>10 - 50 cm deep.</v>
      </c>
      <c r="D89" s="247">
        <f>F!D149</f>
        <v>0</v>
      </c>
      <c r="E89" s="361">
        <v>5</v>
      </c>
      <c r="F89" s="361">
        <f>D89*E89</f>
        <v>0</v>
      </c>
      <c r="G89" s="630"/>
      <c r="H89" s="2211"/>
      <c r="I89" s="2146"/>
    </row>
    <row r="90" spans="1:9" ht="15" customHeight="1">
      <c r="A90" s="2180"/>
      <c r="B90" s="2213"/>
      <c r="C90" s="6" t="str">
        <f>F!C150</f>
        <v>0.5 - 1 m deep.</v>
      </c>
      <c r="D90" s="247">
        <f>F!D150</f>
        <v>0</v>
      </c>
      <c r="E90" s="361">
        <v>4</v>
      </c>
      <c r="F90" s="361">
        <f>D90*E90</f>
        <v>0</v>
      </c>
      <c r="G90" s="630"/>
      <c r="H90" s="2211"/>
      <c r="I90" s="2146"/>
    </row>
    <row r="91" spans="1:9" ht="15" customHeight="1">
      <c r="A91" s="2180"/>
      <c r="B91" s="2213"/>
      <c r="C91" s="6" t="str">
        <f>F!C151</f>
        <v>1 - 2 m deep.</v>
      </c>
      <c r="D91" s="247">
        <f>F!D151</f>
        <v>0</v>
      </c>
      <c r="E91" s="361">
        <v>2</v>
      </c>
      <c r="F91" s="361">
        <f>D91*E91</f>
        <v>0</v>
      </c>
      <c r="G91" s="630"/>
      <c r="H91" s="2211"/>
      <c r="I91" s="2146"/>
    </row>
    <row r="92" spans="1:9" ht="15" customHeight="1" thickBot="1">
      <c r="A92" s="2187"/>
      <c r="B92" s="2377"/>
      <c r="C92" s="194" t="str">
        <f>F!C152</f>
        <v>&gt;2 m deep. True for many fringe wetlands.</v>
      </c>
      <c r="D92" s="248">
        <f>F!D152</f>
        <v>0</v>
      </c>
      <c r="E92" s="362">
        <v>1</v>
      </c>
      <c r="F92" s="362">
        <f>D92*E92</f>
        <v>0</v>
      </c>
      <c r="G92" s="631"/>
      <c r="H92" s="2420"/>
      <c r="I92" s="2149"/>
    </row>
    <row r="93" spans="1:9" ht="21" customHeight="1" thickBot="1">
      <c r="A93" s="2647" t="str">
        <f>F!A153</f>
        <v>F30</v>
      </c>
      <c r="B93" s="2524" t="str">
        <f>F!B153</f>
        <v>Depth Classes - Evenness of Proportions</v>
      </c>
      <c r="C93" s="725" t="str">
        <f>F!C153</f>
        <v>When present, surface water in most of the AA usually consists of (select one):</v>
      </c>
      <c r="D93" s="232"/>
      <c r="E93" s="360"/>
      <c r="F93" s="363"/>
      <c r="G93" s="538">
        <f>IF((AllSat1&gt;0),"",IF((TooSmall=1),"",MAX(F94:F96)/MAX(E94:E96)))</f>
        <v>0</v>
      </c>
      <c r="H93" s="2432" t="s">
        <v>2318</v>
      </c>
      <c r="I93" s="2148" t="s">
        <v>1198</v>
      </c>
    </row>
    <row r="94" spans="1:9" ht="27" customHeight="1">
      <c r="A94" s="2647"/>
      <c r="B94" s="2524"/>
      <c r="C94" s="726" t="str">
        <f>F!C154</f>
        <v xml:space="preserve">One depth class that comprises &gt;90% of the AA’s inundated area (use the classes in the question above). </v>
      </c>
      <c r="D94" s="299">
        <f>F!D154</f>
        <v>0</v>
      </c>
      <c r="E94" s="361">
        <v>0</v>
      </c>
      <c r="F94" s="361">
        <f>D94*E94</f>
        <v>0</v>
      </c>
      <c r="G94" s="629"/>
      <c r="H94" s="2146"/>
      <c r="I94" s="2146"/>
    </row>
    <row r="95" spans="1:9" ht="15" customHeight="1">
      <c r="A95" s="2647"/>
      <c r="B95" s="2524"/>
      <c r="C95" s="727" t="str">
        <f>F!C155</f>
        <v>One depth class that comprises 50-90% of the AA's inundated area.</v>
      </c>
      <c r="D95" s="300">
        <f>F!D155</f>
        <v>0</v>
      </c>
      <c r="E95" s="361">
        <v>1</v>
      </c>
      <c r="F95" s="361">
        <f>D95*E95</f>
        <v>0</v>
      </c>
      <c r="G95" s="630"/>
      <c r="H95" s="2146"/>
      <c r="I95" s="2146"/>
    </row>
    <row r="96" spans="1:9" ht="15" customHeight="1" thickBot="1">
      <c r="A96" s="2647"/>
      <c r="B96" s="2524"/>
      <c r="C96" s="728" t="str">
        <f>F!C156</f>
        <v>Neither of above. There are 3 or more depth classes and none occupy &gt;50%.</v>
      </c>
      <c r="D96" s="301">
        <f>F!D156</f>
        <v>0</v>
      </c>
      <c r="E96" s="364">
        <v>2</v>
      </c>
      <c r="F96" s="364">
        <f>D96*E96</f>
        <v>0</v>
      </c>
      <c r="G96" s="639"/>
      <c r="H96" s="2146"/>
      <c r="I96" s="2149"/>
    </row>
    <row r="97" spans="1:9" ht="30" customHeight="1" thickBot="1">
      <c r="A97" s="2155" t="str">
        <f>F!A157</f>
        <v>F31</v>
      </c>
      <c r="B97" s="2148" t="str">
        <f>F!B157</f>
        <v>% of Water That Is Ponded (not Flowing)</v>
      </c>
      <c r="C97" s="436" t="str">
        <f>F!C157</f>
        <v>During most times when surface water is present, the percentage that is ponded (stagnant, or flows so slowly that fine sediment is not held in suspension) is:</v>
      </c>
      <c r="D97" s="232"/>
      <c r="E97" s="365"/>
      <c r="F97" s="366"/>
      <c r="G97" s="537">
        <f>IF((AllSat1&gt;0),"",MAX(F98:F102)/MAX(E98:E102))</f>
        <v>0</v>
      </c>
      <c r="H97" s="2218" t="s">
        <v>2905</v>
      </c>
      <c r="I97" s="2148" t="s">
        <v>186</v>
      </c>
    </row>
    <row r="98" spans="1:9" ht="27" customHeight="1">
      <c r="A98" s="2180"/>
      <c r="B98" s="2213"/>
      <c r="C98" s="30" t="str">
        <f>F!C158</f>
        <v>&lt;5% of the water, or it occupies &lt;100 sq.m cumulatively. Nearly all the surface water is flowing. SKIP to F34.</v>
      </c>
      <c r="D98" s="282">
        <f>F!D158</f>
        <v>0</v>
      </c>
      <c r="E98" s="361">
        <v>1</v>
      </c>
      <c r="F98" s="361">
        <f>D98*E98</f>
        <v>0</v>
      </c>
      <c r="G98" s="630"/>
      <c r="H98" s="2211"/>
      <c r="I98" s="2146"/>
    </row>
    <row r="99" spans="1:9" ht="15" customHeight="1">
      <c r="A99" s="2180"/>
      <c r="B99" s="2213"/>
      <c r="C99" s="1214" t="str">
        <f>F!C159</f>
        <v>5-30% of the water.</v>
      </c>
      <c r="D99" s="283">
        <f>F!D159</f>
        <v>0</v>
      </c>
      <c r="E99" s="361">
        <v>2</v>
      </c>
      <c r="F99" s="361">
        <f>D99*E99</f>
        <v>0</v>
      </c>
      <c r="G99" s="630"/>
      <c r="H99" s="2211"/>
      <c r="I99" s="2146"/>
    </row>
    <row r="100" spans="1:9" ht="15" customHeight="1">
      <c r="A100" s="2180"/>
      <c r="B100" s="2213"/>
      <c r="C100" s="1214" t="str">
        <f>F!C160</f>
        <v>30-70% of the water.</v>
      </c>
      <c r="D100" s="283">
        <f>F!D160</f>
        <v>0</v>
      </c>
      <c r="E100" s="361">
        <v>3</v>
      </c>
      <c r="F100" s="361">
        <f>D100*E100</f>
        <v>0</v>
      </c>
      <c r="G100" s="639"/>
      <c r="H100" s="2211"/>
      <c r="I100" s="2146"/>
    </row>
    <row r="101" spans="1:9" ht="15" customHeight="1">
      <c r="A101" s="2180"/>
      <c r="B101" s="2213"/>
      <c r="C101" s="1214" t="str">
        <f>F!C161</f>
        <v>70-95% of the water.</v>
      </c>
      <c r="D101" s="283">
        <f>F!D161</f>
        <v>0</v>
      </c>
      <c r="E101" s="361">
        <v>4</v>
      </c>
      <c r="F101" s="361">
        <f>D101*E101</f>
        <v>0</v>
      </c>
      <c r="G101" s="639"/>
      <c r="H101" s="2211"/>
      <c r="I101" s="2146"/>
    </row>
    <row r="102" spans="1:9" ht="15" customHeight="1" thickBot="1">
      <c r="A102" s="2187"/>
      <c r="B102" s="2377"/>
      <c r="C102" s="194" t="str">
        <f>F!C162</f>
        <v>&gt;95% of the water.</v>
      </c>
      <c r="D102" s="284">
        <f>F!D162</f>
        <v>0</v>
      </c>
      <c r="E102" s="362">
        <v>2</v>
      </c>
      <c r="F102" s="362">
        <f>D102*E102</f>
        <v>0</v>
      </c>
      <c r="G102" s="631"/>
      <c r="H102" s="2420"/>
      <c r="I102" s="2149"/>
    </row>
    <row r="103" spans="1:9" ht="30" customHeight="1" thickBot="1">
      <c r="A103" s="2646" t="str">
        <f>F!A164</f>
        <v>F33</v>
      </c>
      <c r="B103" s="2160" t="str">
        <f>F!B164</f>
        <v xml:space="preserve">% of Ponded Water that is Open </v>
      </c>
      <c r="C103" s="5" t="str">
        <f>F!C164</f>
        <v>In ducks-eye aerial view, the percentage of the ponded water that is open (lacking emergent vegetation during most of the growing season, and unhidden by a forest or shrub canopy) is:</v>
      </c>
      <c r="D103" s="232"/>
      <c r="E103" s="365"/>
      <c r="F103" s="366"/>
      <c r="G103" s="537">
        <f>IF((AllSat1&gt;0),"",IF((TooSmall=1),"",IF((NoPonded=1),"",MAX(F104:F109)/MAX(E104:E109))))</f>
        <v>0</v>
      </c>
      <c r="H103" s="2218" t="s">
        <v>2319</v>
      </c>
      <c r="I103" s="2148" t="s">
        <v>185</v>
      </c>
    </row>
    <row r="104" spans="1:9" ht="27" customHeight="1">
      <c r="A104" s="2390"/>
      <c r="B104" s="2146"/>
      <c r="C104" s="656" t="str">
        <f>F!C165</f>
        <v>None, or &lt;1% of the AA and largest pool occupies &lt;0.01 hectares. Enter "1" and SKIP to F41 (Floating Algae &amp; Duckweed).</v>
      </c>
      <c r="D104" s="254">
        <f>F!D165</f>
        <v>0</v>
      </c>
      <c r="E104" s="361">
        <v>1</v>
      </c>
      <c r="F104" s="361">
        <f t="shared" ref="F104:F109" si="2">D104*E104</f>
        <v>0</v>
      </c>
      <c r="G104" s="629"/>
      <c r="H104" s="2211"/>
      <c r="I104" s="2146"/>
    </row>
    <row r="105" spans="1:9" ht="15" customHeight="1">
      <c r="A105" s="2390"/>
      <c r="B105" s="2146"/>
      <c r="C105" s="437" t="str">
        <f>F!C166</f>
        <v>1-4% of the ponded water. Enter "1" and SKIP to F40 (Floating Algae &amp; Duckweed).</v>
      </c>
      <c r="D105" s="254">
        <f>F!D166</f>
        <v>0</v>
      </c>
      <c r="E105" s="361">
        <v>3</v>
      </c>
      <c r="F105" s="361">
        <f t="shared" si="2"/>
        <v>0</v>
      </c>
      <c r="G105" s="630"/>
      <c r="H105" s="2211"/>
      <c r="I105" s="2146"/>
    </row>
    <row r="106" spans="1:9" ht="15" customHeight="1">
      <c r="A106" s="2390"/>
      <c r="B106" s="2146"/>
      <c r="C106" s="437" t="str">
        <f>F!C167</f>
        <v>5-30% of the ponded water.</v>
      </c>
      <c r="D106" s="254">
        <f>F!D167</f>
        <v>0</v>
      </c>
      <c r="E106" s="361">
        <v>4</v>
      </c>
      <c r="F106" s="361">
        <f t="shared" si="2"/>
        <v>0</v>
      </c>
      <c r="G106" s="630"/>
      <c r="H106" s="2211"/>
      <c r="I106" s="2146"/>
    </row>
    <row r="107" spans="1:9" ht="15" customHeight="1">
      <c r="A107" s="2390"/>
      <c r="B107" s="2146"/>
      <c r="C107" s="437" t="str">
        <f>F!C168</f>
        <v>30-70% of the ponded water.</v>
      </c>
      <c r="D107" s="254">
        <f>F!D168</f>
        <v>0</v>
      </c>
      <c r="E107" s="361">
        <v>6</v>
      </c>
      <c r="F107" s="361">
        <f t="shared" si="2"/>
        <v>0</v>
      </c>
      <c r="G107" s="630"/>
      <c r="H107" s="2211"/>
      <c r="I107" s="2146"/>
    </row>
    <row r="108" spans="1:9" ht="15" customHeight="1">
      <c r="A108" s="2390"/>
      <c r="B108" s="2146"/>
      <c r="C108" s="437" t="str">
        <f>F!C169</f>
        <v>70-99% of the ponded water.</v>
      </c>
      <c r="D108" s="254">
        <f>F!D169</f>
        <v>0</v>
      </c>
      <c r="E108" s="361">
        <v>2</v>
      </c>
      <c r="F108" s="361">
        <f t="shared" si="2"/>
        <v>0</v>
      </c>
      <c r="G108" s="639"/>
      <c r="H108" s="2211"/>
      <c r="I108" s="2146"/>
    </row>
    <row r="109" spans="1:9" ht="15" customHeight="1" thickBot="1">
      <c r="A109" s="2391"/>
      <c r="B109" s="2149"/>
      <c r="C109" s="437" t="str">
        <f>F!C170</f>
        <v xml:space="preserve">100% of the ponded water. </v>
      </c>
      <c r="D109" s="254">
        <f>F!D170</f>
        <v>0</v>
      </c>
      <c r="E109" s="364">
        <v>0</v>
      </c>
      <c r="F109" s="364">
        <f t="shared" si="2"/>
        <v>0</v>
      </c>
      <c r="G109" s="639"/>
      <c r="H109" s="2420"/>
      <c r="I109" s="2149"/>
    </row>
    <row r="110" spans="1:9" ht="30" customHeight="1" thickBot="1">
      <c r="A110" s="2150" t="str">
        <f>F!A189</f>
        <v>F37</v>
      </c>
      <c r="B110" s="2148" t="str">
        <f>F!B189</f>
        <v>Interspersion of Robust Emergents &amp; Open Water</v>
      </c>
      <c r="C110" s="136" t="str">
        <f>F!C189</f>
        <v>During most of the part of the growing season when water is present, the spatial pattern of robust herbaceous vegetation (e.g., cattail, tall bulrush, buckbean) is mostly:</v>
      </c>
      <c r="D110" s="232"/>
      <c r="E110" s="365"/>
      <c r="F110" s="366"/>
      <c r="G110" s="665">
        <f>IF((AllSat1&gt;0),"",IF((TooSmall=1),"",IF((NoPonded=1),"",IF((NoOpenPonded+NoOpenPonded1&gt;0),"",IF((AllOpenPond=1),"",MAX(F111:F113)/MAX(E111:E113))))))</f>
        <v>0</v>
      </c>
      <c r="H110" s="2146" t="s">
        <v>2320</v>
      </c>
      <c r="I110" s="2148" t="s">
        <v>189</v>
      </c>
    </row>
    <row r="111" spans="1:9" ht="15" customHeight="1">
      <c r="A111" s="2151"/>
      <c r="B111" s="2146"/>
      <c r="C111" s="661" t="str">
        <f>F!C190</f>
        <v>Scattered. More than 30% of such vegetation forms small islands or corridors surrounded by water.</v>
      </c>
      <c r="D111" s="256">
        <f>F!D190</f>
        <v>0</v>
      </c>
      <c r="E111" s="361">
        <v>3</v>
      </c>
      <c r="F111" s="361">
        <f>D111*E111</f>
        <v>0</v>
      </c>
      <c r="G111" s="744"/>
      <c r="H111" s="2146"/>
      <c r="I111" s="2146"/>
    </row>
    <row r="112" spans="1:9" ht="15" customHeight="1">
      <c r="A112" s="2151"/>
      <c r="B112" s="2146"/>
      <c r="C112" s="491" t="str">
        <f>F!C191</f>
        <v>Intermediate.</v>
      </c>
      <c r="D112" s="247">
        <f>F!D191</f>
        <v>0</v>
      </c>
      <c r="E112" s="361">
        <v>2</v>
      </c>
      <c r="F112" s="361">
        <f>D112*E112</f>
        <v>0</v>
      </c>
      <c r="G112" s="744"/>
      <c r="H112" s="2146"/>
      <c r="I112" s="2146"/>
    </row>
    <row r="113" spans="1:18" ht="27" customHeight="1" thickBot="1">
      <c r="A113" s="2152"/>
      <c r="B113" s="2149"/>
      <c r="C113" s="492" t="str">
        <f>F!C192</f>
        <v>Clumped. More than 70% of such vegetation is in bands along the wetland perimeter or is clumped at one or a few sides of the surface water area.</v>
      </c>
      <c r="D113" s="248">
        <f>F!D192</f>
        <v>0</v>
      </c>
      <c r="E113" s="362">
        <v>1</v>
      </c>
      <c r="F113" s="362">
        <f>D113*E113</f>
        <v>0</v>
      </c>
      <c r="G113" s="745"/>
      <c r="H113" s="2146"/>
      <c r="I113" s="2149"/>
    </row>
    <row r="114" spans="1:18" ht="54" customHeight="1" thickBot="1">
      <c r="A114" s="2148" t="str">
        <f>F!A194</f>
        <v>F39</v>
      </c>
      <c r="B114" s="2148" t="str">
        <f>F!B194</f>
        <v>Non-vegetated Aquatic Cover</v>
      </c>
      <c r="C114" s="136" t="str">
        <f>F!C194</f>
        <v>During most of the growing season and in waters deeper than 0.5 m, the cover for fish, aquatic invertebrates, and/or amphibians that is provided NOT by living vegetation, but by accumulations of dead wood and undercut banks is:</v>
      </c>
      <c r="D114" s="232"/>
      <c r="E114" s="365"/>
      <c r="F114" s="365"/>
      <c r="G114" s="537" t="str">
        <f>IF((AllSat1&gt;0),"",IF((TooSmall=1),"",IF((OpenW=0),"",MAX(F115:F117)/MAX(E115:E117))))</f>
        <v/>
      </c>
      <c r="H114" s="2148" t="s">
        <v>2321</v>
      </c>
      <c r="I114" s="2148" t="s">
        <v>183</v>
      </c>
    </row>
    <row r="115" spans="1:18" ht="24" customHeight="1">
      <c r="A115" s="2146"/>
      <c r="B115" s="2146"/>
      <c r="C115" s="661" t="str">
        <f>F!C195</f>
        <v>Little or none.</v>
      </c>
      <c r="D115" s="256">
        <f>F!D195</f>
        <v>0</v>
      </c>
      <c r="E115" s="361">
        <v>0</v>
      </c>
      <c r="F115" s="361">
        <f>D115*E115</f>
        <v>0</v>
      </c>
      <c r="G115" s="630"/>
      <c r="H115" s="2146"/>
      <c r="I115" s="2146"/>
    </row>
    <row r="116" spans="1:18" ht="24" customHeight="1">
      <c r="A116" s="2146"/>
      <c r="B116" s="2146"/>
      <c r="C116" s="491" t="str">
        <f>F!C196</f>
        <v>Intermediate.</v>
      </c>
      <c r="D116" s="247">
        <f>F!D196</f>
        <v>0</v>
      </c>
      <c r="E116" s="361">
        <v>1</v>
      </c>
      <c r="F116" s="361">
        <f>D116*E116</f>
        <v>0</v>
      </c>
      <c r="G116" s="630"/>
      <c r="H116" s="2146"/>
      <c r="I116" s="2146"/>
    </row>
    <row r="117" spans="1:18" ht="24" customHeight="1" thickBot="1">
      <c r="A117" s="2149"/>
      <c r="B117" s="2149"/>
      <c r="C117" s="492" t="str">
        <f>F!C197</f>
        <v>Extensive.</v>
      </c>
      <c r="D117" s="248">
        <f>F!D197</f>
        <v>0</v>
      </c>
      <c r="E117" s="362">
        <v>2</v>
      </c>
      <c r="F117" s="362">
        <f>D117*E117</f>
        <v>0</v>
      </c>
      <c r="G117" s="631"/>
      <c r="H117" s="2149"/>
      <c r="I117" s="2149"/>
    </row>
    <row r="118" spans="1:18" ht="30" customHeight="1" thickBot="1">
      <c r="A118" s="2150" t="str">
        <f>F!A212</f>
        <v>F46</v>
      </c>
      <c r="B118" s="2148" t="str">
        <f>F!B212</f>
        <v>Throughflow Resistance</v>
      </c>
      <c r="C118" s="436" t="str">
        <f>F!C212</f>
        <v>During its travel through the AA at the time of peak annual flow, water arriving in channels: [select only the ONE encountered by most of the incoming water].</v>
      </c>
      <c r="D118" s="232"/>
      <c r="E118" s="365"/>
      <c r="F118" s="366"/>
      <c r="G118" s="537">
        <f>IF(AND(Inflows=0,OutNone=1,OutNone1=1),"",MAX(F119:F123)/MAX(E119:E123))</f>
        <v>0</v>
      </c>
      <c r="H118" s="2218" t="s">
        <v>2322</v>
      </c>
      <c r="I118" s="2148" t="s">
        <v>190</v>
      </c>
    </row>
    <row r="119" spans="1:18" ht="42" customHeight="1">
      <c r="A119" s="2151"/>
      <c r="B119" s="2146"/>
      <c r="C119" s="30" t="str">
        <f>F!C213</f>
        <v>Does not bump into many plant stems as it travels through the AA. Nearly all the water continues to travel in unvegetated (often incised) channels that have minimal contact with wetland vegetation, or through a zone of open water such as an instream pond or lake.</v>
      </c>
      <c r="D119" s="256">
        <f>F!D213</f>
        <v>0</v>
      </c>
      <c r="E119" s="360">
        <v>0</v>
      </c>
      <c r="F119" s="360">
        <f>D119*E119</f>
        <v>0</v>
      </c>
      <c r="G119" s="629"/>
      <c r="H119" s="2211"/>
      <c r="I119" s="2146"/>
    </row>
    <row r="120" spans="1:18" ht="15" customHeight="1">
      <c r="A120" s="2151"/>
      <c r="B120" s="2146"/>
      <c r="C120" s="6" t="str">
        <f>F!C214</f>
        <v>bumps into herbaceous vegetation but mostly remains in fairly straight channels.</v>
      </c>
      <c r="D120" s="247">
        <f>F!D214</f>
        <v>0</v>
      </c>
      <c r="E120" s="361">
        <v>1</v>
      </c>
      <c r="F120" s="361">
        <f>D120*E120</f>
        <v>0</v>
      </c>
      <c r="G120" s="630"/>
      <c r="H120" s="2211"/>
      <c r="I120" s="2146"/>
    </row>
    <row r="121" spans="1:18" ht="27" customHeight="1">
      <c r="A121" s="2151"/>
      <c r="B121" s="2146"/>
      <c r="C121" s="6" t="str">
        <f>F!C215</f>
        <v>bumps into herbaceous vegetation and mostly spreads throughout, or is in widely meandering, multi-branched, or braided channels.</v>
      </c>
      <c r="D121" s="247">
        <f>F!D215</f>
        <v>0</v>
      </c>
      <c r="E121" s="361">
        <v>2</v>
      </c>
      <c r="F121" s="361">
        <f>D121*E121</f>
        <v>0</v>
      </c>
      <c r="G121" s="630"/>
      <c r="H121" s="2211"/>
      <c r="I121" s="2146"/>
    </row>
    <row r="122" spans="1:18" ht="15" customHeight="1">
      <c r="A122" s="2151"/>
      <c r="B122" s="2146"/>
      <c r="C122" s="6" t="str">
        <f>F!C216</f>
        <v>bumps into tree trunks and/or shrub stems but mostly remains in fairly straight channels.</v>
      </c>
      <c r="D122" s="247">
        <f>F!D216</f>
        <v>0</v>
      </c>
      <c r="E122" s="361">
        <v>1</v>
      </c>
      <c r="F122" s="361">
        <f>D122*E122</f>
        <v>0</v>
      </c>
      <c r="G122" s="630"/>
      <c r="H122" s="2211"/>
      <c r="I122" s="2146"/>
    </row>
    <row r="123" spans="1:18" ht="27" customHeight="1" thickBot="1">
      <c r="A123" s="2151"/>
      <c r="B123" s="2146"/>
      <c r="C123" s="437" t="str">
        <f>F!C217</f>
        <v>bumps into tree trunks and/or shrub stems and follows a fairly indirect path from entrance to exit (meandering, multi-branched, or braided).</v>
      </c>
      <c r="D123" s="254">
        <f>F!D217</f>
        <v>0</v>
      </c>
      <c r="E123" s="364">
        <v>2</v>
      </c>
      <c r="F123" s="364">
        <f>D123*E123</f>
        <v>0</v>
      </c>
      <c r="G123" s="639"/>
      <c r="H123" s="2211"/>
      <c r="I123" s="2149"/>
    </row>
    <row r="124" spans="1:18" ht="21" customHeight="1" thickBot="1">
      <c r="A124" s="2150" t="str">
        <f>F!A222</f>
        <v>F48</v>
      </c>
      <c r="B124" s="2148" t="str">
        <f>F!B222</f>
        <v>TDS and/or Conductivity</v>
      </c>
      <c r="C124" s="81" t="str">
        <f>F!C222</f>
        <v>The Total Dissolved Solids (TDS) in most of the AA's surface water:</v>
      </c>
      <c r="D124" s="376"/>
      <c r="E124" s="365"/>
      <c r="F124" s="365"/>
      <c r="G124" s="537">
        <f>IF((D125=1),"", IF((D127&gt;300),1, IF((D128&gt;500),1, 0.5)))</f>
        <v>1</v>
      </c>
      <c r="H124" s="2148" t="s">
        <v>1968</v>
      </c>
      <c r="I124" s="2148" t="s">
        <v>1970</v>
      </c>
      <c r="J124" s="553"/>
      <c r="L124" s="553"/>
      <c r="M124" s="553"/>
      <c r="N124" s="553"/>
      <c r="O124" s="553"/>
      <c r="P124" s="553"/>
      <c r="Q124" s="553"/>
      <c r="R124" s="553"/>
    </row>
    <row r="125" spans="1:18" ht="15" customHeight="1">
      <c r="A125" s="2151"/>
      <c r="B125" s="2146"/>
      <c r="C125" s="1076" t="str">
        <f>F!C223</f>
        <v xml:space="preserve">was not measured because no surface water could be found during this visit. Enter "1". </v>
      </c>
      <c r="D125" s="247">
        <f>F!D223</f>
        <v>0</v>
      </c>
      <c r="E125" s="361"/>
      <c r="F125" s="361"/>
      <c r="G125" s="630"/>
      <c r="H125" s="2146"/>
      <c r="I125" s="2146"/>
      <c r="J125" s="553"/>
      <c r="L125" s="553"/>
      <c r="M125" s="553"/>
      <c r="N125" s="553"/>
      <c r="O125" s="553"/>
      <c r="P125" s="553"/>
      <c r="Q125" s="553"/>
      <c r="R125" s="553"/>
    </row>
    <row r="126" spans="1:18" ht="27" customHeight="1">
      <c r="A126" s="2151"/>
      <c r="B126" s="2146"/>
      <c r="C126" s="491" t="str">
        <f>F!C224</f>
        <v>was not measured, but plants that indicate saline conditions cover much of the vegetated AA. Enter "1" .</v>
      </c>
      <c r="D126" s="247">
        <f>F!D224</f>
        <v>0</v>
      </c>
      <c r="E126" s="361"/>
      <c r="F126" s="361"/>
      <c r="G126" s="630"/>
      <c r="H126" s="2146"/>
      <c r="I126" s="2146"/>
      <c r="J126" s="553"/>
      <c r="L126" s="553"/>
      <c r="M126" s="553"/>
      <c r="N126" s="553"/>
      <c r="O126" s="553"/>
      <c r="P126" s="553"/>
      <c r="Q126" s="553"/>
      <c r="R126" s="553"/>
    </row>
    <row r="127" spans="1:18" ht="15" customHeight="1">
      <c r="A127" s="2151"/>
      <c r="B127" s="2146"/>
      <c r="C127" s="491" t="str">
        <f>F!C225</f>
        <v>TDS is: [enter the reading in ppm in the column to the right, if measured, or answer next row]:</v>
      </c>
      <c r="D127" s="247" t="str">
        <f>IF((F!D225=""),"",F!D225)</f>
        <v/>
      </c>
      <c r="E127" s="361"/>
      <c r="F127" s="361"/>
      <c r="G127" s="630"/>
      <c r="H127" s="2146"/>
      <c r="I127" s="2146"/>
      <c r="J127" s="553"/>
      <c r="L127" s="553"/>
      <c r="M127" s="553"/>
      <c r="N127" s="553"/>
      <c r="O127" s="553"/>
      <c r="P127" s="553"/>
      <c r="Q127" s="553"/>
      <c r="R127" s="553"/>
    </row>
    <row r="128" spans="1:18" ht="15" customHeight="1" thickBot="1">
      <c r="A128" s="2152"/>
      <c r="B128" s="2149"/>
      <c r="C128" s="492" t="str">
        <f>F!C226</f>
        <v>Conductivity is  [enter the reading in µS/cm in the column to the right]:</v>
      </c>
      <c r="D128" s="1358" t="str">
        <f>IF((F!D226=""),"",F!D226)</f>
        <v/>
      </c>
      <c r="E128" s="362"/>
      <c r="F128" s="362"/>
      <c r="G128" s="631"/>
      <c r="H128" s="2149"/>
      <c r="I128" s="2149"/>
      <c r="J128" s="553"/>
      <c r="L128" s="553"/>
      <c r="M128" s="553"/>
      <c r="N128" s="553"/>
      <c r="O128" s="553"/>
      <c r="P128" s="553"/>
      <c r="Q128" s="553"/>
      <c r="R128" s="553"/>
    </row>
    <row r="129" spans="1:18" ht="21" customHeight="1" thickBot="1">
      <c r="A129" s="2361" t="str">
        <f>F!A231</f>
        <v>F50</v>
      </c>
      <c r="B129" s="2146" t="str">
        <f>F!B231</f>
        <v>Groundwater Strength of Evidence</v>
      </c>
      <c r="C129" s="400" t="str">
        <f>F!C231</f>
        <v xml:space="preserve">Select first applicable choice. </v>
      </c>
      <c r="D129" s="83"/>
      <c r="E129" s="360"/>
      <c r="F129" s="363"/>
      <c r="G129" s="538">
        <f>IF((D132=1),"",MAX(F130:F132)/MAX(E130:E132))</f>
        <v>0</v>
      </c>
      <c r="H129" s="2146" t="s">
        <v>2323</v>
      </c>
      <c r="I129" s="2148" t="s">
        <v>202</v>
      </c>
    </row>
    <row r="130" spans="1:18" ht="42" customHeight="1">
      <c r="A130" s="2361"/>
      <c r="B130" s="2146"/>
      <c r="C130" s="661" t="str">
        <f>F!C232</f>
        <v>Groundwater monitoring has demonstrated that groundwater primarily discharges to the wetland for longer periods during the year than periods when the wetland recharges the groundwater. Or, springs are known to be present within the AA.</v>
      </c>
      <c r="D130" s="256">
        <f>F!D232</f>
        <v>0</v>
      </c>
      <c r="E130" s="361">
        <v>3</v>
      </c>
      <c r="F130" s="388">
        <f>D130*E130</f>
        <v>0</v>
      </c>
      <c r="G130" s="629"/>
      <c r="H130" s="2146"/>
      <c r="I130" s="2146"/>
    </row>
    <row r="131" spans="1:18" ht="42" customHeight="1">
      <c r="A131" s="2361"/>
      <c r="B131" s="2146"/>
      <c r="C131" s="491" t="str">
        <f>F!C233</f>
        <v>The upper end of the AA is located very close to the base of (but mostly not ON) a natural slope much steeper (usually &gt;15%) than that within the AA and longer than 100 m AND if surface water was measured, its pH (Q47) is &gt;5.5.</v>
      </c>
      <c r="D131" s="247">
        <f>F!D233</f>
        <v>0</v>
      </c>
      <c r="E131" s="361">
        <v>2</v>
      </c>
      <c r="F131" s="388">
        <f>D131*E131</f>
        <v>0</v>
      </c>
      <c r="G131" s="630"/>
      <c r="H131" s="2146"/>
      <c r="I131" s="2146"/>
    </row>
    <row r="132" spans="1:18" ht="27" customHeight="1" thickBot="1">
      <c r="A132" s="2361"/>
      <c r="B132" s="2146"/>
      <c r="C132" s="659" t="str">
        <f>F!C234</f>
        <v>Neither of above is true, although some groundwater may discharge to or flow through the AA. Or groundwater influx is unknown.</v>
      </c>
      <c r="D132" s="254">
        <f>F!D234</f>
        <v>0</v>
      </c>
      <c r="E132" s="364">
        <v>0</v>
      </c>
      <c r="F132" s="388">
        <f>D132*E132</f>
        <v>0</v>
      </c>
      <c r="G132" s="639"/>
      <c r="H132" s="2146"/>
      <c r="I132" s="2149"/>
    </row>
    <row r="133" spans="1:18" ht="69" customHeight="1" thickBot="1">
      <c r="A133" s="2148" t="str">
        <f>F!A240</f>
        <v>F52</v>
      </c>
      <c r="B133" s="2148" t="str">
        <f>F!B240</f>
        <v>Vegetated Buffer as % of Perimeter</v>
      </c>
      <c r="C133" s="436" t="str">
        <f>F!C240</f>
        <v>Along the wetland-upland edge and extending 30 m laterally upslope, the percentage of the upland that contains vegetation cover (except lawns, row crops, heavily grazed land, conifer plantations) is:</v>
      </c>
      <c r="D133" s="1750"/>
      <c r="E133" s="365"/>
      <c r="F133" s="366"/>
      <c r="G133" s="500">
        <f>MAX(F134:F138)/MAX(E134:E138)</f>
        <v>0</v>
      </c>
      <c r="H133" s="2218" t="s">
        <v>1832</v>
      </c>
      <c r="I133" s="2148" t="s">
        <v>195</v>
      </c>
    </row>
    <row r="134" spans="1:18" ht="45" customHeight="1">
      <c r="A134" s="2146"/>
      <c r="B134" s="2146"/>
      <c r="C134" s="1714" t="str">
        <f>F!C241</f>
        <v xml:space="preserve">&lt;5% </v>
      </c>
      <c r="D134" s="1751">
        <f>F!D241</f>
        <v>0</v>
      </c>
      <c r="E134" s="377">
        <v>0</v>
      </c>
      <c r="F134" s="361">
        <f t="shared" ref="F134:F141" si="3">D134*E134</f>
        <v>0</v>
      </c>
      <c r="G134" s="629"/>
      <c r="H134" s="2211"/>
      <c r="I134" s="2146"/>
    </row>
    <row r="135" spans="1:18" ht="45" customHeight="1">
      <c r="A135" s="2146"/>
      <c r="B135" s="2146"/>
      <c r="C135" s="1716" t="str">
        <f>F!C242</f>
        <v>5 to 30%</v>
      </c>
      <c r="D135" s="247">
        <f>F!D242</f>
        <v>0</v>
      </c>
      <c r="E135" s="377">
        <v>2</v>
      </c>
      <c r="F135" s="361">
        <f t="shared" si="3"/>
        <v>0</v>
      </c>
      <c r="G135" s="630"/>
      <c r="H135" s="2211"/>
      <c r="I135" s="2146"/>
    </row>
    <row r="136" spans="1:18" ht="45" customHeight="1">
      <c r="A136" s="2146"/>
      <c r="B136" s="2146"/>
      <c r="C136" s="1073" t="str">
        <f>F!C243</f>
        <v>30 to 60%</v>
      </c>
      <c r="D136" s="247">
        <f>F!D243</f>
        <v>0</v>
      </c>
      <c r="E136" s="377">
        <v>3</v>
      </c>
      <c r="F136" s="361">
        <f t="shared" si="3"/>
        <v>0</v>
      </c>
      <c r="G136" s="630"/>
      <c r="H136" s="2211"/>
      <c r="I136" s="2146"/>
    </row>
    <row r="137" spans="1:18" ht="45" customHeight="1">
      <c r="A137" s="2146"/>
      <c r="B137" s="2146"/>
      <c r="C137" s="1472" t="str">
        <f>F!C244</f>
        <v>60 to 90%</v>
      </c>
      <c r="D137" s="256">
        <f>F!D244</f>
        <v>0</v>
      </c>
      <c r="E137" s="377">
        <v>4</v>
      </c>
      <c r="F137" s="361">
        <f t="shared" si="3"/>
        <v>0</v>
      </c>
      <c r="G137" s="630"/>
      <c r="H137" s="2211"/>
      <c r="I137" s="2146"/>
    </row>
    <row r="138" spans="1:18" ht="45" customHeight="1" thickBot="1">
      <c r="A138" s="2149"/>
      <c r="B138" s="2149"/>
      <c r="C138" s="1169" t="str">
        <f>F!C245</f>
        <v>&gt;90%, or all the area within 30 m of the AA edge is other wetlands. SKIP to F55.</v>
      </c>
      <c r="D138" s="290">
        <f>F!D245</f>
        <v>0</v>
      </c>
      <c r="E138" s="378">
        <v>6</v>
      </c>
      <c r="F138" s="362">
        <f t="shared" si="3"/>
        <v>0</v>
      </c>
      <c r="G138" s="631"/>
      <c r="H138" s="2420"/>
      <c r="I138" s="2149"/>
    </row>
    <row r="139" spans="1:18" ht="30" customHeight="1" thickBot="1">
      <c r="A139" s="2148" t="str">
        <f>F!A246</f>
        <v>F53</v>
      </c>
      <c r="B139" s="2148" t="str">
        <f>F!B246</f>
        <v>Type of Cover in Buffer</v>
      </c>
      <c r="C139" s="436" t="str">
        <f>F!C246</f>
        <v>Within 30 m upslope of where the wetland transitions to upland, the upland land cover that is NOT natural is mostly (mark ONE):</v>
      </c>
      <c r="D139" s="1750"/>
      <c r="E139" s="365"/>
      <c r="F139" s="366"/>
      <c r="G139" s="537">
        <f>IF((BuffAllNat=1),"",MAX(F140:F141)/MAX(E140:E141))</f>
        <v>0</v>
      </c>
      <c r="H139" s="2584" t="s">
        <v>2887</v>
      </c>
      <c r="I139" s="2148" t="s">
        <v>196</v>
      </c>
    </row>
    <row r="140" spans="1:18" ht="21" customHeight="1">
      <c r="A140" s="2213"/>
      <c r="B140" s="2213"/>
      <c r="C140" s="1494" t="str">
        <f>F!C247</f>
        <v>impervious surface, e.g., paved road, parking lot, building, exposed rock.</v>
      </c>
      <c r="D140" s="1730">
        <f>F!D247</f>
        <v>0</v>
      </c>
      <c r="E140" s="361">
        <v>0</v>
      </c>
      <c r="F140" s="361">
        <f t="shared" si="3"/>
        <v>0</v>
      </c>
      <c r="G140" s="629"/>
      <c r="H140" s="2585"/>
      <c r="I140" s="2146"/>
    </row>
    <row r="141" spans="1:18" ht="27" customHeight="1" thickBot="1">
      <c r="A141" s="2377"/>
      <c r="B141" s="2377"/>
      <c r="C141" s="1752" t="str">
        <f>F!C248</f>
        <v>bare or nearly bare pervious surface or managed vegetation, e.g., lawn, row crops, unpaved road, dike, landslide.</v>
      </c>
      <c r="D141" s="1753">
        <f>F!D248</f>
        <v>0</v>
      </c>
      <c r="E141" s="362">
        <v>1</v>
      </c>
      <c r="F141" s="362">
        <f t="shared" si="3"/>
        <v>0</v>
      </c>
      <c r="G141" s="631"/>
      <c r="H141" s="2586"/>
      <c r="I141" s="2149"/>
    </row>
    <row r="142" spans="1:18" s="11" customFormat="1" ht="60" customHeight="1" thickBot="1">
      <c r="A142" s="667" t="str">
        <f>S!A66</f>
        <v>S5</v>
      </c>
      <c r="B142" s="674" t="str">
        <f>S!B66</f>
        <v>Altered Timing of Water Inputs</v>
      </c>
      <c r="C142" s="729" t="str">
        <f>S!E80</f>
        <v>Final Score=</v>
      </c>
      <c r="D142" s="1044">
        <f>S!F80</f>
        <v>0</v>
      </c>
      <c r="E142" s="678"/>
      <c r="F142" s="739"/>
      <c r="G142" s="537">
        <f>IF((Inflows=1),"", IF((AllSat1=1),"", 1-D142))</f>
        <v>1</v>
      </c>
      <c r="H142" s="5" t="s">
        <v>2169</v>
      </c>
      <c r="I142" s="1683" t="s">
        <v>2083</v>
      </c>
      <c r="J142" s="28"/>
      <c r="K142" s="200"/>
      <c r="L142" s="28"/>
      <c r="M142" s="28"/>
      <c r="N142" s="28"/>
      <c r="O142" s="28"/>
      <c r="P142" s="28"/>
      <c r="Q142" s="28"/>
      <c r="R142" s="28"/>
    </row>
    <row r="143" spans="1:18" s="11" customFormat="1" ht="75" customHeight="1" thickBot="1">
      <c r="A143" s="667" t="str">
        <f>S!A107</f>
        <v>S8</v>
      </c>
      <c r="B143" s="674" t="str">
        <f>S!B107</f>
        <v>Excessive Sediment Loading from Contributing Area</v>
      </c>
      <c r="C143" s="201" t="str">
        <f>S!E124</f>
        <v>Final Score=</v>
      </c>
      <c r="D143" s="1044">
        <f>S!F124</f>
        <v>0</v>
      </c>
      <c r="E143" s="678"/>
      <c r="F143" s="739"/>
      <c r="G143" s="665">
        <f>1-D143</f>
        <v>1</v>
      </c>
      <c r="H143" s="1215" t="s">
        <v>1898</v>
      </c>
      <c r="I143" s="1683" t="s">
        <v>2084</v>
      </c>
      <c r="J143" s="28"/>
      <c r="K143" s="200"/>
      <c r="L143" s="28"/>
      <c r="M143" s="28"/>
      <c r="N143" s="28"/>
      <c r="O143" s="28"/>
      <c r="P143" s="28"/>
      <c r="Q143" s="28"/>
      <c r="R143" s="28"/>
    </row>
    <row r="144" spans="1:18" s="11" customFormat="1" ht="45" customHeight="1" thickBot="1">
      <c r="A144" s="1057" t="str">
        <f>S!A125</f>
        <v>S9</v>
      </c>
      <c r="B144" s="1058" t="str">
        <f>S!B125</f>
        <v>Soil or Sediment Alteration Within the Assessment Area</v>
      </c>
      <c r="C144" s="1061" t="str">
        <f>S!E142</f>
        <v>Final Score=</v>
      </c>
      <c r="D144" s="1059">
        <f>S!F142</f>
        <v>0</v>
      </c>
      <c r="E144" s="1060"/>
      <c r="F144" s="752"/>
      <c r="G144" s="538">
        <f>1-D144</f>
        <v>1</v>
      </c>
      <c r="H144" s="5" t="s">
        <v>125</v>
      </c>
      <c r="I144" s="1683" t="s">
        <v>2085</v>
      </c>
      <c r="J144" s="28"/>
      <c r="K144" s="200"/>
      <c r="L144" s="28"/>
      <c r="M144" s="28"/>
      <c r="N144" s="28"/>
      <c r="O144" s="28"/>
      <c r="P144" s="28"/>
      <c r="Q144" s="28"/>
      <c r="R144" s="28"/>
    </row>
    <row r="145" spans="1:18" s="187" customFormat="1" ht="36" customHeight="1" thickBot="1">
      <c r="A145" s="1581" t="s">
        <v>168</v>
      </c>
      <c r="B145" s="1582" t="s">
        <v>2414</v>
      </c>
      <c r="C145" s="1584" t="s">
        <v>1354</v>
      </c>
      <c r="D145" s="1583" t="s">
        <v>64</v>
      </c>
      <c r="E145" s="1746" t="s">
        <v>1383</v>
      </c>
      <c r="F145" s="1706" t="s">
        <v>1384</v>
      </c>
      <c r="G145" s="1747" t="s">
        <v>1293</v>
      </c>
      <c r="H145" s="1582" t="s">
        <v>1294</v>
      </c>
      <c r="I145" s="1582" t="s">
        <v>2622</v>
      </c>
      <c r="J145" s="192"/>
      <c r="K145" s="192"/>
      <c r="L145" s="192"/>
      <c r="M145" s="192"/>
      <c r="N145" s="192"/>
      <c r="O145" s="192"/>
      <c r="P145" s="192"/>
      <c r="Q145" s="192"/>
      <c r="R145" s="192"/>
    </row>
    <row r="146" spans="1:18" ht="30" customHeight="1" thickBot="1">
      <c r="A146" s="2645"/>
      <c r="B146" s="734" t="str">
        <f>FA!C147</f>
        <v>Function Score for Anadromous Fish Habitat</v>
      </c>
      <c r="C146" s="730"/>
      <c r="D146" s="160"/>
      <c r="E146" s="181"/>
      <c r="F146" s="162"/>
      <c r="G146" s="747">
        <f>FA!G147/10</f>
        <v>0</v>
      </c>
      <c r="H146" s="2211" t="s">
        <v>1632</v>
      </c>
      <c r="I146" s="2656"/>
    </row>
    <row r="147" spans="1:18" ht="30" customHeight="1" thickBot="1">
      <c r="A147" s="2495"/>
      <c r="B147" s="735" t="str">
        <f>FR!C138</f>
        <v>Function Score for Resident Fish Habitat</v>
      </c>
      <c r="C147" s="731"/>
      <c r="D147" s="161"/>
      <c r="E147" s="182"/>
      <c r="F147" s="158"/>
      <c r="G147" s="748">
        <f>FR!G138/10</f>
        <v>0</v>
      </c>
      <c r="H147" s="2211"/>
      <c r="I147" s="2629"/>
    </row>
    <row r="148" spans="1:18" ht="30" customHeight="1" thickBot="1">
      <c r="A148" s="2495"/>
      <c r="B148" s="735" t="str">
        <f>AM!C206</f>
        <v>Function Score for Amphibian Habitat</v>
      </c>
      <c r="C148" s="731"/>
      <c r="D148" s="161"/>
      <c r="E148" s="182"/>
      <c r="F148" s="158"/>
      <c r="G148" s="748">
        <f>AM!G206/10</f>
        <v>1.0416666666666666E-2</v>
      </c>
      <c r="H148" s="2211"/>
      <c r="I148" s="2629"/>
    </row>
    <row r="149" spans="1:18" ht="30" customHeight="1" thickBot="1">
      <c r="A149" s="2495"/>
      <c r="B149" s="735" t="str">
        <f>WBF!C164</f>
        <v>Function Score for Feeding Waterbird Habitat</v>
      </c>
      <c r="C149" s="731"/>
      <c r="D149" s="161"/>
      <c r="E149" s="182"/>
      <c r="F149" s="158"/>
      <c r="G149" s="748">
        <f>WBF!G164/10</f>
        <v>0.05</v>
      </c>
      <c r="H149" s="2211"/>
      <c r="I149" s="2629"/>
    </row>
    <row r="150" spans="1:18" ht="30" customHeight="1" thickBot="1">
      <c r="A150" s="2495"/>
      <c r="B150" s="735" t="str">
        <f>WBN!C181</f>
        <v>Function Score for Nesting Waterbird Habitat</v>
      </c>
      <c r="C150" s="732"/>
      <c r="D150" s="158"/>
      <c r="E150" s="158"/>
      <c r="F150" s="182"/>
      <c r="G150" s="748">
        <f>IFERROR((WBN!G181/10),"")</f>
        <v>0</v>
      </c>
      <c r="H150" s="2211"/>
      <c r="I150" s="2629"/>
    </row>
    <row r="151" spans="1:18" ht="45" customHeight="1" thickBot="1">
      <c r="A151" s="2496"/>
      <c r="B151" s="736" t="str">
        <f>SBM!C172</f>
        <v>Function Score for Songbird, Raptor, &amp; Mammal Habitat</v>
      </c>
      <c r="C151" s="733"/>
      <c r="D151" s="184"/>
      <c r="E151" s="184"/>
      <c r="F151" s="183"/>
      <c r="G151" s="748">
        <f>SBM!G172/10</f>
        <v>0</v>
      </c>
      <c r="H151" s="2420"/>
      <c r="I151" s="2630"/>
    </row>
    <row r="152" spans="1:18" ht="21" customHeight="1" thickBot="1">
      <c r="A152" s="2379"/>
      <c r="B152" s="2379"/>
      <c r="C152" s="2379"/>
      <c r="D152" s="2379"/>
      <c r="E152" s="2379"/>
      <c r="F152" s="2379"/>
      <c r="G152" s="2379"/>
      <c r="H152" s="2379"/>
    </row>
    <row r="153" spans="1:18" ht="21" customHeight="1">
      <c r="A153" s="2397"/>
      <c r="B153" s="2397"/>
      <c r="C153" s="2397"/>
      <c r="D153" s="2641" t="s">
        <v>201</v>
      </c>
      <c r="E153" s="2642"/>
      <c r="F153" s="2642"/>
      <c r="G153" s="484">
        <f>AVERAGE(ABpct8,(AVERAGE(AqCov8,DepthDiv8, Gcover8,Girreg8,WoodDown8, HerbDiv8, WoodHerbMix8)))</f>
        <v>0</v>
      </c>
      <c r="H153" s="1897" t="s">
        <v>2665</v>
      </c>
      <c r="I153" s="1898" t="s">
        <v>2752</v>
      </c>
    </row>
    <row r="154" spans="1:18" ht="21" customHeight="1">
      <c r="A154" s="2397"/>
      <c r="B154" s="2397"/>
      <c r="C154" s="2397"/>
      <c r="D154" s="2617" t="s">
        <v>199</v>
      </c>
      <c r="E154" s="2618"/>
      <c r="F154" s="2618"/>
      <c r="G154" s="485">
        <f>AVERAGE(PermWpct8,SatPct8,SeasPct8,Fluctu8,Groundw8)</f>
        <v>0</v>
      </c>
      <c r="H154" s="1858" t="s">
        <v>1343</v>
      </c>
      <c r="I154" s="1899" t="s">
        <v>2753</v>
      </c>
    </row>
    <row r="155" spans="1:18" ht="21" customHeight="1">
      <c r="A155" s="2397"/>
      <c r="B155" s="2397"/>
      <c r="C155" s="2397"/>
      <c r="D155" s="2617" t="s">
        <v>200</v>
      </c>
      <c r="E155" s="2618"/>
      <c r="F155" s="2618"/>
      <c r="G155" s="485">
        <f>IF((AllSat1&gt;0),"", IF((NoPonded=1),"", AVERAGE(Interspers8,ThruFlo8,IsoWet8)))</f>
        <v>0</v>
      </c>
      <c r="H155" s="1858" t="s">
        <v>2666</v>
      </c>
      <c r="I155" s="1899" t="s">
        <v>2754</v>
      </c>
    </row>
    <row r="156" spans="1:18" ht="30" customHeight="1">
      <c r="A156" s="2397"/>
      <c r="B156" s="2397"/>
      <c r="C156" s="2397"/>
      <c r="D156" s="2484" t="s">
        <v>232</v>
      </c>
      <c r="E156" s="2485"/>
      <c r="F156" s="2485"/>
      <c r="G156" s="485">
        <f>AVERAGE(Wettype8,AVERAGE(Depth8,warmth8,DecidTree8,Nfixers8,WoodDown8, Karst7a,,Conduc8,TidalProx8))</f>
        <v>8.3333333333333329E-2</v>
      </c>
      <c r="H156" s="1858" t="s">
        <v>2667</v>
      </c>
      <c r="I156" s="1899" t="s">
        <v>2755</v>
      </c>
    </row>
    <row r="157" spans="1:18" ht="21" customHeight="1">
      <c r="A157" s="2397"/>
      <c r="B157" s="2397"/>
      <c r="C157" s="2397"/>
      <c r="D157" s="2617" t="s">
        <v>198</v>
      </c>
      <c r="E157" s="2618"/>
      <c r="F157" s="2618"/>
      <c r="G157" s="485">
        <f>AVERAGE(ImpervCA,NatVegPctCU8,CUbuffLUtype8,Subtypes8)</f>
        <v>0</v>
      </c>
      <c r="H157" s="1858" t="s">
        <v>2668</v>
      </c>
      <c r="I157" s="1899" t="s">
        <v>2756</v>
      </c>
    </row>
    <row r="158" spans="1:18" ht="21" customHeight="1" thickBot="1">
      <c r="A158" s="2397"/>
      <c r="B158" s="2397"/>
      <c r="C158" s="2397"/>
      <c r="D158" s="2619" t="s">
        <v>574</v>
      </c>
      <c r="E158" s="2620"/>
      <c r="F158" s="2620"/>
      <c r="G158" s="1909">
        <f>AVERAGE(Fish8,MAX(SedCA8a,SoilDisturb8a,AltTime8a))</f>
        <v>1</v>
      </c>
      <c r="H158" s="1900" t="s">
        <v>2669</v>
      </c>
      <c r="I158" s="1901" t="s">
        <v>2757</v>
      </c>
    </row>
    <row r="159" spans="1:18" ht="21" customHeight="1" thickBot="1">
      <c r="A159" s="2397"/>
      <c r="B159" s="2397"/>
      <c r="C159" s="2397"/>
      <c r="D159" s="2655"/>
      <c r="E159" s="2655"/>
      <c r="F159" s="2655"/>
      <c r="G159" s="2655"/>
      <c r="H159" s="2653"/>
    </row>
    <row r="160" spans="1:18" ht="30" customHeight="1" thickBot="1">
      <c r="A160" s="2653"/>
      <c r="B160" s="2654"/>
      <c r="C160" s="2394" t="s">
        <v>16</v>
      </c>
      <c r="D160" s="2395"/>
      <c r="E160" s="2396"/>
      <c r="F160" s="1591" t="s">
        <v>75</v>
      </c>
      <c r="G160" s="1700">
        <f>10*AVERAGE(Structure8,Food8,AVERAGE(Hydropd8,Connec8,Stressors8,Lscape8))</f>
        <v>1.1111111111111112</v>
      </c>
      <c r="H160" s="2575" t="s">
        <v>2670</v>
      </c>
      <c r="I160" s="2576"/>
    </row>
    <row r="161" spans="1:9" ht="30" customHeight="1" thickBot="1">
      <c r="A161" s="2653"/>
      <c r="B161" s="2654"/>
      <c r="C161" s="2394" t="s">
        <v>2415</v>
      </c>
      <c r="D161" s="2395"/>
      <c r="E161" s="2396"/>
      <c r="F161" s="1949" t="s">
        <v>2888</v>
      </c>
      <c r="G161" s="1701">
        <f>10*(AVERAGE(AnadFish,ResFish,Amphib,WbirdF,WbirdNest,SongbMam))</f>
        <v>0.10069444444444445</v>
      </c>
      <c r="H161" s="2363" t="s">
        <v>2671</v>
      </c>
      <c r="I161" s="2364"/>
    </row>
    <row r="162" spans="1:9" ht="21" customHeight="1" thickBot="1">
      <c r="A162" s="2653"/>
      <c r="B162" s="2653"/>
      <c r="C162" s="2653"/>
      <c r="D162" s="2653"/>
      <c r="E162" s="2653"/>
      <c r="F162" s="2653"/>
      <c r="G162" s="2653"/>
      <c r="H162" s="2653"/>
    </row>
    <row r="163" spans="1:9" ht="21" customHeight="1" thickBot="1">
      <c r="A163" s="28"/>
      <c r="B163" s="28"/>
      <c r="C163" s="28"/>
      <c r="D163" s="28"/>
      <c r="E163" s="28"/>
      <c r="F163" s="28"/>
      <c r="G163" s="1231"/>
      <c r="H163" s="2609" t="s">
        <v>806</v>
      </c>
      <c r="I163" s="2610"/>
    </row>
    <row r="164" spans="1:9" ht="42" customHeight="1">
      <c r="A164" s="28"/>
      <c r="B164" s="28"/>
      <c r="C164" s="28"/>
      <c r="D164" s="28"/>
      <c r="E164" s="28"/>
      <c r="F164" s="28"/>
      <c r="G164" s="28"/>
      <c r="H164" s="2557" t="s">
        <v>930</v>
      </c>
      <c r="I164" s="2558"/>
    </row>
    <row r="165" spans="1:9" ht="27" customHeight="1">
      <c r="A165" s="28"/>
      <c r="B165" s="28"/>
      <c r="C165" s="28"/>
      <c r="D165" s="28"/>
      <c r="E165" s="28"/>
      <c r="F165" s="28"/>
      <c r="G165" s="28"/>
      <c r="H165" s="2373" t="s">
        <v>961</v>
      </c>
      <c r="I165" s="2374"/>
    </row>
    <row r="166" spans="1:9" ht="42" customHeight="1">
      <c r="A166" s="28"/>
      <c r="B166" s="28"/>
      <c r="C166" s="28"/>
      <c r="D166" s="28"/>
      <c r="E166" s="28"/>
      <c r="F166" s="28"/>
      <c r="G166" s="28"/>
      <c r="H166" s="2373" t="s">
        <v>1274</v>
      </c>
      <c r="I166" s="2374"/>
    </row>
    <row r="167" spans="1:9" ht="27" customHeight="1">
      <c r="A167" s="28"/>
      <c r="B167" s="28"/>
      <c r="C167" s="28"/>
      <c r="D167" s="28"/>
      <c r="E167" s="28"/>
      <c r="F167" s="28"/>
      <c r="G167" s="28"/>
      <c r="H167" s="2373" t="s">
        <v>1273</v>
      </c>
      <c r="I167" s="2374"/>
    </row>
    <row r="168" spans="1:9" ht="27" customHeight="1">
      <c r="A168" s="28"/>
      <c r="B168" s="28"/>
      <c r="C168" s="28"/>
      <c r="D168" s="28"/>
      <c r="E168" s="28"/>
      <c r="F168" s="28"/>
      <c r="G168" s="28"/>
      <c r="H168" s="2373" t="s">
        <v>962</v>
      </c>
      <c r="I168" s="2374"/>
    </row>
    <row r="169" spans="1:9" ht="27" customHeight="1">
      <c r="A169" s="28"/>
      <c r="B169" s="28"/>
      <c r="C169" s="28"/>
      <c r="D169" s="28"/>
      <c r="E169" s="28"/>
      <c r="F169" s="28"/>
      <c r="G169" s="28"/>
      <c r="H169" s="2373" t="s">
        <v>963</v>
      </c>
      <c r="I169" s="2374"/>
    </row>
    <row r="170" spans="1:9" ht="27" customHeight="1">
      <c r="A170" s="28"/>
      <c r="B170" s="28"/>
      <c r="C170" s="28"/>
      <c r="D170" s="28"/>
      <c r="E170" s="28"/>
      <c r="F170" s="28"/>
      <c r="G170" s="28"/>
      <c r="H170" s="2373" t="s">
        <v>964</v>
      </c>
      <c r="I170" s="2374"/>
    </row>
    <row r="171" spans="1:9" ht="27" customHeight="1">
      <c r="A171" s="28"/>
      <c r="B171" s="28"/>
      <c r="C171" s="28"/>
      <c r="D171" s="28"/>
      <c r="E171" s="28"/>
      <c r="F171" s="28"/>
      <c r="G171" s="28"/>
      <c r="H171" s="2373" t="s">
        <v>965</v>
      </c>
      <c r="I171" s="2374"/>
    </row>
    <row r="172" spans="1:9" ht="42" customHeight="1">
      <c r="A172" s="28"/>
      <c r="B172" s="28"/>
      <c r="C172" s="28"/>
      <c r="D172" s="28"/>
      <c r="E172" s="28"/>
      <c r="F172" s="28"/>
      <c r="G172" s="28"/>
      <c r="H172" s="2373" t="s">
        <v>966</v>
      </c>
      <c r="I172" s="2374"/>
    </row>
    <row r="173" spans="1:9" ht="42" customHeight="1">
      <c r="A173" s="28"/>
      <c r="B173" s="28"/>
      <c r="C173" s="28"/>
      <c r="D173" s="28"/>
      <c r="E173" s="28"/>
      <c r="F173" s="28"/>
      <c r="G173" s="28"/>
      <c r="H173" s="2373" t="s">
        <v>967</v>
      </c>
      <c r="I173" s="2374"/>
    </row>
    <row r="174" spans="1:9" ht="27" customHeight="1">
      <c r="A174" s="28"/>
      <c r="B174" s="28"/>
      <c r="C174" s="28"/>
      <c r="D174" s="28"/>
      <c r="E174" s="28"/>
      <c r="F174" s="28"/>
      <c r="G174" s="28"/>
      <c r="H174" s="2373" t="s">
        <v>968</v>
      </c>
      <c r="I174" s="2374"/>
    </row>
    <row r="175" spans="1:9" ht="27" customHeight="1">
      <c r="A175" s="28"/>
      <c r="B175" s="28"/>
      <c r="C175" s="28"/>
      <c r="D175" s="28"/>
      <c r="E175" s="28"/>
      <c r="F175" s="28"/>
      <c r="G175" s="28"/>
      <c r="H175" s="2373" t="s">
        <v>969</v>
      </c>
      <c r="I175" s="2374"/>
    </row>
    <row r="176" spans="1:9" ht="27" customHeight="1">
      <c r="A176" s="28"/>
      <c r="B176" s="28"/>
      <c r="C176" s="28"/>
      <c r="D176" s="28"/>
      <c r="E176" s="28"/>
      <c r="F176" s="28"/>
      <c r="G176" s="28"/>
      <c r="H176" s="2373" t="s">
        <v>944</v>
      </c>
      <c r="I176" s="2374"/>
    </row>
    <row r="177" spans="1:18" ht="42" customHeight="1">
      <c r="A177" s="28"/>
      <c r="B177" s="28"/>
      <c r="C177" s="28"/>
      <c r="D177" s="28"/>
      <c r="E177" s="28"/>
      <c r="F177" s="28"/>
      <c r="G177" s="28"/>
      <c r="H177" s="2373" t="s">
        <v>2350</v>
      </c>
      <c r="I177" s="2374"/>
    </row>
    <row r="178" spans="1:18" ht="27" customHeight="1">
      <c r="A178" s="28"/>
      <c r="B178" s="28"/>
      <c r="C178" s="28"/>
      <c r="D178" s="28"/>
      <c r="E178" s="28"/>
      <c r="F178" s="28"/>
      <c r="G178" s="28"/>
      <c r="H178" s="2373" t="s">
        <v>970</v>
      </c>
      <c r="I178" s="2374"/>
    </row>
    <row r="179" spans="1:18" ht="27" customHeight="1">
      <c r="A179" s="28"/>
      <c r="B179" s="28"/>
      <c r="C179" s="28"/>
      <c r="D179" s="28"/>
      <c r="E179" s="28"/>
      <c r="F179" s="28"/>
      <c r="G179" s="28"/>
      <c r="H179" s="2373" t="s">
        <v>2351</v>
      </c>
      <c r="I179" s="2374"/>
    </row>
    <row r="180" spans="1:18" ht="42" customHeight="1">
      <c r="A180" s="28"/>
      <c r="B180" s="28"/>
      <c r="C180" s="28"/>
      <c r="D180" s="28"/>
      <c r="E180" s="28"/>
      <c r="F180" s="28"/>
      <c r="G180" s="28"/>
      <c r="H180" s="2373" t="s">
        <v>2171</v>
      </c>
      <c r="I180" s="2374"/>
    </row>
    <row r="181" spans="1:18" ht="27" customHeight="1">
      <c r="A181" s="28"/>
      <c r="B181" s="28"/>
      <c r="C181" s="28"/>
      <c r="D181" s="28"/>
      <c r="E181" s="28"/>
      <c r="F181" s="28"/>
      <c r="G181" s="28"/>
      <c r="H181" s="2551" t="s">
        <v>971</v>
      </c>
      <c r="I181" s="2552"/>
    </row>
    <row r="182" spans="1:18" ht="27" customHeight="1">
      <c r="A182" s="28"/>
      <c r="B182" s="28"/>
      <c r="C182" s="28"/>
      <c r="D182" s="28"/>
      <c r="E182" s="28"/>
      <c r="F182" s="28"/>
      <c r="G182" s="28"/>
      <c r="H182" s="2373" t="s">
        <v>972</v>
      </c>
      <c r="I182" s="2374"/>
    </row>
    <row r="183" spans="1:18" ht="42" customHeight="1">
      <c r="A183" s="28"/>
      <c r="B183" s="28"/>
      <c r="C183" s="28"/>
      <c r="D183" s="28"/>
      <c r="E183" s="28"/>
      <c r="F183" s="28"/>
      <c r="G183" s="28"/>
      <c r="H183" s="2373" t="s">
        <v>973</v>
      </c>
      <c r="I183" s="2374"/>
    </row>
    <row r="184" spans="1:18" ht="27" customHeight="1">
      <c r="A184" s="28"/>
      <c r="B184" s="28"/>
      <c r="C184" s="28"/>
      <c r="D184" s="28"/>
      <c r="E184" s="28"/>
      <c r="F184" s="28"/>
      <c r="G184" s="28"/>
      <c r="H184" s="2373" t="s">
        <v>946</v>
      </c>
      <c r="I184" s="2374"/>
    </row>
    <row r="185" spans="1:18" ht="27" customHeight="1">
      <c r="A185" s="28"/>
      <c r="B185" s="28"/>
      <c r="C185" s="28"/>
      <c r="D185" s="28"/>
      <c r="E185" s="28"/>
      <c r="F185" s="28"/>
      <c r="G185" s="28"/>
      <c r="H185" s="2373" t="s">
        <v>1398</v>
      </c>
      <c r="I185" s="2374"/>
    </row>
    <row r="186" spans="1:18" ht="42" customHeight="1">
      <c r="A186" s="28"/>
      <c r="B186" s="28"/>
      <c r="C186" s="28"/>
      <c r="D186" s="28"/>
      <c r="E186" s="28"/>
      <c r="F186" s="28"/>
      <c r="G186" s="28"/>
      <c r="H186" s="2373" t="s">
        <v>974</v>
      </c>
      <c r="I186" s="2374"/>
    </row>
    <row r="187" spans="1:18" ht="27" customHeight="1">
      <c r="A187" s="28"/>
      <c r="B187" s="28"/>
      <c r="C187" s="28"/>
      <c r="D187" s="28"/>
      <c r="E187" s="28"/>
      <c r="F187" s="28"/>
      <c r="G187" s="28"/>
      <c r="H187" s="2373" t="s">
        <v>975</v>
      </c>
      <c r="I187" s="2374"/>
    </row>
    <row r="188" spans="1:18" ht="27" customHeight="1">
      <c r="A188" s="28"/>
      <c r="B188" s="28"/>
      <c r="C188" s="28"/>
      <c r="D188" s="28"/>
      <c r="E188" s="28"/>
      <c r="F188" s="28"/>
      <c r="G188" s="28"/>
      <c r="H188" s="2373" t="s">
        <v>976</v>
      </c>
      <c r="I188" s="2374"/>
    </row>
    <row r="189" spans="1:18" ht="27" customHeight="1">
      <c r="A189" s="28"/>
      <c r="B189" s="28"/>
      <c r="C189" s="28"/>
      <c r="D189" s="28"/>
      <c r="E189" s="28"/>
      <c r="F189" s="28"/>
      <c r="G189" s="28"/>
      <c r="H189" s="2373" t="s">
        <v>977</v>
      </c>
      <c r="I189" s="2374"/>
    </row>
    <row r="190" spans="1:18" ht="27" customHeight="1">
      <c r="A190" s="28"/>
      <c r="B190" s="28"/>
      <c r="C190" s="28"/>
      <c r="D190" s="28"/>
      <c r="E190" s="28"/>
      <c r="F190" s="28"/>
      <c r="G190" s="28"/>
      <c r="H190" s="2373" t="s">
        <v>1688</v>
      </c>
      <c r="I190" s="2374"/>
      <c r="J190" s="553"/>
      <c r="L190" s="553"/>
      <c r="M190" s="553"/>
      <c r="N190" s="553"/>
      <c r="O190" s="553"/>
      <c r="P190" s="553"/>
      <c r="Q190" s="553"/>
      <c r="R190" s="553"/>
    </row>
    <row r="191" spans="1:18" ht="54" customHeight="1">
      <c r="A191" s="28"/>
      <c r="B191" s="28"/>
      <c r="C191" s="28"/>
      <c r="D191" s="28"/>
      <c r="E191" s="28"/>
      <c r="F191" s="28"/>
      <c r="G191" s="28"/>
      <c r="H191" s="2367" t="s">
        <v>978</v>
      </c>
      <c r="I191" s="2368"/>
    </row>
    <row r="192" spans="1:18" ht="27" customHeight="1">
      <c r="A192" s="28"/>
      <c r="B192" s="28"/>
      <c r="C192" s="28"/>
      <c r="D192" s="28"/>
      <c r="E192" s="28"/>
      <c r="F192" s="28"/>
      <c r="G192" s="28"/>
      <c r="H192" s="2373" t="s">
        <v>979</v>
      </c>
      <c r="I192" s="2374"/>
    </row>
    <row r="193" spans="1:9" ht="27" customHeight="1">
      <c r="A193" s="28"/>
      <c r="B193" s="28"/>
      <c r="C193" s="28"/>
      <c r="D193" s="28"/>
      <c r="E193" s="28"/>
      <c r="F193" s="28"/>
      <c r="G193" s="28"/>
      <c r="H193" s="2373" t="s">
        <v>980</v>
      </c>
      <c r="I193" s="2374"/>
    </row>
    <row r="194" spans="1:9" ht="27" customHeight="1">
      <c r="A194" s="28"/>
      <c r="B194" s="28"/>
      <c r="C194" s="28"/>
      <c r="D194" s="28"/>
      <c r="E194" s="28"/>
      <c r="F194" s="28"/>
      <c r="G194" s="28"/>
      <c r="H194" s="2373" t="s">
        <v>981</v>
      </c>
      <c r="I194" s="2374"/>
    </row>
    <row r="195" spans="1:9" ht="27" customHeight="1">
      <c r="A195" s="28"/>
      <c r="B195" s="28"/>
      <c r="C195" s="28"/>
      <c r="D195" s="28"/>
      <c r="E195" s="28"/>
      <c r="F195" s="28"/>
      <c r="G195" s="28"/>
      <c r="H195" s="2373" t="s">
        <v>982</v>
      </c>
      <c r="I195" s="2374"/>
    </row>
    <row r="196" spans="1:9" ht="27" customHeight="1">
      <c r="A196" s="28"/>
      <c r="B196" s="28"/>
      <c r="C196" s="28"/>
      <c r="D196" s="28"/>
      <c r="E196" s="28"/>
      <c r="F196" s="28"/>
      <c r="G196" s="28"/>
      <c r="H196" s="2373" t="s">
        <v>983</v>
      </c>
      <c r="I196" s="2374"/>
    </row>
    <row r="197" spans="1:9" ht="42" customHeight="1">
      <c r="A197" s="28"/>
      <c r="B197" s="28"/>
      <c r="C197" s="28"/>
      <c r="D197" s="28"/>
      <c r="E197" s="28"/>
      <c r="F197" s="28"/>
      <c r="G197" s="28"/>
      <c r="H197" s="2373" t="s">
        <v>984</v>
      </c>
      <c r="I197" s="2374"/>
    </row>
    <row r="198" spans="1:9" ht="27" customHeight="1">
      <c r="A198" s="28"/>
      <c r="B198" s="28"/>
      <c r="C198" s="28"/>
      <c r="D198" s="28"/>
      <c r="E198" s="28"/>
      <c r="F198" s="28"/>
      <c r="G198" s="28"/>
      <c r="H198" s="2373" t="s">
        <v>950</v>
      </c>
      <c r="I198" s="2374"/>
    </row>
    <row r="199" spans="1:9" ht="27" customHeight="1">
      <c r="A199" s="28"/>
      <c r="B199" s="28"/>
      <c r="C199" s="28"/>
      <c r="D199" s="28"/>
      <c r="E199" s="28"/>
      <c r="F199" s="28"/>
      <c r="G199" s="28"/>
      <c r="H199" s="2373" t="s">
        <v>985</v>
      </c>
      <c r="I199" s="2374"/>
    </row>
    <row r="200" spans="1:9" ht="27" customHeight="1">
      <c r="A200" s="28"/>
      <c r="B200" s="28"/>
      <c r="C200" s="28"/>
      <c r="D200" s="28"/>
      <c r="E200" s="28"/>
      <c r="F200" s="28"/>
      <c r="G200" s="28"/>
      <c r="H200" s="2373" t="s">
        <v>2170</v>
      </c>
      <c r="I200" s="2374"/>
    </row>
    <row r="201" spans="1:9" ht="42" customHeight="1">
      <c r="A201" s="28"/>
      <c r="B201" s="28"/>
      <c r="C201" s="28"/>
      <c r="D201" s="28"/>
      <c r="E201" s="28"/>
      <c r="F201" s="28"/>
      <c r="G201" s="28"/>
      <c r="H201" s="2373" t="s">
        <v>1833</v>
      </c>
      <c r="I201" s="2374"/>
    </row>
    <row r="202" spans="1:9" ht="27" customHeight="1">
      <c r="A202" s="28"/>
      <c r="B202" s="28"/>
      <c r="C202" s="28"/>
      <c r="D202" s="28"/>
      <c r="E202" s="28"/>
      <c r="F202" s="28"/>
      <c r="G202" s="28"/>
      <c r="H202" s="2373" t="s">
        <v>986</v>
      </c>
      <c r="I202" s="2374"/>
    </row>
    <row r="203" spans="1:9" ht="27" customHeight="1">
      <c r="A203" s="28"/>
      <c r="B203" s="28"/>
      <c r="C203" s="28"/>
      <c r="D203" s="28"/>
      <c r="E203" s="28"/>
      <c r="F203" s="28"/>
      <c r="G203" s="28"/>
      <c r="H203" s="2373" t="s">
        <v>1630</v>
      </c>
      <c r="I203" s="2374"/>
    </row>
    <row r="204" spans="1:9" ht="42" customHeight="1" thickBot="1">
      <c r="A204" s="28"/>
      <c r="B204" s="28"/>
      <c r="C204" s="28"/>
      <c r="D204" s="28"/>
      <c r="E204" s="28"/>
      <c r="F204" s="28"/>
      <c r="G204" s="28"/>
      <c r="H204" s="2407" t="s">
        <v>987</v>
      </c>
      <c r="I204" s="2408"/>
    </row>
    <row r="205" spans="1:9">
      <c r="A205" s="68"/>
      <c r="C205" s="15"/>
    </row>
    <row r="206" spans="1:9">
      <c r="A206" s="68"/>
      <c r="C206" s="15"/>
    </row>
    <row r="207" spans="1:9">
      <c r="A207" s="68"/>
      <c r="C207" s="15"/>
    </row>
    <row r="208" spans="1:9">
      <c r="A208" s="68"/>
      <c r="C208" s="15"/>
    </row>
    <row r="209" spans="1:1">
      <c r="A209" s="68"/>
    </row>
    <row r="210" spans="1:1">
      <c r="A210" s="68"/>
    </row>
    <row r="211" spans="1:1">
      <c r="A211" s="68"/>
    </row>
    <row r="212" spans="1:1">
      <c r="A212" s="68"/>
    </row>
    <row r="213" spans="1:1">
      <c r="A213" s="68"/>
    </row>
    <row r="214" spans="1:1">
      <c r="A214" s="68"/>
    </row>
    <row r="225" spans="8:8" ht="55.2">
      <c r="H225" s="553" t="s">
        <v>1953</v>
      </c>
    </row>
  </sheetData>
  <sheetProtection password="C74A" sheet="1" objects="1" scenarios="1" formatCells="0" formatColumns="0" formatRows="0"/>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170">
    <mergeCell ref="H203:I203"/>
    <mergeCell ref="H204:I204"/>
    <mergeCell ref="H198:I198"/>
    <mergeCell ref="H199:I199"/>
    <mergeCell ref="H200:I200"/>
    <mergeCell ref="H201:I201"/>
    <mergeCell ref="H202:I202"/>
    <mergeCell ref="H193:I193"/>
    <mergeCell ref="H194:I194"/>
    <mergeCell ref="H195:I195"/>
    <mergeCell ref="H196:I196"/>
    <mergeCell ref="H197:I197"/>
    <mergeCell ref="H188:I188"/>
    <mergeCell ref="H189:I189"/>
    <mergeCell ref="H190:I190"/>
    <mergeCell ref="H191:I191"/>
    <mergeCell ref="H192:I192"/>
    <mergeCell ref="H183:I183"/>
    <mergeCell ref="H184:I184"/>
    <mergeCell ref="H185:I185"/>
    <mergeCell ref="H186:I186"/>
    <mergeCell ref="H187:I187"/>
    <mergeCell ref="H178:I178"/>
    <mergeCell ref="H179:I179"/>
    <mergeCell ref="H180:I180"/>
    <mergeCell ref="H181:I181"/>
    <mergeCell ref="H182:I182"/>
    <mergeCell ref="H173:I173"/>
    <mergeCell ref="H174:I174"/>
    <mergeCell ref="H175:I175"/>
    <mergeCell ref="H176:I176"/>
    <mergeCell ref="H177:I177"/>
    <mergeCell ref="H168:I168"/>
    <mergeCell ref="H169:I169"/>
    <mergeCell ref="H170:I170"/>
    <mergeCell ref="H171:I171"/>
    <mergeCell ref="H172:I172"/>
    <mergeCell ref="H163:I163"/>
    <mergeCell ref="H164:I164"/>
    <mergeCell ref="H165:I165"/>
    <mergeCell ref="H166:I166"/>
    <mergeCell ref="H167:I167"/>
    <mergeCell ref="H160:I160"/>
    <mergeCell ref="H161:I161"/>
    <mergeCell ref="I139:I141"/>
    <mergeCell ref="I146:I151"/>
    <mergeCell ref="I124:I128"/>
    <mergeCell ref="I129:I132"/>
    <mergeCell ref="I133:I138"/>
    <mergeCell ref="I82:I86"/>
    <mergeCell ref="I87:I92"/>
    <mergeCell ref="I93:I96"/>
    <mergeCell ref="I103:I109"/>
    <mergeCell ref="I110:I113"/>
    <mergeCell ref="H87:H92"/>
    <mergeCell ref="I70:I75"/>
    <mergeCell ref="I76:I81"/>
    <mergeCell ref="I37:I41"/>
    <mergeCell ref="I42:I44"/>
    <mergeCell ref="I45:I50"/>
    <mergeCell ref="I51:I55"/>
    <mergeCell ref="I56:I59"/>
    <mergeCell ref="I114:I117"/>
    <mergeCell ref="I118:I123"/>
    <mergeCell ref="I26:I30"/>
    <mergeCell ref="I31:I35"/>
    <mergeCell ref="A118:A123"/>
    <mergeCell ref="H129:H132"/>
    <mergeCell ref="A110:A113"/>
    <mergeCell ref="B110:B113"/>
    <mergeCell ref="A129:A132"/>
    <mergeCell ref="H118:H123"/>
    <mergeCell ref="B118:B123"/>
    <mergeCell ref="B129:B132"/>
    <mergeCell ref="H110:H113"/>
    <mergeCell ref="B124:B128"/>
    <mergeCell ref="A124:A128"/>
    <mergeCell ref="H124:H128"/>
    <mergeCell ref="A114:A117"/>
    <mergeCell ref="B114:B117"/>
    <mergeCell ref="H114:H117"/>
    <mergeCell ref="H97:H102"/>
    <mergeCell ref="H42:H44"/>
    <mergeCell ref="H37:H41"/>
    <mergeCell ref="B37:B41"/>
    <mergeCell ref="I60:I62"/>
    <mergeCell ref="I63:I69"/>
    <mergeCell ref="I97:I102"/>
    <mergeCell ref="A160:B161"/>
    <mergeCell ref="A162:H162"/>
    <mergeCell ref="D154:F154"/>
    <mergeCell ref="A45:A50"/>
    <mergeCell ref="C161:E161"/>
    <mergeCell ref="D156:F156"/>
    <mergeCell ref="D157:F157"/>
    <mergeCell ref="D158:F158"/>
    <mergeCell ref="D155:F155"/>
    <mergeCell ref="C160:E160"/>
    <mergeCell ref="D153:F153"/>
    <mergeCell ref="B139:B141"/>
    <mergeCell ref="H45:H50"/>
    <mergeCell ref="B51:B55"/>
    <mergeCell ref="B45:B50"/>
    <mergeCell ref="A51:A55"/>
    <mergeCell ref="H63:H69"/>
    <mergeCell ref="B63:B69"/>
    <mergeCell ref="H51:H55"/>
    <mergeCell ref="B70:B75"/>
    <mergeCell ref="A76:A81"/>
    <mergeCell ref="D152:H152"/>
    <mergeCell ref="D159:H159"/>
    <mergeCell ref="A152:C159"/>
    <mergeCell ref="B26:B30"/>
    <mergeCell ref="A37:A41"/>
    <mergeCell ref="A42:A44"/>
    <mergeCell ref="B42:B44"/>
    <mergeCell ref="A97:A102"/>
    <mergeCell ref="B97:B102"/>
    <mergeCell ref="H3:H8"/>
    <mergeCell ref="B20:B24"/>
    <mergeCell ref="B9:B12"/>
    <mergeCell ref="A9:A12"/>
    <mergeCell ref="H56:H59"/>
    <mergeCell ref="H31:H35"/>
    <mergeCell ref="B31:B35"/>
    <mergeCell ref="A31:A35"/>
    <mergeCell ref="A26:A30"/>
    <mergeCell ref="H26:H30"/>
    <mergeCell ref="B60:B62"/>
    <mergeCell ref="A56:A59"/>
    <mergeCell ref="A60:A62"/>
    <mergeCell ref="H60:H62"/>
    <mergeCell ref="B56:B59"/>
    <mergeCell ref="A87:A92"/>
    <mergeCell ref="A70:A75"/>
    <mergeCell ref="A82:A86"/>
    <mergeCell ref="A1:B1"/>
    <mergeCell ref="A13:A19"/>
    <mergeCell ref="B13:B19"/>
    <mergeCell ref="H13:H19"/>
    <mergeCell ref="B3:B8"/>
    <mergeCell ref="H9:H12"/>
    <mergeCell ref="H20:H24"/>
    <mergeCell ref="A3:A8"/>
    <mergeCell ref="A20:A24"/>
    <mergeCell ref="E1:I1"/>
    <mergeCell ref="I3:I8"/>
    <mergeCell ref="I9:I12"/>
    <mergeCell ref="I13:I19"/>
    <mergeCell ref="I20:I24"/>
    <mergeCell ref="B87:B92"/>
    <mergeCell ref="H70:H75"/>
    <mergeCell ref="H76:H81"/>
    <mergeCell ref="H82:H86"/>
    <mergeCell ref="A63:A69"/>
    <mergeCell ref="B82:B86"/>
    <mergeCell ref="B76:B81"/>
    <mergeCell ref="A146:A151"/>
    <mergeCell ref="A133:A138"/>
    <mergeCell ref="H146:H151"/>
    <mergeCell ref="H103:H109"/>
    <mergeCell ref="H93:H96"/>
    <mergeCell ref="A103:A109"/>
    <mergeCell ref="B103:B109"/>
    <mergeCell ref="A93:A96"/>
    <mergeCell ref="B93:B96"/>
    <mergeCell ref="H133:H138"/>
    <mergeCell ref="B133:B138"/>
    <mergeCell ref="A139:A141"/>
    <mergeCell ref="H139:H141"/>
  </mergeCells>
  <phoneticPr fontId="2" type="noConversion"/>
  <pageMargins left="0.75" right="0.75" top="1" bottom="1" header="0.5" footer="0.5"/>
  <pageSetup orientation="portrait" r:id="rId2"/>
  <headerFooter alignWithMargins="0"/>
  <ignoredErrors>
    <ignoredError sqref="G36:G37 G42" formulaRange="1"/>
  </ignoredErrors>
</worksheet>
</file>

<file path=xl/worksheets/sheet17.xml><?xml version="1.0" encoding="utf-8"?>
<worksheet xmlns="http://schemas.openxmlformats.org/spreadsheetml/2006/main" xmlns:r="http://schemas.openxmlformats.org/officeDocument/2006/relationships">
  <sheetPr codeName="Sheet27"/>
  <dimension ref="A1:BP871"/>
  <sheetViews>
    <sheetView zoomScaleNormal="100" workbookViewId="0">
      <selection sqref="A1:B1"/>
    </sheetView>
  </sheetViews>
  <sheetFormatPr defaultColWidth="9.33203125" defaultRowHeight="13.8"/>
  <cols>
    <col min="1" max="1" width="5.77734375" style="7" customWidth="1"/>
    <col min="2" max="2" width="18.77734375" style="7" customWidth="1"/>
    <col min="3" max="3" width="69.77734375" style="7" customWidth="1"/>
    <col min="4" max="5" width="6.77734375" style="359" customWidth="1"/>
    <col min="6" max="6" width="6.77734375" style="760" customWidth="1"/>
    <col min="7" max="7" width="9.77734375" style="761" customWidth="1"/>
    <col min="8" max="8" width="69.77734375" style="553" customWidth="1"/>
    <col min="9" max="9" width="11.77734375" style="14" customWidth="1"/>
    <col min="10" max="10" width="9.33203125" style="17"/>
    <col min="11" max="11" width="9.33203125" style="168"/>
    <col min="12" max="67" width="9.33203125" style="17"/>
    <col min="68" max="16384" width="9.33203125" style="12"/>
  </cols>
  <sheetData>
    <row r="1" spans="1:67" s="128" customFormat="1" ht="48" customHeight="1" thickBot="1">
      <c r="A1" s="2470" t="s">
        <v>2863</v>
      </c>
      <c r="B1" s="2471"/>
      <c r="C1" s="124" t="s">
        <v>1568</v>
      </c>
      <c r="D1" s="154" t="s">
        <v>1242</v>
      </c>
      <c r="E1" s="2659"/>
      <c r="F1" s="2660"/>
      <c r="G1" s="2660"/>
      <c r="H1" s="2660"/>
      <c r="I1" s="2660"/>
      <c r="J1" s="131"/>
      <c r="K1" s="142"/>
      <c r="L1" s="131"/>
      <c r="M1" s="131"/>
      <c r="N1" s="131"/>
      <c r="O1" s="131"/>
      <c r="P1" s="131"/>
      <c r="Q1" s="131"/>
      <c r="R1" s="131"/>
      <c r="S1" s="131"/>
      <c r="T1" s="131"/>
      <c r="U1" s="131"/>
      <c r="V1" s="131"/>
      <c r="W1" s="131"/>
      <c r="X1" s="131"/>
      <c r="Y1" s="131"/>
      <c r="Z1" s="131"/>
      <c r="AA1" s="131"/>
      <c r="AB1" s="131"/>
      <c r="AC1" s="131"/>
      <c r="AD1" s="131"/>
      <c r="AE1" s="131"/>
      <c r="AF1" s="131"/>
      <c r="AG1" s="131"/>
      <c r="AH1" s="131"/>
      <c r="AI1" s="131"/>
      <c r="AJ1" s="131"/>
      <c r="AK1" s="131"/>
      <c r="AL1" s="131"/>
      <c r="AM1" s="131"/>
      <c r="AN1" s="131"/>
      <c r="AO1" s="131"/>
      <c r="AP1" s="131"/>
      <c r="AQ1" s="131"/>
      <c r="AR1" s="131"/>
      <c r="AS1" s="131"/>
      <c r="AT1" s="131"/>
      <c r="AU1" s="131"/>
      <c r="AV1" s="131"/>
      <c r="AW1" s="131"/>
      <c r="AX1" s="131"/>
      <c r="AY1" s="131"/>
      <c r="AZ1" s="131"/>
      <c r="BA1" s="131"/>
      <c r="BB1" s="131"/>
      <c r="BC1" s="131"/>
      <c r="BD1" s="131"/>
      <c r="BE1" s="131"/>
      <c r="BF1" s="131"/>
      <c r="BG1" s="131"/>
      <c r="BH1" s="131"/>
      <c r="BI1" s="131"/>
      <c r="BJ1" s="131"/>
      <c r="BK1" s="131"/>
      <c r="BL1" s="131"/>
      <c r="BM1" s="131"/>
      <c r="BN1" s="131"/>
      <c r="BO1" s="131"/>
    </row>
    <row r="2" spans="1:67" s="138" customFormat="1" ht="36" customHeight="1" thickBot="1">
      <c r="A2" s="1555" t="s">
        <v>168</v>
      </c>
      <c r="B2" s="1555" t="s">
        <v>1758</v>
      </c>
      <c r="C2" s="1596" t="s">
        <v>1354</v>
      </c>
      <c r="D2" s="1555" t="s">
        <v>64</v>
      </c>
      <c r="E2" s="1668" t="s">
        <v>1383</v>
      </c>
      <c r="F2" s="1669" t="s">
        <v>1384</v>
      </c>
      <c r="G2" s="1670" t="s">
        <v>1293</v>
      </c>
      <c r="H2" s="1555" t="s">
        <v>1294</v>
      </c>
      <c r="I2" s="1648" t="s">
        <v>2622</v>
      </c>
      <c r="J2" s="187"/>
      <c r="K2" s="187"/>
      <c r="L2" s="187"/>
      <c r="M2" s="187"/>
      <c r="N2" s="187"/>
      <c r="O2" s="187"/>
      <c r="P2" s="187"/>
      <c r="Q2" s="187"/>
      <c r="R2" s="187"/>
      <c r="S2" s="187"/>
      <c r="T2" s="187"/>
      <c r="U2" s="187"/>
      <c r="V2" s="187"/>
      <c r="W2" s="187"/>
      <c r="X2" s="187"/>
      <c r="Y2" s="187"/>
      <c r="Z2" s="187"/>
      <c r="AA2" s="187"/>
      <c r="AB2" s="187"/>
      <c r="AC2" s="187"/>
      <c r="AD2" s="187"/>
      <c r="AE2" s="187"/>
      <c r="AF2" s="187"/>
      <c r="AG2" s="187"/>
      <c r="AH2" s="187"/>
      <c r="AI2" s="187"/>
      <c r="AJ2" s="187"/>
      <c r="AK2" s="187"/>
      <c r="AL2" s="187"/>
      <c r="AM2" s="187"/>
      <c r="AN2" s="187"/>
      <c r="AO2" s="187"/>
      <c r="AP2" s="187"/>
      <c r="AQ2" s="187"/>
      <c r="AR2" s="187"/>
      <c r="AS2" s="187"/>
      <c r="AT2" s="187"/>
      <c r="AU2" s="187"/>
      <c r="AV2" s="187"/>
      <c r="AW2" s="187"/>
      <c r="AX2" s="187"/>
      <c r="AY2" s="187"/>
      <c r="AZ2" s="187"/>
      <c r="BA2" s="187"/>
      <c r="BB2" s="187"/>
      <c r="BC2" s="187"/>
      <c r="BD2" s="187"/>
      <c r="BE2" s="187"/>
      <c r="BF2" s="187"/>
      <c r="BG2" s="187"/>
      <c r="BH2" s="187"/>
      <c r="BI2" s="187"/>
      <c r="BJ2" s="187"/>
      <c r="BK2" s="187"/>
      <c r="BL2" s="187"/>
      <c r="BM2" s="187"/>
      <c r="BN2" s="187"/>
      <c r="BO2" s="187"/>
    </row>
    <row r="3" spans="1:67" ht="60" customHeight="1" thickBot="1">
      <c r="A3" s="2592" t="str">
        <f>OF!A18</f>
        <v>OF3</v>
      </c>
      <c r="B3" s="2211" t="str">
        <f>OF!B18</f>
        <v xml:space="preserve">Size of Largest Nearby Vegetated Tract or Corridor </v>
      </c>
      <c r="C3" s="658" t="str">
        <f>OF!C18</f>
        <v>Including the AA's vegetated area, the largest patch or corridor that is unmanaged vegetation cover (excluding lawn, row crops, heavily grazed lands, conifer plantation) and is contiguous with vegetation in the AA (i.e., not completely separated by highways or channels that are uniformly wider than 50 m), occupies:</v>
      </c>
      <c r="D3" s="1766"/>
      <c r="E3" s="360"/>
      <c r="F3" s="382"/>
      <c r="G3" s="506">
        <f>MAX(F4:F10)/MAX(E4:E10)</f>
        <v>0</v>
      </c>
      <c r="H3" s="2211" t="s">
        <v>2180</v>
      </c>
      <c r="I3" s="2411" t="s">
        <v>270</v>
      </c>
    </row>
    <row r="4" spans="1:67" ht="15" customHeight="1">
      <c r="A4" s="2592"/>
      <c r="B4" s="2211"/>
      <c r="C4" s="30" t="str">
        <f>OF!C19</f>
        <v>&lt;0.01 hectare (about 10 m x 10 m)</v>
      </c>
      <c r="D4" s="256">
        <f>OF!D19</f>
        <v>0</v>
      </c>
      <c r="E4" s="637">
        <v>0</v>
      </c>
      <c r="F4" s="361">
        <f t="shared" ref="F4:F10" si="0">D4*E4</f>
        <v>0</v>
      </c>
      <c r="G4" s="501"/>
      <c r="H4" s="2211"/>
      <c r="I4" s="2412"/>
    </row>
    <row r="5" spans="1:67" ht="15" customHeight="1">
      <c r="A5" s="2592"/>
      <c r="B5" s="2211"/>
      <c r="C5" s="30" t="str">
        <f>OF!C20</f>
        <v>0.01 - 0.1 hectare</v>
      </c>
      <c r="D5" s="256">
        <f>OF!D20</f>
        <v>0</v>
      </c>
      <c r="E5" s="637">
        <v>1</v>
      </c>
      <c r="F5" s="361">
        <f t="shared" si="0"/>
        <v>0</v>
      </c>
      <c r="G5" s="502"/>
      <c r="H5" s="2211"/>
      <c r="I5" s="2412"/>
    </row>
    <row r="6" spans="1:67" ht="15" customHeight="1">
      <c r="A6" s="2592"/>
      <c r="B6" s="2211"/>
      <c r="C6" s="30" t="str">
        <f>OF!C21</f>
        <v>0.1 - 1 hectare</v>
      </c>
      <c r="D6" s="256">
        <f>OF!D21</f>
        <v>0</v>
      </c>
      <c r="E6" s="637">
        <v>2</v>
      </c>
      <c r="F6" s="361">
        <f t="shared" si="0"/>
        <v>0</v>
      </c>
      <c r="G6" s="502"/>
      <c r="H6" s="2211"/>
      <c r="I6" s="2412"/>
    </row>
    <row r="7" spans="1:67" ht="15" customHeight="1">
      <c r="A7" s="2592"/>
      <c r="B7" s="2211"/>
      <c r="C7" s="30" t="str">
        <f>OF!C22</f>
        <v>1 to 10 hectares</v>
      </c>
      <c r="D7" s="256">
        <f>OF!D22</f>
        <v>0</v>
      </c>
      <c r="E7" s="637">
        <v>3</v>
      </c>
      <c r="F7" s="361">
        <f t="shared" si="0"/>
        <v>0</v>
      </c>
      <c r="G7" s="502"/>
      <c r="H7" s="2211"/>
      <c r="I7" s="2412"/>
    </row>
    <row r="8" spans="1:67" ht="15" customHeight="1">
      <c r="A8" s="2592"/>
      <c r="B8" s="2211"/>
      <c r="C8" s="30" t="str">
        <f>OF!C23</f>
        <v>10 to 100 hectares</v>
      </c>
      <c r="D8" s="256">
        <f>OF!D23</f>
        <v>0</v>
      </c>
      <c r="E8" s="637">
        <v>4</v>
      </c>
      <c r="F8" s="361">
        <f t="shared" si="0"/>
        <v>0</v>
      </c>
      <c r="G8" s="502"/>
      <c r="H8" s="2211"/>
      <c r="I8" s="2412"/>
    </row>
    <row r="9" spans="1:67" ht="15" customHeight="1">
      <c r="A9" s="2592"/>
      <c r="B9" s="2211"/>
      <c r="C9" s="30" t="str">
        <f>OF!C24</f>
        <v>100 to 1000 hectares</v>
      </c>
      <c r="D9" s="256">
        <f>OF!D24</f>
        <v>0</v>
      </c>
      <c r="E9" s="637">
        <v>5</v>
      </c>
      <c r="F9" s="361">
        <f t="shared" si="0"/>
        <v>0</v>
      </c>
      <c r="G9" s="502"/>
      <c r="H9" s="2211"/>
      <c r="I9" s="2412"/>
    </row>
    <row r="10" spans="1:67" ht="15" customHeight="1" thickBot="1">
      <c r="A10" s="2592"/>
      <c r="B10" s="2211"/>
      <c r="C10" s="30" t="str">
        <f>OF!C25</f>
        <v>&gt;1000 hectares [This is nearly always the answer in relatively undeveloped landscapes.]</v>
      </c>
      <c r="D10" s="256">
        <f>OF!D25</f>
        <v>0</v>
      </c>
      <c r="E10" s="638">
        <v>6</v>
      </c>
      <c r="F10" s="364">
        <f t="shared" si="0"/>
        <v>0</v>
      </c>
      <c r="G10" s="511"/>
      <c r="H10" s="2211"/>
      <c r="I10" s="2413"/>
    </row>
    <row r="11" spans="1:67" ht="39" customHeight="1" thickBot="1">
      <c r="A11" s="2316" t="str">
        <f>OF!A26</f>
        <v>OF4</v>
      </c>
      <c r="B11" s="2218" t="str">
        <f>OF!B26</f>
        <v>Distance to Large Vegetated Tract</v>
      </c>
      <c r="C11" s="436" t="str">
        <f>OF!C26</f>
        <v>The minimum distance from the AA edge to the edge of the closest patch or corridor of unmanaged vegetated land (excluding row crops, lawn, conifer plantation) larger than 375 hectares, is:</v>
      </c>
      <c r="D11" s="1766"/>
      <c r="E11" s="365"/>
      <c r="F11" s="383"/>
      <c r="G11" s="500">
        <f>MAX(F12:F18)/MAX(E12:E18)</f>
        <v>0</v>
      </c>
      <c r="H11" s="2218" t="s">
        <v>2012</v>
      </c>
      <c r="I11" s="2411" t="s">
        <v>267</v>
      </c>
    </row>
    <row r="12" spans="1:67" ht="48" customHeight="1">
      <c r="A12" s="2183"/>
      <c r="B12" s="2208"/>
      <c r="C12" s="30" t="str">
        <f>OF!C27</f>
        <v>&lt;50 m, and not separated from the 375-ha vegetated area by any width of roads, stretches of open water, row crops, bare ground, lawn, or impervious surface. Or the AA itself contains &gt;375 ha of vegetation. [This is often the answer in relatively undeveloped landscapes].</v>
      </c>
      <c r="D12" s="256">
        <f>OF!D27</f>
        <v>0</v>
      </c>
      <c r="E12" s="637">
        <v>7</v>
      </c>
      <c r="F12" s="361">
        <f t="shared" ref="F12:F18" si="1">D12*E12</f>
        <v>0</v>
      </c>
      <c r="G12" s="501"/>
      <c r="H12" s="2211"/>
      <c r="I12" s="2412"/>
    </row>
    <row r="13" spans="1:67" ht="33" customHeight="1">
      <c r="A13" s="2183"/>
      <c r="B13" s="2208"/>
      <c r="C13" s="30" t="str">
        <f>OF!C28</f>
        <v>&lt;50 m, but completely separated from the 375-ha vegetated area by those features, and AA does not contain &gt;375 ha of vegetation.</v>
      </c>
      <c r="D13" s="256">
        <f>OF!D28</f>
        <v>0</v>
      </c>
      <c r="E13" s="361">
        <v>6</v>
      </c>
      <c r="F13" s="361">
        <f t="shared" si="1"/>
        <v>0</v>
      </c>
      <c r="G13" s="502"/>
      <c r="H13" s="2211"/>
      <c r="I13" s="2412"/>
    </row>
    <row r="14" spans="1:67" ht="18" customHeight="1">
      <c r="A14" s="2183"/>
      <c r="B14" s="2208"/>
      <c r="C14" s="30" t="str">
        <f>OF!C29</f>
        <v>50-500 m, and not separated.</v>
      </c>
      <c r="D14" s="256">
        <f>OF!D29</f>
        <v>0</v>
      </c>
      <c r="E14" s="361">
        <v>5</v>
      </c>
      <c r="F14" s="361">
        <f t="shared" si="1"/>
        <v>0</v>
      </c>
      <c r="G14" s="502"/>
      <c r="H14" s="2211"/>
      <c r="I14" s="2412"/>
    </row>
    <row r="15" spans="1:67" ht="18" customHeight="1">
      <c r="A15" s="2183"/>
      <c r="B15" s="2208"/>
      <c r="C15" s="30" t="str">
        <f>OF!C30</f>
        <v>50-500 m, but separated by those features.</v>
      </c>
      <c r="D15" s="256">
        <f>OF!D30</f>
        <v>0</v>
      </c>
      <c r="E15" s="361">
        <v>4</v>
      </c>
      <c r="F15" s="361">
        <f t="shared" si="1"/>
        <v>0</v>
      </c>
      <c r="G15" s="502"/>
      <c r="H15" s="2211"/>
      <c r="I15" s="2412"/>
    </row>
    <row r="16" spans="1:67" ht="18" customHeight="1">
      <c r="A16" s="2183"/>
      <c r="B16" s="2208"/>
      <c r="C16" s="30" t="str">
        <f>OF!C31</f>
        <v>0.5 - 5 km, and not separated.</v>
      </c>
      <c r="D16" s="256">
        <f>OF!D31</f>
        <v>0</v>
      </c>
      <c r="E16" s="361">
        <v>3</v>
      </c>
      <c r="F16" s="361">
        <f t="shared" si="1"/>
        <v>0</v>
      </c>
      <c r="G16" s="502"/>
      <c r="H16" s="2211"/>
      <c r="I16" s="2412"/>
    </row>
    <row r="17" spans="1:9" ht="18" customHeight="1">
      <c r="A17" s="2183"/>
      <c r="B17" s="2208"/>
      <c r="C17" s="30" t="str">
        <f>OF!C32</f>
        <v>0.5 - 5 km, but separated by those features.</v>
      </c>
      <c r="D17" s="256">
        <f>OF!D32</f>
        <v>0</v>
      </c>
      <c r="E17" s="361">
        <v>2</v>
      </c>
      <c r="F17" s="361">
        <f t="shared" si="1"/>
        <v>0</v>
      </c>
      <c r="G17" s="502"/>
      <c r="H17" s="2211"/>
      <c r="I17" s="2412"/>
    </row>
    <row r="18" spans="1:9" ht="18" customHeight="1" thickBot="1">
      <c r="A18" s="2184"/>
      <c r="B18" s="2210"/>
      <c r="C18" s="30" t="str">
        <f>OF!C33</f>
        <v>none of the above (the closest patches or corridors which are that large are &gt;5 km away).</v>
      </c>
      <c r="D18" s="256">
        <f>OF!D33</f>
        <v>0</v>
      </c>
      <c r="E18" s="362">
        <v>0</v>
      </c>
      <c r="F18" s="362">
        <f t="shared" si="1"/>
        <v>0</v>
      </c>
      <c r="G18" s="503"/>
      <c r="H18" s="2210"/>
      <c r="I18" s="2413"/>
    </row>
    <row r="19" spans="1:9" ht="45" customHeight="1" thickBot="1">
      <c r="A19" s="2592" t="str">
        <f>OF!A36</f>
        <v>OF7</v>
      </c>
      <c r="B19" s="2211" t="str">
        <f>OF!B36</f>
        <v>Local Vegetated Cover Percentage</v>
      </c>
      <c r="C19" s="436" t="str">
        <f>OF!C36</f>
        <v>Draw a 5-km radius circle measured from the center of the AA.  Ignoring all permanent water in the circle, the percent of the remaining area that is NOT lawn, row crops, heavily grazed land, clearcuts, or conifer plantations is:</v>
      </c>
      <c r="D19" s="1766"/>
      <c r="E19" s="642"/>
      <c r="F19" s="363"/>
      <c r="G19" s="506">
        <f>MAX(F20:F24)/MAX(E20:E24)</f>
        <v>0</v>
      </c>
      <c r="H19" s="2211" t="s">
        <v>166</v>
      </c>
      <c r="I19" s="2411" t="s">
        <v>268</v>
      </c>
    </row>
    <row r="20" spans="1:9" ht="15" customHeight="1">
      <c r="A20" s="2592"/>
      <c r="B20" s="2211"/>
      <c r="C20" s="30" t="str">
        <f>OF!C37</f>
        <v xml:space="preserve">&lt;5% of the land. </v>
      </c>
      <c r="D20" s="256">
        <f>OF!D37</f>
        <v>0</v>
      </c>
      <c r="E20" s="637">
        <v>0</v>
      </c>
      <c r="F20" s="361">
        <f>D20*E20</f>
        <v>0</v>
      </c>
      <c r="G20" s="501"/>
      <c r="H20" s="2211"/>
      <c r="I20" s="2412"/>
    </row>
    <row r="21" spans="1:9" ht="15" customHeight="1">
      <c r="A21" s="2592"/>
      <c r="B21" s="2211"/>
      <c r="C21" s="6" t="str">
        <f>OF!C38</f>
        <v>5 to 20% of the land.</v>
      </c>
      <c r="D21" s="247">
        <f>OF!D38</f>
        <v>0</v>
      </c>
      <c r="E21" s="637">
        <v>2</v>
      </c>
      <c r="F21" s="361">
        <f>D21*E21</f>
        <v>0</v>
      </c>
      <c r="G21" s="502"/>
      <c r="H21" s="2211"/>
      <c r="I21" s="2412"/>
    </row>
    <row r="22" spans="1:9" ht="15" customHeight="1">
      <c r="A22" s="2592"/>
      <c r="B22" s="2211"/>
      <c r="C22" s="6" t="str">
        <f>OF!C39</f>
        <v>20 to 60% of the land.</v>
      </c>
      <c r="D22" s="247">
        <f>OF!D39</f>
        <v>0</v>
      </c>
      <c r="E22" s="637">
        <v>3</v>
      </c>
      <c r="F22" s="361">
        <f>D22*E22</f>
        <v>0</v>
      </c>
      <c r="G22" s="502"/>
      <c r="H22" s="2211"/>
      <c r="I22" s="2412"/>
    </row>
    <row r="23" spans="1:9" ht="15" customHeight="1">
      <c r="A23" s="2592"/>
      <c r="B23" s="2211"/>
      <c r="C23" s="6" t="str">
        <f>OF!C40</f>
        <v>60 to 90% of the land.</v>
      </c>
      <c r="D23" s="247">
        <f>OF!D40</f>
        <v>0</v>
      </c>
      <c r="E23" s="637">
        <v>4</v>
      </c>
      <c r="F23" s="361">
        <f>D23*E23</f>
        <v>0</v>
      </c>
      <c r="G23" s="502"/>
      <c r="H23" s="2211"/>
      <c r="I23" s="2412"/>
    </row>
    <row r="24" spans="1:9" ht="15" customHeight="1" thickBot="1">
      <c r="A24" s="2592"/>
      <c r="B24" s="2211"/>
      <c r="C24" s="437" t="str">
        <f>OF!C41</f>
        <v>&gt;90% of the land. SKIP to OF9.</v>
      </c>
      <c r="D24" s="254">
        <f>OF!D41</f>
        <v>0</v>
      </c>
      <c r="E24" s="638">
        <v>5</v>
      </c>
      <c r="F24" s="364">
        <f>D24*E24</f>
        <v>0</v>
      </c>
      <c r="G24" s="511"/>
      <c r="H24" s="2211"/>
      <c r="I24" s="2413"/>
    </row>
    <row r="25" spans="1:9" ht="30" customHeight="1" thickBot="1">
      <c r="A25" s="2316" t="str">
        <f>OF!A42</f>
        <v>OF8</v>
      </c>
      <c r="B25" s="2218" t="str">
        <f>OF!B42</f>
        <v>Type of Land Cover Alteration</v>
      </c>
      <c r="C25" s="436" t="str">
        <f>OF!C42</f>
        <v>Within the 5-km radius circle, and ignoring all permanent water, the land area that is unmanaged cover is mostly:</v>
      </c>
      <c r="D25" s="1766"/>
      <c r="E25" s="365"/>
      <c r="F25" s="366"/>
      <c r="G25" s="500">
        <f>IF((D24=1),"",MAX(F26:F27)/MAX(E26:E27))</f>
        <v>0</v>
      </c>
      <c r="H25" s="2218" t="s">
        <v>2040</v>
      </c>
      <c r="I25" s="2411" t="s">
        <v>269</v>
      </c>
    </row>
    <row r="26" spans="1:9" ht="15" customHeight="1">
      <c r="A26" s="2201"/>
      <c r="B26" s="2211"/>
      <c r="C26" s="30" t="str">
        <f>OF!C43</f>
        <v>impervious surface, e.g., paved road, parking lot, building, exposed rock.</v>
      </c>
      <c r="D26" s="256">
        <f>OF!D43</f>
        <v>0</v>
      </c>
      <c r="E26" s="637">
        <v>0</v>
      </c>
      <c r="F26" s="361">
        <f>D26*E26</f>
        <v>0</v>
      </c>
      <c r="G26" s="501"/>
      <c r="H26" s="2211"/>
      <c r="I26" s="2412"/>
    </row>
    <row r="27" spans="1:9" ht="27" customHeight="1" thickBot="1">
      <c r="A27" s="2317"/>
      <c r="B27" s="2420"/>
      <c r="C27" s="194" t="str">
        <f>OF!C44</f>
        <v>bare pervious surface, e.g., lawn, recent (&lt;5 yrs ago) clearcut, dirt or gravel road, plowed fields, landslide, conifer plantation.</v>
      </c>
      <c r="D27" s="248">
        <f>OF!D44</f>
        <v>0</v>
      </c>
      <c r="E27" s="640">
        <v>1</v>
      </c>
      <c r="F27" s="362">
        <f>D27*E27</f>
        <v>0</v>
      </c>
      <c r="G27" s="503"/>
      <c r="H27" s="2420"/>
      <c r="I27" s="2413"/>
    </row>
    <row r="28" spans="1:9" ht="24" customHeight="1" thickBot="1">
      <c r="A28" s="2592" t="str">
        <f>OF!A51</f>
        <v>OF10</v>
      </c>
      <c r="B28" s="2211" t="str">
        <f>OF!B51</f>
        <v>Distance to Nearest Maintained Road</v>
      </c>
      <c r="C28" s="436" t="str">
        <f>OF!C51</f>
        <v>From the center of the AA, the distance to the nearest maintained public road (dirt or paved) is:</v>
      </c>
      <c r="D28" s="1766"/>
      <c r="E28" s="391"/>
      <c r="F28" s="363"/>
      <c r="G28" s="506">
        <f>MAX(F29:F34)/MAX(E29:E34)</f>
        <v>0</v>
      </c>
      <c r="H28" s="2211" t="s">
        <v>1834</v>
      </c>
      <c r="I28" s="2411" t="s">
        <v>266</v>
      </c>
    </row>
    <row r="29" spans="1:9" ht="15" customHeight="1">
      <c r="A29" s="2522"/>
      <c r="B29" s="2208"/>
      <c r="C29" s="30" t="str">
        <f>OF!C52</f>
        <v>&lt;10 m</v>
      </c>
      <c r="D29" s="256">
        <f>OF!D52</f>
        <v>0</v>
      </c>
      <c r="E29" s="385">
        <v>0</v>
      </c>
      <c r="F29" s="361">
        <f t="shared" ref="F29:F34" si="2">D29*E29</f>
        <v>0</v>
      </c>
      <c r="G29" s="501"/>
      <c r="H29" s="2211"/>
      <c r="I29" s="2412"/>
    </row>
    <row r="30" spans="1:9" ht="15" customHeight="1">
      <c r="A30" s="2522"/>
      <c r="B30" s="2208"/>
      <c r="C30" s="6" t="str">
        <f>OF!C53</f>
        <v>10 - 25 m</v>
      </c>
      <c r="D30" s="247">
        <f>OF!D53</f>
        <v>0</v>
      </c>
      <c r="E30" s="385">
        <v>2</v>
      </c>
      <c r="F30" s="361">
        <f t="shared" si="2"/>
        <v>0</v>
      </c>
      <c r="G30" s="502"/>
      <c r="H30" s="2211"/>
      <c r="I30" s="2412"/>
    </row>
    <row r="31" spans="1:9" ht="15" customHeight="1">
      <c r="A31" s="2522"/>
      <c r="B31" s="2208"/>
      <c r="C31" s="6" t="str">
        <f>OF!C54</f>
        <v>25 - 50 m</v>
      </c>
      <c r="D31" s="247">
        <f>OF!D54</f>
        <v>0</v>
      </c>
      <c r="E31" s="385">
        <v>3</v>
      </c>
      <c r="F31" s="361">
        <f t="shared" si="2"/>
        <v>0</v>
      </c>
      <c r="G31" s="502"/>
      <c r="H31" s="2211"/>
      <c r="I31" s="2412"/>
    </row>
    <row r="32" spans="1:9" ht="15" customHeight="1">
      <c r="A32" s="2522"/>
      <c r="B32" s="2208"/>
      <c r="C32" s="6" t="str">
        <f>OF!C55</f>
        <v>50 - 100 m</v>
      </c>
      <c r="D32" s="247">
        <f>OF!D55</f>
        <v>0</v>
      </c>
      <c r="E32" s="385">
        <v>4</v>
      </c>
      <c r="F32" s="361">
        <f t="shared" si="2"/>
        <v>0</v>
      </c>
      <c r="G32" s="502"/>
      <c r="H32" s="2211"/>
      <c r="I32" s="2412"/>
    </row>
    <row r="33" spans="1:9" ht="15" customHeight="1">
      <c r="A33" s="2522"/>
      <c r="B33" s="2208"/>
      <c r="C33" s="6" t="str">
        <f>OF!C56</f>
        <v>100 - 500 m</v>
      </c>
      <c r="D33" s="247">
        <f>OF!D56</f>
        <v>0</v>
      </c>
      <c r="E33" s="385">
        <v>5</v>
      </c>
      <c r="F33" s="361">
        <f t="shared" si="2"/>
        <v>0</v>
      </c>
      <c r="G33" s="502"/>
      <c r="H33" s="2211"/>
      <c r="I33" s="2412"/>
    </row>
    <row r="34" spans="1:9" ht="15" customHeight="1" thickBot="1">
      <c r="A34" s="2522"/>
      <c r="B34" s="2208"/>
      <c r="C34" s="437" t="str">
        <f>OF!C57</f>
        <v>&gt;500 m</v>
      </c>
      <c r="D34" s="254">
        <f>OF!D57</f>
        <v>0</v>
      </c>
      <c r="E34" s="387">
        <v>7</v>
      </c>
      <c r="F34" s="364">
        <f t="shared" si="2"/>
        <v>0</v>
      </c>
      <c r="G34" s="511"/>
      <c r="H34" s="2211"/>
      <c r="I34" s="2413"/>
    </row>
    <row r="35" spans="1:9" ht="114" customHeight="1" thickBot="1">
      <c r="A35" s="198" t="str">
        <f>OF!A58</f>
        <v>OF11</v>
      </c>
      <c r="B35" s="5" t="str">
        <f>OF!B58</f>
        <v>Wildlife Access</v>
      </c>
      <c r="C35" s="204" t="str">
        <f>OF!C58</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35" s="762">
        <f>IF((OF!D58=""),"",OF!D58)</f>
        <v>0</v>
      </c>
      <c r="E35" s="395"/>
      <c r="F35" s="373"/>
      <c r="G35" s="500">
        <f>IF((D35=""),"",D35)</f>
        <v>0</v>
      </c>
      <c r="H35" s="5" t="s">
        <v>2041</v>
      </c>
      <c r="I35" s="1647" t="s">
        <v>265</v>
      </c>
    </row>
    <row r="36" spans="1:9" ht="21" customHeight="1" thickBot="1">
      <c r="A36" s="2662" t="str">
        <f>OF!A59</f>
        <v>OF12</v>
      </c>
      <c r="B36" s="2218" t="str">
        <f>OF!B59</f>
        <v>Distance to Ponded Water</v>
      </c>
      <c r="C36" s="436" t="str">
        <f>OF!C59</f>
        <v>The distance from the AA edge to the closest (but separate) pond or lake is:</v>
      </c>
      <c r="D36" s="1172"/>
      <c r="E36" s="365"/>
      <c r="F36" s="383"/>
      <c r="G36" s="500">
        <f>MAX(F37:F43)/MAX(E37:E43)</f>
        <v>0</v>
      </c>
      <c r="H36" s="2218" t="s">
        <v>2036</v>
      </c>
      <c r="I36" s="2411" t="s">
        <v>271</v>
      </c>
    </row>
    <row r="37" spans="1:9" ht="27" customHeight="1">
      <c r="A37" s="2183"/>
      <c r="B37" s="2208"/>
      <c r="C37" s="30" t="str">
        <f>OF!C60</f>
        <v xml:space="preserve">&lt;50 m, and not separated by any width of roads, stretches of open water, row crops, lawn, bare ground, or impervious surface. </v>
      </c>
      <c r="D37" s="247">
        <f>OF!D60</f>
        <v>0</v>
      </c>
      <c r="E37" s="361">
        <v>7</v>
      </c>
      <c r="F37" s="361">
        <f t="shared" ref="F37:F43" si="3">D37*E37</f>
        <v>0</v>
      </c>
      <c r="G37" s="501"/>
      <c r="H37" s="2211"/>
      <c r="I37" s="2412"/>
    </row>
    <row r="38" spans="1:9" ht="15" customHeight="1">
      <c r="A38" s="2183"/>
      <c r="B38" s="2208"/>
      <c r="C38" s="30" t="str">
        <f>OF!C61</f>
        <v>&lt;50 m, but completely separated by those features.</v>
      </c>
      <c r="D38" s="256">
        <f>OF!D61</f>
        <v>0</v>
      </c>
      <c r="E38" s="361">
        <v>6</v>
      </c>
      <c r="F38" s="361">
        <f t="shared" si="3"/>
        <v>0</v>
      </c>
      <c r="G38" s="501"/>
      <c r="H38" s="2211"/>
      <c r="I38" s="2412"/>
    </row>
    <row r="39" spans="1:9" ht="15" customHeight="1">
      <c r="A39" s="2183"/>
      <c r="B39" s="2208"/>
      <c r="C39" s="30" t="str">
        <f>OF!C62</f>
        <v>50-500 m, and not separated.</v>
      </c>
      <c r="D39" s="256">
        <f>OF!D62</f>
        <v>0</v>
      </c>
      <c r="E39" s="361">
        <v>5</v>
      </c>
      <c r="F39" s="361">
        <f t="shared" si="3"/>
        <v>0</v>
      </c>
      <c r="G39" s="501"/>
      <c r="H39" s="2211"/>
      <c r="I39" s="2412"/>
    </row>
    <row r="40" spans="1:9" ht="15" customHeight="1">
      <c r="A40" s="2183"/>
      <c r="B40" s="2208"/>
      <c r="C40" s="30" t="str">
        <f>OF!C63</f>
        <v>50-500 m, but separated by those features.</v>
      </c>
      <c r="D40" s="256">
        <f>OF!D63</f>
        <v>0</v>
      </c>
      <c r="E40" s="361">
        <v>4</v>
      </c>
      <c r="F40" s="361">
        <f t="shared" si="3"/>
        <v>0</v>
      </c>
      <c r="G40" s="501"/>
      <c r="H40" s="2211"/>
      <c r="I40" s="2412"/>
    </row>
    <row r="41" spans="1:9" ht="15" customHeight="1">
      <c r="A41" s="2183"/>
      <c r="B41" s="2208"/>
      <c r="C41" s="30" t="str">
        <f>OF!C64</f>
        <v>0.5 - 1 km, and not separated.</v>
      </c>
      <c r="D41" s="256">
        <f>OF!D64</f>
        <v>0</v>
      </c>
      <c r="E41" s="361">
        <v>3</v>
      </c>
      <c r="F41" s="361">
        <f t="shared" si="3"/>
        <v>0</v>
      </c>
      <c r="G41" s="501"/>
      <c r="H41" s="2211"/>
      <c r="I41" s="2412"/>
    </row>
    <row r="42" spans="1:9" ht="15" customHeight="1">
      <c r="A42" s="2183"/>
      <c r="B42" s="2208"/>
      <c r="C42" s="30" t="str">
        <f>OF!C65</f>
        <v>0.5 - 1 km, but separated by those features.</v>
      </c>
      <c r="D42" s="256">
        <f>OF!D65</f>
        <v>0</v>
      </c>
      <c r="E42" s="361">
        <v>2</v>
      </c>
      <c r="F42" s="361">
        <f t="shared" si="3"/>
        <v>0</v>
      </c>
      <c r="G42" s="502"/>
      <c r="H42" s="2211"/>
      <c r="I42" s="2412"/>
    </row>
    <row r="43" spans="1:9" ht="15" customHeight="1" thickBot="1">
      <c r="A43" s="2183"/>
      <c r="B43" s="2208"/>
      <c r="C43" s="30" t="str">
        <f>OF!C66</f>
        <v>none of the above (the closest patches or corridors that large are &gt;1 km away).</v>
      </c>
      <c r="D43" s="256">
        <f>OF!D66</f>
        <v>0</v>
      </c>
      <c r="E43" s="362">
        <v>0</v>
      </c>
      <c r="F43" s="361">
        <f t="shared" si="3"/>
        <v>0</v>
      </c>
      <c r="G43" s="502"/>
      <c r="H43" s="2211"/>
      <c r="I43" s="2413"/>
    </row>
    <row r="44" spans="1:9" ht="45" customHeight="1" thickBot="1">
      <c r="A44" s="2209" t="str">
        <f>OF!A95</f>
        <v>OF21</v>
      </c>
      <c r="B44" s="2212" t="str">
        <f>OF!B95</f>
        <v xml:space="preserve">Degraded Water Upstream </v>
      </c>
      <c r="C44" s="443" t="str">
        <f>OF!C95</f>
        <v xml:space="preserve">Sampling indicates a problem with concentrations of metals, hydrocarbons, nutrients, or other substances (excluding bacteria, high temperatures) being present at levels harmful to aquatic life or humans, and:  </v>
      </c>
      <c r="D44" s="395"/>
      <c r="E44" s="499"/>
      <c r="F44" s="366"/>
      <c r="G44" s="500">
        <f>IF((D48=1),"", IF((D47=1),1, IF((D46=1),0.2, 0)))</f>
        <v>0</v>
      </c>
      <c r="H44" s="2148" t="s">
        <v>2361</v>
      </c>
      <c r="I44" s="2411" t="s">
        <v>274</v>
      </c>
    </row>
    <row r="45" spans="1:9" ht="15" customHeight="1">
      <c r="A45" s="2208"/>
      <c r="B45" s="2213"/>
      <c r="C45" s="445" t="str">
        <f>OF!C96</f>
        <v>The condition is present within the AA.</v>
      </c>
      <c r="D45" s="255">
        <f>OF!D96</f>
        <v>0</v>
      </c>
      <c r="E45" s="385"/>
      <c r="F45" s="361"/>
      <c r="G45" s="501"/>
      <c r="H45" s="2146"/>
      <c r="I45" s="2412"/>
    </row>
    <row r="46" spans="1:9" ht="27" customHeight="1">
      <c r="A46" s="2208"/>
      <c r="B46" s="2213"/>
      <c r="C46" s="445" t="str">
        <f>OF!C97</f>
        <v>The condition is present in waters within 1 km that flow into the AA, but has not been documented in the AA itself.</v>
      </c>
      <c r="D46" s="255">
        <f>OF!D97</f>
        <v>0</v>
      </c>
      <c r="E46" s="385"/>
      <c r="F46" s="361"/>
      <c r="G46" s="502"/>
      <c r="H46" s="2146"/>
      <c r="I46" s="2412"/>
    </row>
    <row r="47" spans="1:9" ht="27" customHeight="1">
      <c r="A47" s="2208"/>
      <c r="B47" s="2213"/>
      <c r="C47" s="445" t="str">
        <f>OF!C98</f>
        <v>Sampling during both low water periods and times with high runoff (storms, snowmelt) indicates no problems in either the AA or inflowing waters.</v>
      </c>
      <c r="D47" s="255">
        <f>OF!D98</f>
        <v>0</v>
      </c>
      <c r="E47" s="385"/>
      <c r="F47" s="361"/>
      <c r="G47" s="502"/>
      <c r="H47" s="2146"/>
      <c r="I47" s="2412"/>
    </row>
    <row r="48" spans="1:9" ht="27" customHeight="1" thickBot="1">
      <c r="A48" s="2210"/>
      <c r="B48" s="2377"/>
      <c r="C48" s="1381" t="str">
        <f>OF!C99</f>
        <v>Data are insufficient (no or inadequate sampling within 1 km, or condition exists only at &gt;1 km upstream). This is the situation for nearly all NB wetlands.</v>
      </c>
      <c r="D48" s="655">
        <f>OF!D99</f>
        <v>0</v>
      </c>
      <c r="E48" s="389"/>
      <c r="F48" s="362"/>
      <c r="G48" s="503"/>
      <c r="H48" s="2149"/>
      <c r="I48" s="2413"/>
    </row>
    <row r="49" spans="1:30" ht="21" customHeight="1" thickBot="1">
      <c r="A49" s="2150" t="str">
        <f>OF!A118</f>
        <v>OF26</v>
      </c>
      <c r="B49" s="2148" t="str">
        <f>OF!B118</f>
        <v>Aspect</v>
      </c>
      <c r="C49" s="136" t="str">
        <f>OF!C118</f>
        <v>The overland flow direction of most surface water (in streams or runoff) that enters the AA is:</v>
      </c>
      <c r="D49" s="1766"/>
      <c r="E49" s="499"/>
      <c r="F49" s="366"/>
      <c r="G49" s="500">
        <f>IF((NoCA=1),"", MAX(F50:F52)/MAX(E50:E52))</f>
        <v>0</v>
      </c>
      <c r="H49" s="2148" t="s">
        <v>2906</v>
      </c>
      <c r="I49" s="2411" t="s">
        <v>276</v>
      </c>
    </row>
    <row r="50" spans="1:30" ht="15" customHeight="1">
      <c r="A50" s="2151"/>
      <c r="B50" s="2146"/>
      <c r="C50" s="661" t="str">
        <f>OF!C119</f>
        <v>Northward (N, NE). north-facing contributing area.</v>
      </c>
      <c r="D50" s="256">
        <f>OF!D119</f>
        <v>0</v>
      </c>
      <c r="E50" s="385">
        <v>1</v>
      </c>
      <c r="F50" s="361">
        <f>D50*E50</f>
        <v>0</v>
      </c>
      <c r="G50" s="501"/>
      <c r="H50" s="2146"/>
      <c r="I50" s="2412"/>
    </row>
    <row r="51" spans="1:30" ht="15" customHeight="1">
      <c r="A51" s="2151"/>
      <c r="B51" s="2146"/>
      <c r="C51" s="491" t="str">
        <f>OF!C120</f>
        <v>Southward (S, SW). south-facing contributing area.</v>
      </c>
      <c r="D51" s="247">
        <f>OF!D120</f>
        <v>0</v>
      </c>
      <c r="E51" s="385">
        <v>3</v>
      </c>
      <c r="F51" s="361">
        <f>D51*E51</f>
        <v>0</v>
      </c>
      <c r="G51" s="502"/>
      <c r="H51" s="2146"/>
      <c r="I51" s="2412"/>
    </row>
    <row r="52" spans="1:30" ht="15" customHeight="1" thickBot="1">
      <c r="A52" s="2152"/>
      <c r="B52" s="2149"/>
      <c r="C52" s="492" t="str">
        <f>OF!C121</f>
        <v>other (E, SE, W, NW), or no detectable uphill slope or input channel (flat).</v>
      </c>
      <c r="D52" s="248">
        <f>OF!D121</f>
        <v>0</v>
      </c>
      <c r="E52" s="389">
        <v>2</v>
      </c>
      <c r="F52" s="362">
        <f>D52*E52</f>
        <v>0</v>
      </c>
      <c r="G52" s="503"/>
      <c r="H52" s="2149"/>
      <c r="I52" s="2413"/>
    </row>
    <row r="53" spans="1:30" ht="30" customHeight="1" thickBot="1">
      <c r="A53" s="2437" t="str">
        <f>OF!A129</f>
        <v>OF28</v>
      </c>
      <c r="B53" s="2341" t="str">
        <f>OF!B129</f>
        <v>Growing Degree Days</v>
      </c>
      <c r="C53" s="561" t="str">
        <f>OF!C129</f>
        <v>According to Figure A-1 in Appendix A of the Manual, the mean annual Growing Degree Days (GDD) in the vicinity of the AA is approximately:</v>
      </c>
      <c r="D53" s="1766"/>
      <c r="E53" s="83"/>
      <c r="F53" s="368"/>
      <c r="G53" s="584">
        <f>MAX(F54:F59)/MAX(E54:E59)</f>
        <v>0</v>
      </c>
      <c r="H53" s="2146" t="s">
        <v>1835</v>
      </c>
      <c r="I53" s="2411" t="s">
        <v>273</v>
      </c>
    </row>
    <row r="54" spans="1:30" ht="15" customHeight="1">
      <c r="A54" s="2437"/>
      <c r="B54" s="2341"/>
      <c r="C54" s="170" t="str">
        <f>OF!C130</f>
        <v>800-1000 days</v>
      </c>
      <c r="D54" s="261">
        <f>OF!D130</f>
        <v>0</v>
      </c>
      <c r="E54" s="80">
        <v>0</v>
      </c>
      <c r="F54" s="370">
        <f t="shared" ref="F54:F59" si="4">D54*E54</f>
        <v>0</v>
      </c>
      <c r="G54" s="578"/>
      <c r="H54" s="2146"/>
      <c r="I54" s="2412"/>
    </row>
    <row r="55" spans="1:30" ht="15" customHeight="1">
      <c r="A55" s="2437"/>
      <c r="B55" s="2341"/>
      <c r="C55" s="82" t="str">
        <f>OF!C131</f>
        <v>1000-1200</v>
      </c>
      <c r="D55" s="245">
        <f>OF!D131</f>
        <v>0</v>
      </c>
      <c r="E55" s="80">
        <v>1</v>
      </c>
      <c r="F55" s="370">
        <f t="shared" si="4"/>
        <v>0</v>
      </c>
      <c r="G55" s="578"/>
      <c r="H55" s="2146"/>
      <c r="I55" s="2412"/>
    </row>
    <row r="56" spans="1:30" ht="15" customHeight="1">
      <c r="A56" s="2437"/>
      <c r="B56" s="2341"/>
      <c r="C56" s="82" t="str">
        <f>OF!C132</f>
        <v>1200-1400</v>
      </c>
      <c r="D56" s="245">
        <f>OF!D132</f>
        <v>0</v>
      </c>
      <c r="E56" s="80">
        <v>2</v>
      </c>
      <c r="F56" s="370">
        <f t="shared" si="4"/>
        <v>0</v>
      </c>
      <c r="G56" s="578"/>
      <c r="H56" s="2146"/>
      <c r="I56" s="2412"/>
    </row>
    <row r="57" spans="1:30" ht="15" customHeight="1">
      <c r="A57" s="2437"/>
      <c r="B57" s="2341"/>
      <c r="C57" s="82" t="str">
        <f>OF!C133</f>
        <v>1400-1600</v>
      </c>
      <c r="D57" s="245">
        <f>OF!D133</f>
        <v>0</v>
      </c>
      <c r="E57" s="80">
        <v>3</v>
      </c>
      <c r="F57" s="370">
        <f t="shared" si="4"/>
        <v>0</v>
      </c>
      <c r="G57" s="578"/>
      <c r="H57" s="2146"/>
      <c r="I57" s="2412"/>
    </row>
    <row r="58" spans="1:30" ht="15" customHeight="1">
      <c r="A58" s="2437"/>
      <c r="B58" s="2341"/>
      <c r="C58" s="82" t="str">
        <f>OF!C134</f>
        <v>1600-1800</v>
      </c>
      <c r="D58" s="245">
        <f>OF!D134</f>
        <v>0</v>
      </c>
      <c r="E58" s="80">
        <v>4</v>
      </c>
      <c r="F58" s="370">
        <f t="shared" si="4"/>
        <v>0</v>
      </c>
      <c r="G58" s="579"/>
      <c r="H58" s="2146"/>
      <c r="I58" s="2412"/>
    </row>
    <row r="59" spans="1:30" ht="15" customHeight="1" thickBot="1">
      <c r="A59" s="2437"/>
      <c r="B59" s="2341"/>
      <c r="C59" s="186" t="str">
        <f>OF!C135</f>
        <v>&gt;1800 days</v>
      </c>
      <c r="D59" s="275">
        <f>OF!D135</f>
        <v>0</v>
      </c>
      <c r="E59" s="79">
        <v>5</v>
      </c>
      <c r="F59" s="372">
        <f t="shared" si="4"/>
        <v>0</v>
      </c>
      <c r="G59" s="585"/>
      <c r="H59" s="2146"/>
      <c r="I59" s="2413"/>
    </row>
    <row r="60" spans="1:30" s="1126" customFormat="1" ht="30" customHeight="1" thickBot="1">
      <c r="A60" s="2212" t="str">
        <f>OF!A136</f>
        <v>OF29</v>
      </c>
      <c r="B60" s="2212" t="str">
        <f>OF!B136</f>
        <v>Fish Access or Use</v>
      </c>
      <c r="C60" s="443" t="str">
        <f>OF!C136</f>
        <v>According to agency biologists and/or your own observations, the AA: [mark just the first choice that is true]:</v>
      </c>
      <c r="D60" s="1766"/>
      <c r="E60" s="751"/>
      <c r="F60" s="366"/>
      <c r="G60" s="500" t="str">
        <f>IF((D64=1),1,"")</f>
        <v/>
      </c>
      <c r="H60" s="2148" t="s">
        <v>2042</v>
      </c>
      <c r="I60" s="2411" t="s">
        <v>272</v>
      </c>
      <c r="J60" s="17"/>
      <c r="K60" s="168"/>
      <c r="L60" s="17"/>
      <c r="M60" s="17"/>
      <c r="N60" s="17"/>
      <c r="O60" s="17"/>
      <c r="P60" s="17"/>
      <c r="Q60" s="17"/>
      <c r="R60" s="17"/>
      <c r="S60" s="17"/>
      <c r="T60" s="17"/>
      <c r="U60" s="17"/>
      <c r="V60" s="17"/>
      <c r="W60" s="17"/>
      <c r="X60" s="17"/>
      <c r="Y60" s="17"/>
      <c r="Z60" s="17"/>
      <c r="AA60" s="17"/>
      <c r="AB60" s="17"/>
      <c r="AC60" s="17"/>
      <c r="AD60" s="17"/>
    </row>
    <row r="61" spans="1:30" s="17" customFormat="1" ht="26.4" customHeight="1">
      <c r="A61" s="2213"/>
      <c r="B61" s="2213"/>
      <c r="C61" s="445" t="str">
        <f>OF!C137</f>
        <v xml:space="preserve">is known to support Atlantic salmon rearing and/or spawning.  In NB, consult Figure A-2 in Appendix A of the Manual, or local fishery biologists. </v>
      </c>
      <c r="D61" s="255">
        <f>OF!D137</f>
        <v>0</v>
      </c>
      <c r="E61" s="642">
        <v>0</v>
      </c>
      <c r="F61" s="364">
        <f>D61*E61</f>
        <v>0</v>
      </c>
      <c r="G61" s="501"/>
      <c r="H61" s="2146"/>
      <c r="I61" s="2412"/>
      <c r="K61" s="168"/>
    </row>
    <row r="62" spans="1:30" s="17" customFormat="1" ht="27" customHeight="1">
      <c r="A62" s="2213"/>
      <c r="B62" s="2213"/>
      <c r="C62" s="446" t="str">
        <f>OF!C138</f>
        <v xml:space="preserve">is connected to nearby waters containing Atlantic salmon and is probably salmon-accessible during some conditions, but anadromous salmon have not been documented in the AA. </v>
      </c>
      <c r="D62" s="78">
        <f>OF!D138</f>
        <v>0</v>
      </c>
      <c r="E62" s="642">
        <v>0</v>
      </c>
      <c r="F62" s="364">
        <f>D62*E62</f>
        <v>0</v>
      </c>
      <c r="G62" s="502"/>
      <c r="H62" s="2146"/>
      <c r="I62" s="2412"/>
      <c r="K62" s="168"/>
    </row>
    <row r="63" spans="1:30" s="17" customFormat="1" ht="42" customHeight="1">
      <c r="A63" s="2213"/>
      <c r="B63" s="2213"/>
      <c r="C63" s="446" t="str">
        <f>OF!C139</f>
        <v>is not connected to nearby salmon waters, but is known or likely to have other fish at least seasonally.  In NB: includes but not limited to:  http://www2.gnb.ca/content/gnb/en/departments/natural_resources/fish/content/StockedWaters.html</v>
      </c>
      <c r="D63" s="78">
        <f>OF!D139</f>
        <v>0</v>
      </c>
      <c r="E63" s="642">
        <v>0</v>
      </c>
      <c r="F63" s="364">
        <f>D63*E63</f>
        <v>0</v>
      </c>
      <c r="G63" s="502"/>
      <c r="H63" s="2146"/>
      <c r="I63" s="2412"/>
      <c r="K63" s="168"/>
    </row>
    <row r="64" spans="1:30" s="1127" customFormat="1" ht="15" customHeight="1" thickBot="1">
      <c r="A64" s="2377"/>
      <c r="B64" s="2377"/>
      <c r="C64" s="444" t="str">
        <f>OF!C140</f>
        <v xml:space="preserve">is known or likely to be fishless (e.g., too small, dry, and/or not accessible even temporarily). </v>
      </c>
      <c r="D64" s="193">
        <f>OF!D140</f>
        <v>0</v>
      </c>
      <c r="E64" s="752">
        <v>1</v>
      </c>
      <c r="F64" s="362">
        <f>D64*E64</f>
        <v>0</v>
      </c>
      <c r="G64" s="503"/>
      <c r="H64" s="2149"/>
      <c r="I64" s="2413"/>
      <c r="J64" s="17"/>
      <c r="K64" s="168"/>
      <c r="L64" s="17"/>
      <c r="M64" s="17"/>
      <c r="N64" s="17"/>
      <c r="O64" s="17"/>
      <c r="P64" s="17"/>
      <c r="Q64" s="17"/>
      <c r="R64" s="17"/>
      <c r="S64" s="17"/>
      <c r="T64" s="17"/>
      <c r="U64" s="17"/>
      <c r="V64" s="17"/>
      <c r="W64" s="17"/>
      <c r="X64" s="17"/>
      <c r="Y64" s="17"/>
      <c r="Z64" s="17"/>
      <c r="AA64" s="17"/>
      <c r="AB64" s="17"/>
      <c r="AC64" s="17"/>
      <c r="AD64" s="17"/>
    </row>
    <row r="65" spans="1:67" ht="85.2" customHeight="1" thickBot="1">
      <c r="A65" s="703" t="str">
        <f>OF!A154</f>
        <v>OF38</v>
      </c>
      <c r="B65" s="123" t="str">
        <f>OF!B154</f>
        <v>Calcareous Region</v>
      </c>
      <c r="C65" s="188" t="str">
        <f>OF!C154</f>
        <v>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 If no map coverage, change to blank. In NB: see Figure A-6 in Appendix A of the Manual, or use GIS with Bedrock Geology shapefile at http://www.snb.ca/geonb1/e/DC/catalogue-E.asp</v>
      </c>
      <c r="D65" s="236">
        <f>IF((OF!D154=""),"",OF!D154)</f>
        <v>0</v>
      </c>
      <c r="E65" s="237"/>
      <c r="F65" s="753"/>
      <c r="G65" s="537" t="str">
        <f>IF((D65=""),"",IF((D65=0),"",D65/3))</f>
        <v/>
      </c>
      <c r="H65" s="81" t="s">
        <v>2043</v>
      </c>
      <c r="I65" s="1647" t="s">
        <v>1201</v>
      </c>
    </row>
    <row r="66" spans="1:67" ht="21" customHeight="1" thickBot="1">
      <c r="A66" s="2212" t="str">
        <f>F!A4</f>
        <v>F1</v>
      </c>
      <c r="B66" s="2212" t="str">
        <f>F!B4</f>
        <v>Wetland Type</v>
      </c>
      <c r="C66" s="439" t="str">
        <f>F!C4</f>
        <v>The vegetated part of the Assessment Area (AA) is mostly a (select ONE):</v>
      </c>
      <c r="D66" s="1172"/>
      <c r="E66" s="499"/>
      <c r="F66" s="383"/>
      <c r="G66" s="500">
        <f>MAX(F67:F70)/MAX(E67:E70)</f>
        <v>0</v>
      </c>
      <c r="H66" s="2148" t="s">
        <v>2907</v>
      </c>
      <c r="I66" s="2411" t="s">
        <v>247</v>
      </c>
    </row>
    <row r="67" spans="1:67" ht="57" customHeight="1">
      <c r="A67" s="2213"/>
      <c r="B67" s="2213"/>
      <c r="C67" s="440"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67" s="78">
        <f>F!D5</f>
        <v>0</v>
      </c>
      <c r="E67" s="385">
        <v>2</v>
      </c>
      <c r="F67" s="361">
        <f>D67*E67</f>
        <v>0</v>
      </c>
      <c r="G67" s="501"/>
      <c r="H67" s="2146"/>
      <c r="I67" s="2412"/>
    </row>
    <row r="68" spans="1:67" ht="57" customHeight="1">
      <c r="A68" s="2213"/>
      <c r="B68" s="2213"/>
      <c r="C68" s="1071"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68" s="78">
        <f>F!D6</f>
        <v>0</v>
      </c>
      <c r="E68" s="385">
        <v>1</v>
      </c>
      <c r="F68" s="361">
        <f>D68*E68</f>
        <v>0</v>
      </c>
      <c r="G68" s="502"/>
      <c r="H68" s="2146"/>
      <c r="I68" s="2412"/>
    </row>
    <row r="69" spans="1:67" ht="69" customHeight="1">
      <c r="A69" s="2213"/>
      <c r="B69" s="2213"/>
      <c r="C69" s="1071"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69" s="78">
        <f>F!D7</f>
        <v>0</v>
      </c>
      <c r="E69" s="385">
        <v>2</v>
      </c>
      <c r="F69" s="361">
        <f>D69*E69</f>
        <v>0</v>
      </c>
      <c r="G69" s="502"/>
      <c r="H69" s="2146"/>
      <c r="I69" s="2412"/>
    </row>
    <row r="70" spans="1:67" ht="69" customHeight="1" thickBot="1">
      <c r="A70" s="2377"/>
      <c r="B70" s="2213"/>
      <c r="C70" s="447"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70" s="549">
        <f>F!D8</f>
        <v>0</v>
      </c>
      <c r="E70" s="387">
        <v>3</v>
      </c>
      <c r="F70" s="364">
        <f>D70*E70</f>
        <v>0</v>
      </c>
      <c r="G70" s="511"/>
      <c r="H70" s="2146"/>
      <c r="I70" s="2413"/>
    </row>
    <row r="71" spans="1:67" ht="60" customHeight="1" thickBot="1">
      <c r="A71" s="2667" t="str">
        <f>F!A9</f>
        <v>F2</v>
      </c>
      <c r="B71" s="2212" t="str">
        <f>F!B9</f>
        <v xml:space="preserve">Wetland Types - Adjoining or Subordinate </v>
      </c>
      <c r="C71" s="123" t="str">
        <f>F!C9</f>
        <v>Mark all other vegetated wetland types you can see (from ground or in aerial imagery) that adjoin the AA or are within it, but only if visible during your visit or from aerial imagery, AND either they are larger than 1 hectare OR comprise more than 1% of contiguous wetland. Do not mark the predominant type again.</v>
      </c>
      <c r="D71" s="392"/>
      <c r="E71" s="499"/>
      <c r="F71" s="365"/>
      <c r="G71" s="500">
        <f>SUM(D72:D75)/4</f>
        <v>0</v>
      </c>
      <c r="H71" s="2148" t="s">
        <v>2115</v>
      </c>
      <c r="I71" s="2411" t="s">
        <v>2116</v>
      </c>
    </row>
    <row r="72" spans="1:67" ht="15" customHeight="1">
      <c r="A72" s="2668"/>
      <c r="B72" s="2213"/>
      <c r="C72" s="440" t="str">
        <f>F!C10</f>
        <v>Swamp (with or without vernal pools)</v>
      </c>
      <c r="D72" s="78">
        <f>F!D10</f>
        <v>0</v>
      </c>
      <c r="E72" s="385"/>
      <c r="F72" s="361"/>
      <c r="G72" s="502"/>
      <c r="H72" s="2146"/>
      <c r="I72" s="2412"/>
    </row>
    <row r="73" spans="1:67" ht="15" customHeight="1">
      <c r="A73" s="2668"/>
      <c r="B73" s="2213"/>
      <c r="C73" s="1077" t="str">
        <f>F!C11</f>
        <v>Bog</v>
      </c>
      <c r="D73" s="78">
        <f>F!D11</f>
        <v>0</v>
      </c>
      <c r="E73" s="385"/>
      <c r="F73" s="361"/>
      <c r="G73" s="502"/>
      <c r="H73" s="2146"/>
      <c r="I73" s="2412"/>
    </row>
    <row r="74" spans="1:67" ht="15" customHeight="1">
      <c r="A74" s="2668"/>
      <c r="B74" s="2213"/>
      <c r="C74" s="1077" t="str">
        <f>F!C12</f>
        <v>Fen</v>
      </c>
      <c r="D74" s="78">
        <f>F!D12</f>
        <v>0</v>
      </c>
      <c r="E74" s="385"/>
      <c r="F74" s="361"/>
      <c r="G74" s="502"/>
      <c r="H74" s="2146"/>
      <c r="I74" s="2412"/>
    </row>
    <row r="75" spans="1:67" ht="15" customHeight="1" thickBot="1">
      <c r="A75" s="2669"/>
      <c r="B75" s="2377"/>
      <c r="C75" s="441" t="str">
        <f>F!C13</f>
        <v>Marsh</v>
      </c>
      <c r="D75" s="193">
        <f>F!D13</f>
        <v>0</v>
      </c>
      <c r="E75" s="389"/>
      <c r="F75" s="362"/>
      <c r="G75" s="503"/>
      <c r="H75" s="2149"/>
      <c r="I75" s="2413"/>
    </row>
    <row r="76" spans="1:67" s="13" customFormat="1" ht="45" customHeight="1" thickBot="1">
      <c r="A76" s="2316" t="str">
        <f>F!A21</f>
        <v>F4</v>
      </c>
      <c r="B76" s="2211" t="str">
        <f>F!B21</f>
        <v>Woody Diameter Classes</v>
      </c>
      <c r="C76" s="1401" t="str">
        <f>F!C21</f>
        <v>Mark ALL the types that comprise &gt;5% of the woody canopy cover in the AA or &gt;5% of the wooded areas (if any) along its upland edge (perimeter).  The edge should include only the trees whose canopies extend into the AA.</v>
      </c>
      <c r="D76" s="1766"/>
      <c r="E76" s="360"/>
      <c r="F76" s="382"/>
      <c r="G76" s="506" t="str">
        <f>IF((SUM(F!D15:D18)=0),"", ((SUM(D77:D84)/8+ MAX(F77:F84)/MAX(E77:E84))/2))</f>
        <v/>
      </c>
      <c r="H76" s="2211" t="s">
        <v>2044</v>
      </c>
      <c r="I76" s="2411" t="s">
        <v>255</v>
      </c>
      <c r="J76" s="14"/>
      <c r="K76" s="142"/>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row>
    <row r="77" spans="1:67" s="13" customFormat="1" ht="15" customHeight="1">
      <c r="A77" s="2183"/>
      <c r="B77" s="2208"/>
      <c r="C77" s="30" t="str">
        <f>F!C22</f>
        <v>coniferous, 1-9 cm diameter and &gt;1 m tall.</v>
      </c>
      <c r="D77" s="256">
        <f>F!D22</f>
        <v>0</v>
      </c>
      <c r="E77" s="361">
        <v>1</v>
      </c>
      <c r="F77" s="361">
        <f t="shared" ref="F77:F89" si="5">D77*E77</f>
        <v>0</v>
      </c>
      <c r="G77" s="501"/>
      <c r="H77" s="2211"/>
      <c r="I77" s="2412"/>
      <c r="J77" s="14"/>
      <c r="K77" s="142"/>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row>
    <row r="78" spans="1:67" s="13" customFormat="1" ht="15" customHeight="1">
      <c r="A78" s="2183"/>
      <c r="B78" s="2208"/>
      <c r="C78" s="6" t="str">
        <f>F!C23</f>
        <v>broad-leaved deciduous 1-9 cm diameter and &gt;1 m tall.</v>
      </c>
      <c r="D78" s="247">
        <f>F!D23</f>
        <v>0</v>
      </c>
      <c r="E78" s="361">
        <v>1</v>
      </c>
      <c r="F78" s="361">
        <f t="shared" si="5"/>
        <v>0</v>
      </c>
      <c r="G78" s="502"/>
      <c r="H78" s="2211"/>
      <c r="I78" s="2412"/>
      <c r="J78" s="14"/>
      <c r="K78" s="142"/>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row>
    <row r="79" spans="1:67" s="13" customFormat="1" ht="15" customHeight="1">
      <c r="A79" s="2183"/>
      <c r="B79" s="2208"/>
      <c r="C79" s="6" t="str">
        <f>F!C24</f>
        <v>coniferous, 10-19 cm diameter.</v>
      </c>
      <c r="D79" s="247">
        <f>F!D24</f>
        <v>0</v>
      </c>
      <c r="E79" s="361">
        <v>2</v>
      </c>
      <c r="F79" s="361">
        <f t="shared" si="5"/>
        <v>0</v>
      </c>
      <c r="G79" s="502"/>
      <c r="H79" s="2211"/>
      <c r="I79" s="2412"/>
      <c r="J79" s="14"/>
      <c r="K79" s="142"/>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row>
    <row r="80" spans="1:67" s="13" customFormat="1" ht="15" customHeight="1">
      <c r="A80" s="2183"/>
      <c r="B80" s="2208"/>
      <c r="C80" s="6" t="str">
        <f>F!C25</f>
        <v>broad-leaved deciduous 10-19 cm diameter.</v>
      </c>
      <c r="D80" s="247">
        <f>F!D25</f>
        <v>0</v>
      </c>
      <c r="E80" s="361">
        <v>2</v>
      </c>
      <c r="F80" s="361">
        <f t="shared" si="5"/>
        <v>0</v>
      </c>
      <c r="G80" s="502"/>
      <c r="H80" s="2211"/>
      <c r="I80" s="2412"/>
      <c r="J80" s="14"/>
      <c r="K80" s="142"/>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row>
    <row r="81" spans="1:67" s="13" customFormat="1" ht="15" customHeight="1">
      <c r="A81" s="2183"/>
      <c r="B81" s="2208"/>
      <c r="C81" s="6" t="str">
        <f>F!C26</f>
        <v>coniferous, 20-40 cm diameter.</v>
      </c>
      <c r="D81" s="247">
        <f>F!D26</f>
        <v>0</v>
      </c>
      <c r="E81" s="361">
        <v>3</v>
      </c>
      <c r="F81" s="361">
        <f t="shared" si="5"/>
        <v>0</v>
      </c>
      <c r="G81" s="502"/>
      <c r="H81" s="2211"/>
      <c r="I81" s="2412"/>
      <c r="J81" s="14"/>
      <c r="K81" s="142"/>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row>
    <row r="82" spans="1:67" s="13" customFormat="1" ht="15" customHeight="1">
      <c r="A82" s="2183"/>
      <c r="B82" s="2208"/>
      <c r="C82" s="6" t="str">
        <f>F!C27</f>
        <v>broad-leaved deciduous 20-40 cm diameter.</v>
      </c>
      <c r="D82" s="247">
        <f>F!D27</f>
        <v>0</v>
      </c>
      <c r="E82" s="361">
        <v>3</v>
      </c>
      <c r="F82" s="361">
        <f t="shared" si="5"/>
        <v>0</v>
      </c>
      <c r="G82" s="502"/>
      <c r="H82" s="2211"/>
      <c r="I82" s="2412"/>
      <c r="J82" s="14"/>
      <c r="K82" s="142"/>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row>
    <row r="83" spans="1:67" s="13" customFormat="1" ht="15" customHeight="1">
      <c r="A83" s="2183"/>
      <c r="B83" s="2208"/>
      <c r="C83" s="6" t="str">
        <f>F!C28</f>
        <v>coniferous, &gt;40 cm diameter.</v>
      </c>
      <c r="D83" s="247">
        <f>F!D28</f>
        <v>0</v>
      </c>
      <c r="E83" s="361">
        <v>4</v>
      </c>
      <c r="F83" s="361">
        <f t="shared" si="5"/>
        <v>0</v>
      </c>
      <c r="G83" s="502"/>
      <c r="H83" s="2211"/>
      <c r="I83" s="2412"/>
      <c r="J83" s="14"/>
      <c r="K83" s="142"/>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row>
    <row r="84" spans="1:67" s="13" customFormat="1" ht="15" customHeight="1" thickBot="1">
      <c r="A84" s="2184"/>
      <c r="B84" s="2208"/>
      <c r="C84" s="437" t="str">
        <f>F!C29</f>
        <v>broad-leaved deciduous &gt;40 cm diameter.</v>
      </c>
      <c r="D84" s="254">
        <f>F!D29</f>
        <v>0</v>
      </c>
      <c r="E84" s="364">
        <v>4</v>
      </c>
      <c r="F84" s="364">
        <f t="shared" si="5"/>
        <v>0</v>
      </c>
      <c r="G84" s="511"/>
      <c r="H84" s="2211"/>
      <c r="I84" s="2413"/>
      <c r="J84" s="14"/>
      <c r="K84" s="142"/>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row>
    <row r="85" spans="1:67" s="13" customFormat="1" ht="30" customHeight="1" thickBot="1">
      <c r="A85" s="2212" t="str">
        <f>F!A30</f>
        <v>F5</v>
      </c>
      <c r="B85" s="2212" t="str">
        <f>F!B30</f>
        <v>Height Class Interspersion</v>
      </c>
      <c r="C85" s="439" t="str">
        <f>F!C30</f>
        <v>In aerial ("duck's eye") view, the following best represents the distribution pattern of vegetation taller than 1 m  VS. shorter than 1 m:</v>
      </c>
      <c r="D85" s="376"/>
      <c r="E85" s="365"/>
      <c r="F85" s="365"/>
      <c r="G85" s="497" t="str">
        <f>IF((SUM(F!D15:D18)=0),"", MAX(F86:F89)/MAX(E86:E89))</f>
        <v/>
      </c>
      <c r="H85" s="2491" t="s">
        <v>1978</v>
      </c>
      <c r="I85" s="2411" t="s">
        <v>1979</v>
      </c>
      <c r="J85" s="14"/>
      <c r="K85" s="142"/>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row>
    <row r="86" spans="1:67" s="13" customFormat="1" ht="42" customHeight="1">
      <c r="A86" s="2213"/>
      <c r="B86" s="2213"/>
      <c r="C86" s="440" t="str">
        <f>F!C31</f>
        <v xml:space="preserve">Taller vegetation (&gt;1m height) comprises 30-70% of the vegetated part of the AA and shorter vegetation (&lt;1m height) is scattered widely amid the taller. OR Shorter vegetation comprises 30-70% of the vegetated part of the AA, AND taller vegetation is scattered widely amid the shorter. </v>
      </c>
      <c r="D86" s="78">
        <f>F!D31</f>
        <v>0</v>
      </c>
      <c r="E86" s="361">
        <v>3</v>
      </c>
      <c r="F86" s="361">
        <f t="shared" si="5"/>
        <v>0</v>
      </c>
      <c r="G86" s="1173"/>
      <c r="H86" s="2492"/>
      <c r="I86" s="2412"/>
      <c r="J86" s="14"/>
      <c r="K86" s="142"/>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row>
    <row r="87" spans="1:67" s="13" customFormat="1" ht="57" customHeight="1">
      <c r="A87" s="2213"/>
      <c r="B87" s="2213"/>
      <c r="C87" s="1077" t="str">
        <f>F!C32</f>
        <v xml:space="preserve">Taller vegetation comprises 30-70% of the vegetated part of the AA and shorter vegetation is mainly segregated in zones or proportionately large clumps, not scattered widely amid the taller. OR Shorter vegetation comprises 30-70% of the vegetated part of the AA and taller vegetation is mainly in zones or proportionately large clumps, not scattered widely amid the taller. </v>
      </c>
      <c r="D87" s="78">
        <f>F!D32</f>
        <v>0</v>
      </c>
      <c r="E87" s="361">
        <v>2</v>
      </c>
      <c r="F87" s="361">
        <f t="shared" si="5"/>
        <v>0</v>
      </c>
      <c r="G87" s="1173"/>
      <c r="H87" s="2492"/>
      <c r="I87" s="2412"/>
      <c r="J87" s="14"/>
      <c r="K87" s="142"/>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row>
    <row r="88" spans="1:67" s="13" customFormat="1" ht="42" customHeight="1">
      <c r="A88" s="2213"/>
      <c r="B88" s="2213"/>
      <c r="C88" s="1077" t="str">
        <f>F!C33</f>
        <v xml:space="preserve">Taller vegetation comprises &gt;70% of the vegetated part of the AA and shorter vegetation is scattered widely amid the taller. OR Shorter vegetation comprises &gt;70% of the vegetated part of the AA, AND taller vegetation (if any) is scattered widely amid the shorter. </v>
      </c>
      <c r="D88" s="78">
        <f>F!D33</f>
        <v>0</v>
      </c>
      <c r="E88" s="361">
        <v>1</v>
      </c>
      <c r="F88" s="361">
        <f t="shared" si="5"/>
        <v>0</v>
      </c>
      <c r="G88" s="1173"/>
      <c r="H88" s="2492"/>
      <c r="I88" s="2412"/>
      <c r="J88" s="14"/>
      <c r="K88" s="142"/>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row>
    <row r="89" spans="1:67" s="13" customFormat="1" ht="57" customHeight="1" thickBot="1">
      <c r="A89" s="2377"/>
      <c r="B89" s="2377"/>
      <c r="C89" s="441" t="str">
        <f>F!C34</f>
        <v xml:space="preserve">Taller vegetation comprises &gt;70% of the vegetated part of the AA and shorter vegetation is absent or is mainly segregated in zones or proportionately large clumps, not scattered widely amid the taller. OR Shorter vegetation comprises &gt;70% of the vegetated part of the AA and taller vegetation is absent or is mainly in zones or proportionately large clumps, not scattered widely amid the taller. </v>
      </c>
      <c r="D89" s="193">
        <f>F!D34</f>
        <v>0</v>
      </c>
      <c r="E89" s="362">
        <v>0</v>
      </c>
      <c r="F89" s="362">
        <f t="shared" si="5"/>
        <v>0</v>
      </c>
      <c r="G89" s="1207"/>
      <c r="H89" s="2493"/>
      <c r="I89" s="2413"/>
      <c r="J89" s="14"/>
      <c r="K89" s="142"/>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row>
    <row r="90" spans="1:67" ht="39" customHeight="1" thickBot="1">
      <c r="A90" s="2316" t="str">
        <f>F!A39</f>
        <v>F7</v>
      </c>
      <c r="B90" s="2211" t="str">
        <f>F!B39</f>
        <v>Downed Wood</v>
      </c>
      <c r="C90" s="1118" t="str">
        <f>F!C39</f>
        <v>The number of downed wood pieces longer than 2 m and with diameter &gt;10 cm, and not persistently submerged, is:</v>
      </c>
      <c r="D90" s="1766"/>
      <c r="E90" s="360"/>
      <c r="F90" s="382"/>
      <c r="G90" s="506" t="str">
        <f>IF((SUM(F!D15:D18)=0),"", IF((D91=1),1, ""))</f>
        <v/>
      </c>
      <c r="H90" s="2588" t="s">
        <v>1971</v>
      </c>
      <c r="I90" s="2411" t="s">
        <v>256</v>
      </c>
    </row>
    <row r="91" spans="1:67" ht="24" customHeight="1">
      <c r="A91" s="2201"/>
      <c r="B91" s="2211"/>
      <c r="C91" s="30" t="str">
        <f>F!C40</f>
        <v>Several (&gt;5 if AA is &gt;5 hectares, less for smaller AAs) meet these criteria.</v>
      </c>
      <c r="D91" s="256">
        <f>F!D40</f>
        <v>0</v>
      </c>
      <c r="E91" s="361">
        <v>1</v>
      </c>
      <c r="F91" s="361">
        <f>D91*E91</f>
        <v>0</v>
      </c>
      <c r="G91" s="501"/>
      <c r="H91" s="2585"/>
      <c r="I91" s="2412"/>
    </row>
    <row r="92" spans="1:67" ht="24" customHeight="1" thickBot="1">
      <c r="A92" s="2317"/>
      <c r="B92" s="2420"/>
      <c r="C92" s="194" t="str">
        <f>F!C41</f>
        <v>Few or none that meet these criteria.</v>
      </c>
      <c r="D92" s="248">
        <f>F!D41</f>
        <v>0</v>
      </c>
      <c r="E92" s="362">
        <v>0</v>
      </c>
      <c r="F92" s="362">
        <f>D92*E92</f>
        <v>0</v>
      </c>
      <c r="G92" s="503"/>
      <c r="H92" s="2586"/>
      <c r="I92" s="2413"/>
    </row>
    <row r="93" spans="1:67" s="13" customFormat="1" ht="30" customHeight="1" thickBot="1">
      <c r="A93" s="2316" t="str">
        <f>F!A57</f>
        <v>F11</v>
      </c>
      <c r="B93" s="2218" t="str">
        <f>F!B57</f>
        <v>% Bare Ground &amp; Thatch</v>
      </c>
      <c r="C93" s="436" t="str">
        <f>F!C57</f>
        <v>Consider the parts of the AA that lack surface water at the driest time of the growing season. Viewed from directly above the ground layer, the predominant condition in those areas at that time is:</v>
      </c>
      <c r="D93" s="1766"/>
      <c r="E93" s="365"/>
      <c r="F93" s="383"/>
      <c r="G93" s="500">
        <f>MAX(F94:F97)/MAX(E94:E97)</f>
        <v>0</v>
      </c>
      <c r="H93" s="2218" t="s">
        <v>1836</v>
      </c>
      <c r="I93" s="2411" t="s">
        <v>257</v>
      </c>
      <c r="J93" s="14"/>
      <c r="K93" s="142"/>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row>
    <row r="94" spans="1:67" s="13" customFormat="1" ht="42" customHeight="1">
      <c r="A94" s="2183"/>
      <c r="B94" s="2208"/>
      <c r="C94" s="30" t="str">
        <f>F!C58</f>
        <v>Little or no (&lt;5%) bare ground is visible between erect stems or under canopy anywhere in the vegetated AA. Ground is extensively blanketed by dense thatch, moss, lichens, graminoids with great stem densities, or plants with ground-hugging foliage. </v>
      </c>
      <c r="D94" s="256">
        <f>F!D58</f>
        <v>0</v>
      </c>
      <c r="E94" s="637">
        <v>2</v>
      </c>
      <c r="F94" s="361">
        <f>D94*E94</f>
        <v>0</v>
      </c>
      <c r="G94" s="501"/>
      <c r="H94" s="2211"/>
      <c r="I94" s="2412"/>
      <c r="J94" s="14"/>
      <c r="K94" s="142"/>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row>
    <row r="95" spans="1:67" s="13" customFormat="1" ht="27" customHeight="1">
      <c r="A95" s="2183"/>
      <c r="B95" s="2208"/>
      <c r="C95" s="6" t="str">
        <f>F!C59</f>
        <v>Slightly bare ground (5-20% bare between plants) is visible in places, but those areas comprise less than 5% of the unflooded parts of the AA.</v>
      </c>
      <c r="D95" s="247">
        <f>F!D59</f>
        <v>0</v>
      </c>
      <c r="E95" s="637">
        <v>3</v>
      </c>
      <c r="F95" s="361">
        <f>D95*E95</f>
        <v>0</v>
      </c>
      <c r="G95" s="502"/>
      <c r="H95" s="2211"/>
      <c r="I95" s="2412"/>
      <c r="J95" s="14"/>
      <c r="K95" s="142"/>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row>
    <row r="96" spans="1:67" s="13" customFormat="1" ht="27" customHeight="1">
      <c r="A96" s="2183"/>
      <c r="B96" s="2208"/>
      <c r="C96" s="6" t="str">
        <f>F!C60</f>
        <v>Much bare ground (20-50% bare between plants) is visible in places, and those areas comprise more than 5% of the unflooded parts of the AA. </v>
      </c>
      <c r="D96" s="247">
        <f>F!D60</f>
        <v>0</v>
      </c>
      <c r="E96" s="637">
        <v>1</v>
      </c>
      <c r="F96" s="361">
        <f>D96*E96</f>
        <v>0</v>
      </c>
      <c r="G96" s="502"/>
      <c r="H96" s="2211"/>
      <c r="I96" s="2412"/>
      <c r="J96" s="14"/>
      <c r="K96" s="142"/>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row>
    <row r="97" spans="1:67" s="13" customFormat="1" ht="15" customHeight="1" thickBot="1">
      <c r="A97" s="2184"/>
      <c r="B97" s="2210"/>
      <c r="C97" s="194" t="str">
        <f>F!C61</f>
        <v>Other conditions.</v>
      </c>
      <c r="D97" s="248">
        <f>F!D61</f>
        <v>0</v>
      </c>
      <c r="E97" s="640">
        <v>0</v>
      </c>
      <c r="F97" s="362">
        <f>D97*E97</f>
        <v>0</v>
      </c>
      <c r="G97" s="503"/>
      <c r="H97" s="2420"/>
      <c r="I97" s="2413"/>
      <c r="J97" s="14"/>
      <c r="K97" s="142"/>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row>
    <row r="98" spans="1:67" s="21" customFormat="1" ht="60" customHeight="1" thickBot="1">
      <c r="A98" s="2592" t="str">
        <f>F!A63</f>
        <v>F12</v>
      </c>
      <c r="B98" s="2211" t="str">
        <f>F!B63</f>
        <v xml:space="preserve">Ground Irregularity </v>
      </c>
      <c r="C98" s="658"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98" s="1172"/>
      <c r="E98" s="360"/>
      <c r="F98" s="382"/>
      <c r="G98" s="506">
        <f>MAX(F99:F101)/MAX(E99:E101)</f>
        <v>0</v>
      </c>
      <c r="H98" s="2588" t="s">
        <v>571</v>
      </c>
      <c r="I98" s="2411" t="s">
        <v>258</v>
      </c>
      <c r="J98" s="14"/>
      <c r="K98" s="142"/>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27"/>
    </row>
    <row r="99" spans="1:67" s="21" customFormat="1" ht="15" customHeight="1">
      <c r="A99" s="2522"/>
      <c r="B99" s="2208"/>
      <c r="C99" s="30" t="str">
        <f>F!C64</f>
        <v>Few or none (minimal microtopography; &lt;1% has such features).</v>
      </c>
      <c r="D99" s="247">
        <f>F!D64</f>
        <v>0</v>
      </c>
      <c r="E99" s="637">
        <v>0</v>
      </c>
      <c r="F99" s="361">
        <f>D99*E99</f>
        <v>0</v>
      </c>
      <c r="G99" s="501"/>
      <c r="H99" s="2585"/>
      <c r="I99" s="2412"/>
      <c r="J99" s="14"/>
      <c r="K99" s="142"/>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27"/>
    </row>
    <row r="100" spans="1:67" s="21" customFormat="1" ht="15" customHeight="1">
      <c r="A100" s="2522"/>
      <c r="B100" s="2208"/>
      <c r="C100" s="6" t="str">
        <f>F!C65</f>
        <v>Intermediate.</v>
      </c>
      <c r="D100" s="247">
        <f>F!D65</f>
        <v>0</v>
      </c>
      <c r="E100" s="361">
        <v>1</v>
      </c>
      <c r="F100" s="361">
        <f>D100*E100</f>
        <v>0</v>
      </c>
      <c r="G100" s="502"/>
      <c r="H100" s="2585"/>
      <c r="I100" s="2412"/>
      <c r="J100" s="14"/>
      <c r="K100" s="142"/>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27"/>
    </row>
    <row r="101" spans="1:67" s="21" customFormat="1" ht="15" customHeight="1" thickBot="1">
      <c r="A101" s="2522"/>
      <c r="B101" s="2208"/>
      <c r="C101" s="437" t="str">
        <f>F!C66</f>
        <v>Several (extensive micro-topography).</v>
      </c>
      <c r="D101" s="254">
        <f>F!D66</f>
        <v>0</v>
      </c>
      <c r="E101" s="364">
        <v>2</v>
      </c>
      <c r="F101" s="364">
        <f>D101*E101</f>
        <v>0</v>
      </c>
      <c r="G101" s="511"/>
      <c r="H101" s="2589"/>
      <c r="I101" s="2413"/>
      <c r="J101" s="14"/>
      <c r="K101" s="142"/>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27"/>
    </row>
    <row r="102" spans="1:67" s="13" customFormat="1" ht="21" customHeight="1" thickBot="1">
      <c r="A102" s="2150" t="str">
        <f>F!A67</f>
        <v>F13</v>
      </c>
      <c r="B102" s="2148" t="str">
        <f>F!B67</f>
        <v>Upland Inclusions</v>
      </c>
      <c r="C102" s="436" t="str">
        <f>F!C67</f>
        <v>Within the AA, inclusions of upland that individually are &gt;100 sq.m. are:</v>
      </c>
      <c r="D102" s="1766"/>
      <c r="E102" s="365"/>
      <c r="F102" s="366"/>
      <c r="G102" s="500">
        <f>IF((D103=1),"", MAX(F103:F105)/MAX(E103:E105))</f>
        <v>0</v>
      </c>
      <c r="H102" s="2218" t="s">
        <v>572</v>
      </c>
      <c r="I102" s="2411" t="s">
        <v>259</v>
      </c>
      <c r="J102" s="14"/>
      <c r="K102" s="142"/>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row>
    <row r="103" spans="1:67" s="13" customFormat="1" ht="15" customHeight="1">
      <c r="A103" s="2151"/>
      <c r="B103" s="2146"/>
      <c r="C103" s="30" t="str">
        <f>F!C68</f>
        <v>Few or none.</v>
      </c>
      <c r="D103" s="256">
        <f>F!D68</f>
        <v>0</v>
      </c>
      <c r="E103" s="361">
        <v>1</v>
      </c>
      <c r="F103" s="361">
        <f>D103*E103</f>
        <v>0</v>
      </c>
      <c r="G103" s="501"/>
      <c r="H103" s="2211"/>
      <c r="I103" s="2412"/>
      <c r="J103" s="14"/>
      <c r="K103" s="142"/>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row>
    <row r="104" spans="1:67" s="13" customFormat="1" ht="15" customHeight="1">
      <c r="A104" s="2151"/>
      <c r="B104" s="2146"/>
      <c r="C104" s="6" t="str">
        <f>F!C69</f>
        <v>Intermediate (1 - 10% of vegetated part of the AA).</v>
      </c>
      <c r="D104" s="247">
        <f>F!D69</f>
        <v>0</v>
      </c>
      <c r="E104" s="361">
        <v>2</v>
      </c>
      <c r="F104" s="361">
        <f>D104*E104</f>
        <v>0</v>
      </c>
      <c r="G104" s="501"/>
      <c r="H104" s="2211"/>
      <c r="I104" s="2412"/>
      <c r="J104" s="14"/>
      <c r="K104" s="142"/>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row>
    <row r="105" spans="1:67" s="13" customFormat="1" ht="15" customHeight="1" thickBot="1">
      <c r="A105" s="2151"/>
      <c r="B105" s="2146"/>
      <c r="C105" s="437" t="str">
        <f>F!C70</f>
        <v>Many (e.g., wetland-upland "mosaic", &gt;10% of the vegetated AA).</v>
      </c>
      <c r="D105" s="254">
        <f>F!D70</f>
        <v>0</v>
      </c>
      <c r="E105" s="364">
        <v>3</v>
      </c>
      <c r="F105" s="364">
        <f>D105*E105</f>
        <v>0</v>
      </c>
      <c r="G105" s="511"/>
      <c r="H105" s="2211"/>
      <c r="I105" s="2413"/>
      <c r="J105" s="14"/>
      <c r="K105" s="142"/>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row>
    <row r="106" spans="1:67" s="13" customFormat="1" ht="30" customHeight="1" thickBot="1">
      <c r="A106" s="2593" t="str">
        <f>F!A82</f>
        <v>F16</v>
      </c>
      <c r="B106" s="2593" t="str">
        <f>F!B82</f>
        <v>Herbaceous % of Vegetated Wetland</v>
      </c>
      <c r="C106" s="171" t="str">
        <f>F!C82</f>
        <v>In aerial ("ducks eye") view, the maximum annual cover of herbaceous vegetation (excluding moss) is:</v>
      </c>
      <c r="D106" s="1172"/>
      <c r="E106" s="499"/>
      <c r="F106" s="366"/>
      <c r="G106" s="500">
        <f>MAX(F107:F111)/MAX(E107:E111)</f>
        <v>0</v>
      </c>
      <c r="H106" s="2148" t="s">
        <v>2045</v>
      </c>
      <c r="I106" s="2411" t="s">
        <v>424</v>
      </c>
      <c r="J106" s="14"/>
      <c r="K106" s="142"/>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row>
    <row r="107" spans="1:67" s="13" customFormat="1" ht="27" customHeight="1">
      <c r="A107" s="2432"/>
      <c r="B107" s="2432"/>
      <c r="C107" s="1758" t="str">
        <f>F!C83</f>
        <v>&lt;5% of the vegetated part of the AA or &lt;0.01 hectare (whichever is less). Mark "1" here and SKIP to F20 (Invasive Plant Cover).</v>
      </c>
      <c r="D107" s="259">
        <f>F!D83</f>
        <v>0</v>
      </c>
      <c r="E107" s="1162">
        <v>1</v>
      </c>
      <c r="F107" s="361">
        <f>D107*E107</f>
        <v>0</v>
      </c>
      <c r="G107" s="501"/>
      <c r="H107" s="2146"/>
      <c r="I107" s="2412"/>
      <c r="J107" s="14"/>
      <c r="K107" s="142"/>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row>
    <row r="108" spans="1:67" s="13" customFormat="1" ht="15" customHeight="1">
      <c r="A108" s="2432"/>
      <c r="B108" s="2432"/>
      <c r="C108" s="1757" t="str">
        <f>F!C84</f>
        <v>5-25% of the vegetated part of the AA.</v>
      </c>
      <c r="D108" s="259">
        <f>F!D84</f>
        <v>0</v>
      </c>
      <c r="E108" s="1162">
        <v>2</v>
      </c>
      <c r="F108" s="361">
        <f>D108*E108</f>
        <v>0</v>
      </c>
      <c r="G108" s="502"/>
      <c r="H108" s="2146"/>
      <c r="I108" s="2412"/>
      <c r="J108" s="14"/>
      <c r="K108" s="142"/>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row>
    <row r="109" spans="1:67" s="13" customFormat="1" ht="15" customHeight="1">
      <c r="A109" s="2432"/>
      <c r="B109" s="2432"/>
      <c r="C109" s="1757" t="str">
        <f>F!C85</f>
        <v>25-50% of the vegetated part of the AA.</v>
      </c>
      <c r="D109" s="259">
        <f>F!D85</f>
        <v>0</v>
      </c>
      <c r="E109" s="1162">
        <v>3</v>
      </c>
      <c r="F109" s="361">
        <f>D109*E109</f>
        <v>0</v>
      </c>
      <c r="G109" s="502"/>
      <c r="H109" s="2146"/>
      <c r="I109" s="2412"/>
      <c r="J109" s="14"/>
      <c r="K109" s="142"/>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row>
    <row r="110" spans="1:67" s="13" customFormat="1" ht="15" customHeight="1">
      <c r="A110" s="2432"/>
      <c r="B110" s="2432"/>
      <c r="C110" s="1757" t="str">
        <f>F!C86</f>
        <v>50-95% of the vegetated part of the AA.</v>
      </c>
      <c r="D110" s="259">
        <f>F!D86</f>
        <v>0</v>
      </c>
      <c r="E110" s="1162">
        <v>4</v>
      </c>
      <c r="F110" s="361">
        <f>D110*E110</f>
        <v>0</v>
      </c>
      <c r="G110" s="502"/>
      <c r="H110" s="2146"/>
      <c r="I110" s="2412"/>
      <c r="J110" s="14"/>
      <c r="K110" s="142"/>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row>
    <row r="111" spans="1:67" s="13" customFormat="1" ht="15" customHeight="1" thickBot="1">
      <c r="A111" s="2594"/>
      <c r="B111" s="2594"/>
      <c r="C111" s="1171" t="str">
        <f>F!C87</f>
        <v>&gt;95% of the vegetated part of the AA.</v>
      </c>
      <c r="D111" s="285">
        <f>F!D87</f>
        <v>0</v>
      </c>
      <c r="E111" s="1232">
        <v>3</v>
      </c>
      <c r="F111" s="362">
        <f>D111*E111</f>
        <v>0</v>
      </c>
      <c r="G111" s="503"/>
      <c r="H111" s="2149"/>
      <c r="I111" s="2413"/>
      <c r="J111" s="14"/>
      <c r="K111" s="142"/>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row>
    <row r="112" spans="1:67" s="2" customFormat="1" ht="30" customHeight="1" thickBot="1">
      <c r="A112" s="2361" t="str">
        <f>F!A115</f>
        <v>F24</v>
      </c>
      <c r="B112" s="2146" t="str">
        <f>F!B115</f>
        <v>% of AA Without Surface Water</v>
      </c>
      <c r="C112" s="658" t="str">
        <f>F!C115</f>
        <v>The percentage of the AA that never contains surface water during an average year (that is, except perhaps for a few hours after snowmelt or rainstorms), but which is still a wetland, is:</v>
      </c>
      <c r="D112" s="1766"/>
      <c r="E112" s="379"/>
      <c r="F112" s="380"/>
      <c r="G112" s="506">
        <f>MAX(F113:F118)/MAX(E113:E118)</f>
        <v>0</v>
      </c>
      <c r="H112" s="2146" t="s">
        <v>2046</v>
      </c>
      <c r="I112" s="2148" t="s">
        <v>794</v>
      </c>
      <c r="K112" s="192"/>
    </row>
    <row r="113" spans="1:11" s="2" customFormat="1" ht="27" customHeight="1">
      <c r="A113" s="2361"/>
      <c r="B113" s="2146"/>
      <c r="C113" s="625" t="str">
        <f>F!C116</f>
        <v xml:space="preserve">&lt;1% AND &lt;0.01 hectare (about 10 m on a side) never has surface water. In other words, all or nearly all of the AA is covered by water permanently or at least seasonally.  </v>
      </c>
      <c r="D113" s="279">
        <f>F!D116</f>
        <v>0</v>
      </c>
      <c r="E113" s="361">
        <v>5</v>
      </c>
      <c r="F113" s="361">
        <f t="shared" ref="F113:F118" si="6">D113*E113</f>
        <v>0</v>
      </c>
      <c r="G113" s="630"/>
      <c r="H113" s="2146"/>
      <c r="I113" s="2146"/>
      <c r="K113" s="192"/>
    </row>
    <row r="114" spans="1:11" s="2" customFormat="1" ht="15" customHeight="1">
      <c r="A114" s="2361"/>
      <c r="B114" s="2146"/>
      <c r="C114" s="625" t="str">
        <f>F!C117</f>
        <v>1-25% of the AA,  or &lt;1% but &gt;0.01 ha, never contains surface water.</v>
      </c>
      <c r="D114" s="279">
        <f>F!D117</f>
        <v>0</v>
      </c>
      <c r="E114" s="361">
        <v>6</v>
      </c>
      <c r="F114" s="361">
        <f t="shared" si="6"/>
        <v>0</v>
      </c>
      <c r="G114" s="630"/>
      <c r="H114" s="2146"/>
      <c r="I114" s="2146"/>
      <c r="K114" s="192"/>
    </row>
    <row r="115" spans="1:11" s="2" customFormat="1" ht="15" customHeight="1">
      <c r="A115" s="2361"/>
      <c r="B115" s="2146"/>
      <c r="C115" s="625" t="str">
        <f>F!C118</f>
        <v>25-50% of the AA never contains surface water.</v>
      </c>
      <c r="D115" s="279">
        <f>F!D118</f>
        <v>0</v>
      </c>
      <c r="E115" s="361">
        <v>4</v>
      </c>
      <c r="F115" s="361">
        <f t="shared" si="6"/>
        <v>0</v>
      </c>
      <c r="G115" s="630"/>
      <c r="H115" s="2146"/>
      <c r="I115" s="2146"/>
      <c r="K115" s="192"/>
    </row>
    <row r="116" spans="1:11" s="2" customFormat="1" ht="15" customHeight="1">
      <c r="A116" s="2361"/>
      <c r="B116" s="2146"/>
      <c r="C116" s="625" t="str">
        <f>F!C119</f>
        <v>50-75% of the AA never contains surface water.</v>
      </c>
      <c r="D116" s="279">
        <f>F!D119</f>
        <v>0</v>
      </c>
      <c r="E116" s="361">
        <v>3</v>
      </c>
      <c r="F116" s="361">
        <f t="shared" si="6"/>
        <v>0</v>
      </c>
      <c r="G116" s="630"/>
      <c r="H116" s="2146"/>
      <c r="I116" s="2146"/>
      <c r="K116" s="192"/>
    </row>
    <row r="117" spans="1:11" s="2" customFormat="1" ht="15" customHeight="1">
      <c r="A117" s="2361"/>
      <c r="B117" s="2146"/>
      <c r="C117" s="625" t="str">
        <f>F!C120</f>
        <v>75-99% of the AA never contains surface water.</v>
      </c>
      <c r="D117" s="279">
        <f>F!D120</f>
        <v>0</v>
      </c>
      <c r="E117" s="361">
        <v>2</v>
      </c>
      <c r="F117" s="361">
        <f t="shared" si="6"/>
        <v>0</v>
      </c>
      <c r="G117" s="630"/>
      <c r="H117" s="2146"/>
      <c r="I117" s="2146"/>
      <c r="K117" s="192"/>
    </row>
    <row r="118" spans="1:11" s="2" customFormat="1" ht="27" customHeight="1" thickBot="1">
      <c r="A118" s="2361"/>
      <c r="B118" s="2146"/>
      <c r="C118" s="625" t="str">
        <f>F!C121</f>
        <v>100%. True for many bogs, meadow marshes, swamps that lack vernal pools.  Enter "1" and SKIP to F42 (Channel Connection).</v>
      </c>
      <c r="D118" s="279">
        <f>F!D121</f>
        <v>0</v>
      </c>
      <c r="E118" s="364">
        <v>1</v>
      </c>
      <c r="F118" s="364">
        <f t="shared" si="6"/>
        <v>0</v>
      </c>
      <c r="G118" s="639"/>
      <c r="H118" s="2146"/>
      <c r="I118" s="2149"/>
      <c r="K118" s="192"/>
    </row>
    <row r="119" spans="1:11" ht="45" customHeight="1" thickBot="1">
      <c r="A119" s="2150" t="str">
        <f>F!A122</f>
        <v>F25</v>
      </c>
      <c r="B119" s="2148" t="str">
        <f>F!B122</f>
        <v>% of AA with Persistent Surface Water</v>
      </c>
      <c r="C119" s="436"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9" s="1172"/>
      <c r="E119" s="365"/>
      <c r="F119" s="366"/>
      <c r="G119" s="500">
        <f>IF((AllSat1=1),"", MAX(F121:F124)/MAX(E121:E124))</f>
        <v>0</v>
      </c>
      <c r="H119" s="2218" t="s">
        <v>2048</v>
      </c>
      <c r="I119" s="2411" t="s">
        <v>249</v>
      </c>
    </row>
    <row r="120" spans="1:11" ht="27" customHeight="1">
      <c r="A120" s="2151"/>
      <c r="B120" s="2146"/>
      <c r="C120" s="437" t="str">
        <f>F!C123</f>
        <v>none. The AA dries up completely (no water in channels either) or never has surface water during most years.</v>
      </c>
      <c r="D120" s="247">
        <f>F!D123</f>
        <v>0</v>
      </c>
      <c r="E120" s="360">
        <v>1</v>
      </c>
      <c r="F120" s="361">
        <f>D120*E120</f>
        <v>0</v>
      </c>
      <c r="G120" s="502"/>
      <c r="H120" s="2211"/>
      <c r="I120" s="2412"/>
    </row>
    <row r="121" spans="1:11" ht="15" customHeight="1">
      <c r="A121" s="2151"/>
      <c r="B121" s="2146"/>
      <c r="C121" s="437" t="str">
        <f>F!C124</f>
        <v>1-20% of the AA.</v>
      </c>
      <c r="D121" s="254">
        <f>F!D124</f>
        <v>0</v>
      </c>
      <c r="E121" s="361">
        <v>2</v>
      </c>
      <c r="F121" s="361">
        <f>D121*E121</f>
        <v>0</v>
      </c>
      <c r="G121" s="502"/>
      <c r="H121" s="2211"/>
      <c r="I121" s="2412"/>
    </row>
    <row r="122" spans="1:11" ht="15" customHeight="1">
      <c r="A122" s="2151"/>
      <c r="B122" s="2146"/>
      <c r="C122" s="437" t="str">
        <f>F!C125</f>
        <v>20-50% of the AA.</v>
      </c>
      <c r="D122" s="254">
        <f>F!D125</f>
        <v>0</v>
      </c>
      <c r="E122" s="361">
        <v>3</v>
      </c>
      <c r="F122" s="361">
        <f>D122*E122</f>
        <v>0</v>
      </c>
      <c r="G122" s="502"/>
      <c r="H122" s="2211"/>
      <c r="I122" s="2412"/>
    </row>
    <row r="123" spans="1:11" ht="15" customHeight="1">
      <c r="A123" s="2151"/>
      <c r="B123" s="2146"/>
      <c r="C123" s="437" t="str">
        <f>F!C126</f>
        <v>50-95% of the AA.</v>
      </c>
      <c r="D123" s="254">
        <f>F!D126</f>
        <v>0</v>
      </c>
      <c r="E123" s="361">
        <v>3</v>
      </c>
      <c r="F123" s="361">
        <f>D123*E123</f>
        <v>0</v>
      </c>
      <c r="G123" s="502"/>
      <c r="H123" s="2211"/>
      <c r="I123" s="2412"/>
    </row>
    <row r="124" spans="1:11" ht="15" customHeight="1" thickBot="1">
      <c r="A124" s="2152"/>
      <c r="B124" s="2149"/>
      <c r="C124" s="194" t="str">
        <f>F!C127</f>
        <v>&gt;95% of the AA. True for many fringe wetlands.</v>
      </c>
      <c r="D124" s="248">
        <f>F!D127</f>
        <v>0</v>
      </c>
      <c r="E124" s="362">
        <v>3</v>
      </c>
      <c r="F124" s="362">
        <f>D124*E124</f>
        <v>0</v>
      </c>
      <c r="G124" s="503"/>
      <c r="H124" s="2420"/>
      <c r="I124" s="2413"/>
    </row>
    <row r="125" spans="1:11" ht="30" customHeight="1" thickBot="1">
      <c r="A125" s="2592" t="str">
        <f>F!A140</f>
        <v>F28</v>
      </c>
      <c r="B125" s="2211" t="str">
        <f>F!B140</f>
        <v>Annual Water Fluctuation Range</v>
      </c>
      <c r="C125" s="5" t="str">
        <f>F!C140</f>
        <v>The annual fluctuation in surface water level within most of the parts of the AA that contain surface water is:</v>
      </c>
      <c r="D125" s="1766"/>
      <c r="E125" s="365"/>
      <c r="F125" s="383"/>
      <c r="G125" s="497">
        <f>IF((AllSat1&gt;0),"",IF((NoSeasonal=1),"",MAX(F126:F130)/MAX(E126:E130)))</f>
        <v>0</v>
      </c>
      <c r="H125" s="2211" t="s">
        <v>2049</v>
      </c>
      <c r="I125" s="2411" t="s">
        <v>248</v>
      </c>
    </row>
    <row r="126" spans="1:11" ht="15" customHeight="1">
      <c r="A126" s="2522"/>
      <c r="B126" s="2208"/>
      <c r="C126" s="1168" t="str">
        <f>F!C141</f>
        <v>&lt;10 cm change (stable or nearly so).</v>
      </c>
      <c r="D126" s="256">
        <f>F!D141</f>
        <v>0</v>
      </c>
      <c r="E126" s="361">
        <v>5</v>
      </c>
      <c r="F126" s="361">
        <f>D126*E126</f>
        <v>0</v>
      </c>
      <c r="G126" s="1378"/>
      <c r="H126" s="2211"/>
      <c r="I126" s="2412"/>
    </row>
    <row r="127" spans="1:11" ht="15" customHeight="1">
      <c r="A127" s="2522"/>
      <c r="B127" s="2208"/>
      <c r="C127" s="1073" t="str">
        <f>F!C142</f>
        <v>10 cm - 50 cm change.</v>
      </c>
      <c r="D127" s="247">
        <f>F!D142</f>
        <v>0</v>
      </c>
      <c r="E127" s="361">
        <v>4</v>
      </c>
      <c r="F127" s="361">
        <f>D127*E127</f>
        <v>0</v>
      </c>
      <c r="G127" s="1379"/>
      <c r="H127" s="2211"/>
      <c r="I127" s="2412"/>
    </row>
    <row r="128" spans="1:11" ht="15" customHeight="1">
      <c r="A128" s="2522"/>
      <c r="B128" s="2208"/>
      <c r="C128" s="1073" t="str">
        <f>F!C143</f>
        <v>0.5 - 1 m change.</v>
      </c>
      <c r="D128" s="247">
        <f>F!D143</f>
        <v>0</v>
      </c>
      <c r="E128" s="361">
        <v>3</v>
      </c>
      <c r="F128" s="361">
        <f>D128*E128</f>
        <v>0</v>
      </c>
      <c r="G128" s="1379"/>
      <c r="H128" s="2211"/>
      <c r="I128" s="2412"/>
    </row>
    <row r="129" spans="1:67" ht="15" customHeight="1">
      <c r="A129" s="2522"/>
      <c r="B129" s="2208"/>
      <c r="C129" s="1073" t="str">
        <f>F!C144</f>
        <v>1-2 m change.</v>
      </c>
      <c r="D129" s="247">
        <f>F!D144</f>
        <v>0</v>
      </c>
      <c r="E129" s="364">
        <v>1</v>
      </c>
      <c r="F129" s="364">
        <f>D129*E129</f>
        <v>0</v>
      </c>
      <c r="G129" s="1395"/>
      <c r="H129" s="2211"/>
      <c r="I129" s="2412"/>
    </row>
    <row r="130" spans="1:67" ht="15" customHeight="1" thickBot="1">
      <c r="A130" s="2522"/>
      <c r="B130" s="2208"/>
      <c r="C130" s="1073" t="str">
        <f>F!C145</f>
        <v>&gt;2 m change.</v>
      </c>
      <c r="D130" s="247">
        <f>F!D145</f>
        <v>0</v>
      </c>
      <c r="E130" s="362">
        <v>0</v>
      </c>
      <c r="F130" s="362">
        <f>D130*E130</f>
        <v>0</v>
      </c>
      <c r="G130" s="1380"/>
      <c r="H130" s="2211"/>
      <c r="I130" s="2413"/>
    </row>
    <row r="131" spans="1:67" s="2" customFormat="1" ht="30" customHeight="1" thickBot="1">
      <c r="A131" s="2662" t="str">
        <f>F!A157</f>
        <v>F31</v>
      </c>
      <c r="B131" s="2661" t="str">
        <f>F!B157</f>
        <v>% of Water That Is Ponded (not Flowing)</v>
      </c>
      <c r="C131" s="436" t="str">
        <f>F!C157</f>
        <v>During most times when surface water is present, the percentage that is ponded (stagnant, or flows so slowly that fine sediment is not held in suspension) is:</v>
      </c>
      <c r="D131" s="365"/>
      <c r="E131" s="365"/>
      <c r="F131" s="366"/>
      <c r="G131" s="537">
        <f>IF((AllSat1&gt;0),"", MAX(F132:F136)/MAX(E132:E136))</f>
        <v>0</v>
      </c>
      <c r="H131" s="2218" t="s">
        <v>2047</v>
      </c>
      <c r="I131" s="2148" t="s">
        <v>252</v>
      </c>
      <c r="K131" s="192"/>
    </row>
    <row r="132" spans="1:67" s="2" customFormat="1" ht="27" customHeight="1">
      <c r="A132" s="2201"/>
      <c r="B132" s="2211"/>
      <c r="C132" s="30" t="str">
        <f>F!C158</f>
        <v>&lt;5% of the water, or it occupies &lt;100 sq.m cumulatively. Nearly all the surface water is flowing. SKIP to F34.</v>
      </c>
      <c r="D132" s="282">
        <f>F!D158</f>
        <v>0</v>
      </c>
      <c r="E132" s="361">
        <v>0</v>
      </c>
      <c r="F132" s="361">
        <f>D132*E132</f>
        <v>0</v>
      </c>
      <c r="G132" s="630"/>
      <c r="H132" s="2211"/>
      <c r="I132" s="2146"/>
      <c r="K132" s="192"/>
    </row>
    <row r="133" spans="1:67" s="2" customFormat="1" ht="15" customHeight="1">
      <c r="A133" s="2201"/>
      <c r="B133" s="2211"/>
      <c r="C133" s="6" t="str">
        <f>F!C159</f>
        <v>5-30% of the water.</v>
      </c>
      <c r="D133" s="283">
        <f>F!D159</f>
        <v>0</v>
      </c>
      <c r="E133" s="361">
        <v>3</v>
      </c>
      <c r="F133" s="361">
        <f>D133*E133</f>
        <v>0</v>
      </c>
      <c r="G133" s="630"/>
      <c r="H133" s="2211"/>
      <c r="I133" s="2146"/>
      <c r="K133" s="192"/>
    </row>
    <row r="134" spans="1:67" s="2" customFormat="1" ht="15" customHeight="1">
      <c r="A134" s="2201"/>
      <c r="B134" s="2211"/>
      <c r="C134" s="6" t="str">
        <f>F!C160</f>
        <v>30-70% of the water.</v>
      </c>
      <c r="D134" s="283">
        <f>F!D160</f>
        <v>0</v>
      </c>
      <c r="E134" s="361">
        <v>4</v>
      </c>
      <c r="F134" s="361">
        <f>D134*E134</f>
        <v>0</v>
      </c>
      <c r="G134" s="639"/>
      <c r="H134" s="2211"/>
      <c r="I134" s="2146"/>
      <c r="K134" s="192"/>
    </row>
    <row r="135" spans="1:67" s="2" customFormat="1" ht="15" customHeight="1">
      <c r="A135" s="2201"/>
      <c r="B135" s="2211"/>
      <c r="C135" s="6" t="str">
        <f>F!C161</f>
        <v>70-95% of the water.</v>
      </c>
      <c r="D135" s="283">
        <f>F!D161</f>
        <v>0</v>
      </c>
      <c r="E135" s="361">
        <v>5</v>
      </c>
      <c r="F135" s="361">
        <f>D135*E135</f>
        <v>0</v>
      </c>
      <c r="G135" s="639"/>
      <c r="H135" s="2211"/>
      <c r="I135" s="2146"/>
      <c r="K135" s="192"/>
    </row>
    <row r="136" spans="1:67" s="2" customFormat="1" ht="15" customHeight="1" thickBot="1">
      <c r="A136" s="2317"/>
      <c r="B136" s="2420"/>
      <c r="C136" s="194" t="str">
        <f>F!C162</f>
        <v>&gt;95% of the water.</v>
      </c>
      <c r="D136" s="284">
        <f>F!D162</f>
        <v>0</v>
      </c>
      <c r="E136" s="362">
        <v>5</v>
      </c>
      <c r="F136" s="362">
        <f>D136*E136</f>
        <v>0</v>
      </c>
      <c r="G136" s="631"/>
      <c r="H136" s="2420"/>
      <c r="I136" s="2149"/>
      <c r="K136" s="192"/>
    </row>
    <row r="137" spans="1:67" ht="30" customHeight="1" thickBot="1">
      <c r="A137" s="2389" t="str">
        <f>F!A164</f>
        <v>F33</v>
      </c>
      <c r="B137" s="2148" t="str">
        <f>F!B164</f>
        <v xml:space="preserve">% of Ponded Water that is Open </v>
      </c>
      <c r="C137" s="1240" t="str">
        <f>F!C164</f>
        <v>In ducks-eye aerial view, the percentage of the ponded water that is open (lacking emergent vegetation during most of the growing season, and unhidden by a forest or shrub canopy) is:</v>
      </c>
      <c r="D137" s="393"/>
      <c r="E137" s="360"/>
      <c r="F137" s="382"/>
      <c r="G137" s="506">
        <f>IF((AllSat1&gt;0),"",IF((TooSmall=1),"",IF((NoPonded=1),"",MAX(F138:F143)/MAX(E138:E143))))</f>
        <v>0</v>
      </c>
      <c r="H137" s="2218" t="s">
        <v>2050</v>
      </c>
      <c r="I137" s="2411" t="s">
        <v>251</v>
      </c>
    </row>
    <row r="138" spans="1:67" ht="27" customHeight="1">
      <c r="A138" s="2390"/>
      <c r="B138" s="2146"/>
      <c r="C138" s="437" t="str">
        <f>F!C165</f>
        <v>None, or &lt;1% of the AA and largest pool occupies &lt;0.01 hectares. Enter "1" and SKIP to F41 (Floating Algae &amp; Duckweed).</v>
      </c>
      <c r="D138" s="247">
        <f>F!D165</f>
        <v>0</v>
      </c>
      <c r="E138" s="637">
        <v>1</v>
      </c>
      <c r="F138" s="361">
        <f t="shared" ref="F138:F143" si="7">D138*E138</f>
        <v>0</v>
      </c>
      <c r="G138" s="501"/>
      <c r="H138" s="2211"/>
      <c r="I138" s="2412"/>
    </row>
    <row r="139" spans="1:67" ht="15" customHeight="1">
      <c r="A139" s="2390"/>
      <c r="B139" s="2146"/>
      <c r="C139" s="1214" t="str">
        <f>F!C166</f>
        <v>1-4% of the ponded water. Enter "1" and SKIP to F40 (Floating Algae &amp; Duckweed).</v>
      </c>
      <c r="D139" s="247">
        <f>F!D166</f>
        <v>0</v>
      </c>
      <c r="E139" s="637">
        <v>2</v>
      </c>
      <c r="F139" s="361">
        <f t="shared" si="7"/>
        <v>0</v>
      </c>
      <c r="G139" s="502"/>
      <c r="H139" s="2211"/>
      <c r="I139" s="2412"/>
    </row>
    <row r="140" spans="1:67" ht="15" customHeight="1">
      <c r="A140" s="2390"/>
      <c r="B140" s="2146"/>
      <c r="C140" s="1214" t="str">
        <f>F!C167</f>
        <v>5-30% of the ponded water.</v>
      </c>
      <c r="D140" s="247">
        <f>F!D167</f>
        <v>0</v>
      </c>
      <c r="E140" s="637">
        <v>3</v>
      </c>
      <c r="F140" s="361">
        <f t="shared" si="7"/>
        <v>0</v>
      </c>
      <c r="G140" s="502"/>
      <c r="H140" s="2211"/>
      <c r="I140" s="2412"/>
    </row>
    <row r="141" spans="1:67" ht="15" customHeight="1">
      <c r="A141" s="2390"/>
      <c r="B141" s="2146"/>
      <c r="C141" s="1214" t="str">
        <f>F!C168</f>
        <v>30-70% of the ponded water.</v>
      </c>
      <c r="D141" s="247">
        <f>F!D168</f>
        <v>0</v>
      </c>
      <c r="E141" s="637">
        <v>3</v>
      </c>
      <c r="F141" s="361">
        <f t="shared" si="7"/>
        <v>0</v>
      </c>
      <c r="G141" s="502"/>
      <c r="H141" s="2211"/>
      <c r="I141" s="2412"/>
    </row>
    <row r="142" spans="1:67" ht="15" customHeight="1">
      <c r="A142" s="2390"/>
      <c r="B142" s="2146"/>
      <c r="C142" s="1214" t="str">
        <f>F!C169</f>
        <v>70-99% of the ponded water.</v>
      </c>
      <c r="D142" s="247">
        <f>F!D169</f>
        <v>0</v>
      </c>
      <c r="E142" s="637">
        <v>1</v>
      </c>
      <c r="F142" s="361">
        <f t="shared" si="7"/>
        <v>0</v>
      </c>
      <c r="G142" s="511"/>
      <c r="H142" s="2211"/>
      <c r="I142" s="2412"/>
    </row>
    <row r="143" spans="1:67" ht="15" customHeight="1" thickBot="1">
      <c r="A143" s="2391"/>
      <c r="B143" s="2149"/>
      <c r="C143" s="1170" t="str">
        <f>F!C170</f>
        <v xml:space="preserve">100% of the ponded water. </v>
      </c>
      <c r="D143" s="290">
        <f>F!D170</f>
        <v>0</v>
      </c>
      <c r="E143" s="638">
        <v>0</v>
      </c>
      <c r="F143" s="364">
        <f t="shared" si="7"/>
        <v>0</v>
      </c>
      <c r="G143" s="511"/>
      <c r="H143" s="2420"/>
      <c r="I143" s="2413"/>
    </row>
    <row r="144" spans="1:67" s="13" customFormat="1" ht="30" customHeight="1" thickBot="1">
      <c r="A144" s="2662" t="str">
        <f>F!A171</f>
        <v>F34</v>
      </c>
      <c r="B144" s="2593" t="str">
        <f>F!B171</f>
        <v>Width of Vegetated Zone within Wetland</v>
      </c>
      <c r="C144" s="532" t="str">
        <f>F!C171</f>
        <v>At the time during the growing season when the AA's water level is lowest, the average width of vegetated area in the AA that separates adjoining uplands from open water within the AA is:</v>
      </c>
      <c r="D144" s="1172"/>
      <c r="E144" s="699"/>
      <c r="F144" s="755"/>
      <c r="G144" s="500">
        <f>IF((AllSat1&gt;0),"",IF((TooSmall=1),"",IF((NoOpenPonded=1),"",MAX(F145:F150)/MAX(E145:E150))))</f>
        <v>0</v>
      </c>
      <c r="H144" s="2148" t="s">
        <v>1400</v>
      </c>
      <c r="I144" s="2411" t="s">
        <v>254</v>
      </c>
      <c r="J144" s="14"/>
      <c r="K144" s="142"/>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row>
    <row r="145" spans="1:67" s="13" customFormat="1" ht="15" customHeight="1">
      <c r="A145" s="2663"/>
      <c r="B145" s="2432"/>
      <c r="C145" s="672" t="str">
        <f>F!C172</f>
        <v>&lt;1 m</v>
      </c>
      <c r="D145" s="259">
        <f>F!D172</f>
        <v>0</v>
      </c>
      <c r="E145" s="391">
        <v>0</v>
      </c>
      <c r="F145" s="361">
        <f t="shared" ref="F145:F150" si="8">D145*E145</f>
        <v>0</v>
      </c>
      <c r="G145" s="501"/>
      <c r="H145" s="2665"/>
      <c r="I145" s="2412"/>
      <c r="J145" s="14"/>
      <c r="K145" s="142"/>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row>
    <row r="146" spans="1:67" s="13" customFormat="1" ht="15" customHeight="1">
      <c r="A146" s="2663"/>
      <c r="B146" s="2432"/>
      <c r="C146" s="535" t="str">
        <f>F!C173</f>
        <v>1 - 9 m</v>
      </c>
      <c r="D146" s="260">
        <f>F!D173</f>
        <v>0</v>
      </c>
      <c r="E146" s="391">
        <v>1</v>
      </c>
      <c r="F146" s="361">
        <f t="shared" si="8"/>
        <v>0</v>
      </c>
      <c r="G146" s="502"/>
      <c r="H146" s="2665"/>
      <c r="I146" s="2412"/>
      <c r="J146" s="14"/>
      <c r="K146" s="142"/>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row>
    <row r="147" spans="1:67" s="13" customFormat="1" ht="15" customHeight="1">
      <c r="A147" s="2663"/>
      <c r="B147" s="2432"/>
      <c r="C147" s="535" t="str">
        <f>F!C174</f>
        <v>10 - 29 m</v>
      </c>
      <c r="D147" s="260">
        <f>F!D174</f>
        <v>0</v>
      </c>
      <c r="E147" s="391">
        <v>2</v>
      </c>
      <c r="F147" s="361">
        <f t="shared" si="8"/>
        <v>0</v>
      </c>
      <c r="G147" s="502"/>
      <c r="H147" s="2665"/>
      <c r="I147" s="2412"/>
      <c r="J147" s="14"/>
      <c r="K147" s="142"/>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row>
    <row r="148" spans="1:67" s="13" customFormat="1" ht="15" customHeight="1">
      <c r="A148" s="2663"/>
      <c r="B148" s="2432"/>
      <c r="C148" s="535" t="str">
        <f>F!C175</f>
        <v>30 - 49 m</v>
      </c>
      <c r="D148" s="260">
        <f>F!D175</f>
        <v>0</v>
      </c>
      <c r="E148" s="391">
        <v>3</v>
      </c>
      <c r="F148" s="361">
        <f t="shared" si="8"/>
        <v>0</v>
      </c>
      <c r="G148" s="502"/>
      <c r="H148" s="2665"/>
      <c r="I148" s="2412"/>
      <c r="J148" s="14"/>
      <c r="K148" s="142"/>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row>
    <row r="149" spans="1:67" s="13" customFormat="1" ht="15" customHeight="1">
      <c r="A149" s="2663"/>
      <c r="B149" s="2432"/>
      <c r="C149" s="535" t="str">
        <f>F!C176</f>
        <v>50 - 100 m</v>
      </c>
      <c r="D149" s="260">
        <f>F!D176</f>
        <v>0</v>
      </c>
      <c r="E149" s="391">
        <v>4</v>
      </c>
      <c r="F149" s="361">
        <f t="shared" si="8"/>
        <v>0</v>
      </c>
      <c r="G149" s="511"/>
      <c r="H149" s="2665"/>
      <c r="I149" s="2412"/>
      <c r="J149" s="14"/>
      <c r="K149" s="142"/>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row>
    <row r="150" spans="1:67" s="13" customFormat="1" ht="15" customHeight="1" thickBot="1">
      <c r="A150" s="2664"/>
      <c r="B150" s="2594"/>
      <c r="C150" s="1081" t="str">
        <f>F!C177</f>
        <v>&gt; 100 m</v>
      </c>
      <c r="D150" s="260">
        <f>F!D177</f>
        <v>0</v>
      </c>
      <c r="E150" s="754">
        <v>5</v>
      </c>
      <c r="F150" s="362">
        <f t="shared" si="8"/>
        <v>0</v>
      </c>
      <c r="G150" s="503"/>
      <c r="H150" s="2666"/>
      <c r="I150" s="2413"/>
      <c r="J150" s="14"/>
      <c r="K150" s="142"/>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row>
    <row r="151" spans="1:67" s="13" customFormat="1" ht="30" customHeight="1" thickBot="1">
      <c r="A151" s="2155" t="str">
        <f>F!A189</f>
        <v>F37</v>
      </c>
      <c r="B151" s="2593" t="str">
        <f>F!B189</f>
        <v>Interspersion of Robust Emergents &amp; Open Water</v>
      </c>
      <c r="C151" s="436" t="str">
        <f>F!C189</f>
        <v>During most of the part of the growing season when water is present, the spatial pattern of robust herbaceous vegetation (e.g., cattail, tall bulrush, buckbean) is mostly:</v>
      </c>
      <c r="D151" s="1766"/>
      <c r="E151" s="699"/>
      <c r="F151" s="755"/>
      <c r="G151" s="500">
        <f>IF((AllSat1&gt;0),"",IF((TooSmall=1),"",IF((NoPonded=1),"",IF((NoOpenPonded+NoOpenPonded1&gt;0),"",IF((AllOpenPond=1),"",MAX(F152:F154)/MAX(E152:E154))))))</f>
        <v>0</v>
      </c>
      <c r="H151" s="2148" t="s">
        <v>2908</v>
      </c>
      <c r="I151" s="2411" t="s">
        <v>253</v>
      </c>
      <c r="J151" s="14"/>
      <c r="K151" s="142"/>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row>
    <row r="152" spans="1:67" s="13" customFormat="1" ht="15" customHeight="1">
      <c r="A152" s="2151"/>
      <c r="B152" s="2146"/>
      <c r="C152" s="30" t="str">
        <f>F!C190</f>
        <v>Scattered. More than 30% of such vegetation forms small islands or corridors surrounded by water.</v>
      </c>
      <c r="D152" s="256">
        <f>F!D190</f>
        <v>0</v>
      </c>
      <c r="E152" s="391">
        <v>3</v>
      </c>
      <c r="F152" s="364">
        <f>D152*E152</f>
        <v>0</v>
      </c>
      <c r="G152" s="501"/>
      <c r="H152" s="2146"/>
      <c r="I152" s="2412"/>
      <c r="J152" s="14"/>
      <c r="K152" s="142"/>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row>
    <row r="153" spans="1:67" s="13" customFormat="1" ht="15" customHeight="1">
      <c r="A153" s="2151"/>
      <c r="B153" s="2146"/>
      <c r="C153" s="6" t="str">
        <f>F!C191</f>
        <v>Intermediate.</v>
      </c>
      <c r="D153" s="247">
        <f>F!D191</f>
        <v>0</v>
      </c>
      <c r="E153" s="391">
        <v>2</v>
      </c>
      <c r="F153" s="364">
        <f>D153*E153</f>
        <v>0</v>
      </c>
      <c r="G153" s="501"/>
      <c r="H153" s="2146"/>
      <c r="I153" s="2412"/>
      <c r="J153" s="14"/>
      <c r="K153" s="142"/>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row>
    <row r="154" spans="1:67" s="13" customFormat="1" ht="30" customHeight="1" thickBot="1">
      <c r="A154" s="2152"/>
      <c r="B154" s="2149"/>
      <c r="C154" s="194" t="str">
        <f>F!C192</f>
        <v>Clumped. More than 70% of such vegetation is in bands along the wetland perimeter or is clumped at one or a few sides of the surface water area.</v>
      </c>
      <c r="D154" s="248">
        <f>F!D192</f>
        <v>0</v>
      </c>
      <c r="E154" s="754">
        <v>1</v>
      </c>
      <c r="F154" s="362">
        <f>D154*E154</f>
        <v>0</v>
      </c>
      <c r="G154" s="756"/>
      <c r="H154" s="2149"/>
      <c r="I154" s="2413"/>
      <c r="J154" s="14"/>
      <c r="K154" s="142"/>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row>
    <row r="155" spans="1:67" ht="45" customHeight="1" thickBot="1">
      <c r="A155" s="2592" t="str">
        <f>F!A194</f>
        <v>F39</v>
      </c>
      <c r="B155" s="2211" t="str">
        <f>F!B194</f>
        <v>Non-vegetated Aquatic Cover</v>
      </c>
      <c r="C155" s="658" t="str">
        <f>F!C194</f>
        <v>During most of the growing season and in waters deeper than 0.5 m, the cover for fish, aquatic invertebrates, and/or amphibians that is provided NOT by living vegetation, but by accumulations of dead wood and undercut banks is:</v>
      </c>
      <c r="D155" s="1172"/>
      <c r="E155" s="360"/>
      <c r="F155" s="382"/>
      <c r="G155" s="506" t="str">
        <f>IF((AllSat1&gt;0),"",IF((TooSmall=1),"",IF((OpenW=0),"",MAX(F156:F158)/MAX(E156:E158))))</f>
        <v/>
      </c>
      <c r="H155" s="2211" t="s">
        <v>1401</v>
      </c>
      <c r="I155" s="2411" t="s">
        <v>250</v>
      </c>
    </row>
    <row r="156" spans="1:67" ht="15" customHeight="1">
      <c r="A156" s="2522"/>
      <c r="B156" s="2208"/>
      <c r="C156" s="30" t="str">
        <f>F!C195</f>
        <v>Little or none.</v>
      </c>
      <c r="D156" s="247">
        <f>F!D195</f>
        <v>0</v>
      </c>
      <c r="E156" s="361">
        <v>0</v>
      </c>
      <c r="F156" s="361">
        <f>D156*E156</f>
        <v>0</v>
      </c>
      <c r="G156" s="501"/>
      <c r="H156" s="2211"/>
      <c r="I156" s="2412"/>
    </row>
    <row r="157" spans="1:67" ht="15" customHeight="1">
      <c r="A157" s="2522"/>
      <c r="B157" s="2208"/>
      <c r="C157" s="6" t="str">
        <f>F!C196</f>
        <v>Intermediate.</v>
      </c>
      <c r="D157" s="247">
        <f>F!D196</f>
        <v>0</v>
      </c>
      <c r="E157" s="361">
        <v>1</v>
      </c>
      <c r="F157" s="361">
        <f>D157*E157</f>
        <v>0</v>
      </c>
      <c r="G157" s="697"/>
      <c r="H157" s="2211"/>
      <c r="I157" s="2412"/>
    </row>
    <row r="158" spans="1:67" ht="15" customHeight="1" thickBot="1">
      <c r="A158" s="2522"/>
      <c r="B158" s="2208"/>
      <c r="C158" s="437" t="str">
        <f>F!C197</f>
        <v>Extensive.</v>
      </c>
      <c r="D158" s="254">
        <f>F!D197</f>
        <v>0</v>
      </c>
      <c r="E158" s="364">
        <v>2</v>
      </c>
      <c r="F158" s="364">
        <f>D158*E158</f>
        <v>0</v>
      </c>
      <c r="G158" s="511"/>
      <c r="H158" s="2211"/>
      <c r="I158" s="2413"/>
    </row>
    <row r="159" spans="1:67" s="13" customFormat="1" ht="27" customHeight="1" thickBot="1">
      <c r="A159" s="2148" t="str">
        <f>F!A218</f>
        <v>F47</v>
      </c>
      <c r="B159" s="2148" t="str">
        <f>F!B218</f>
        <v>pH Measurement</v>
      </c>
      <c r="C159" s="1745" t="str">
        <f>F!C218</f>
        <v>The pH in most of the AA's surface water:</v>
      </c>
      <c r="D159" s="376"/>
      <c r="E159" s="365"/>
      <c r="F159" s="365"/>
      <c r="G159" s="1208" t="str">
        <f>IF((D160=1),"", IF((D162=""),"",IF((D162&lt;4),0, IF((D162&gt;4&lt;5),0.5, IF((D161=1),0.5,1)))))</f>
        <v/>
      </c>
      <c r="H159" s="2148" t="s">
        <v>2348</v>
      </c>
      <c r="I159" s="2411" t="s">
        <v>2086</v>
      </c>
      <c r="J159" s="14"/>
      <c r="K159" s="142"/>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row>
    <row r="160" spans="1:67" s="13" customFormat="1" ht="21" customHeight="1">
      <c r="A160" s="2146"/>
      <c r="B160" s="2146"/>
      <c r="C160" s="1076" t="str">
        <f>F!C219</f>
        <v>was not measured because no surface water could be found during this visit. Enter "1".</v>
      </c>
      <c r="D160" s="247">
        <f>F!D219</f>
        <v>0</v>
      </c>
      <c r="E160" s="361"/>
      <c r="F160" s="361"/>
      <c r="G160" s="1173"/>
      <c r="H160" s="2492"/>
      <c r="I160" s="2412"/>
      <c r="J160" s="14"/>
      <c r="K160" s="142"/>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row>
    <row r="161" spans="1:68" s="13" customFormat="1" ht="33" customHeight="1">
      <c r="A161" s="2146"/>
      <c r="B161" s="2146"/>
      <c r="C161" s="491" t="str">
        <f>F!C220</f>
        <v xml:space="preserve">was not measured but surface water is present and is darkly tea-coloured.  Or if no surface water, then mosses and plants that indicate peatland (e.g., Labrador tea) are prevalent. Enter "1". </v>
      </c>
      <c r="D161" s="247">
        <f>F!D220</f>
        <v>0</v>
      </c>
      <c r="E161" s="361"/>
      <c r="F161" s="361"/>
      <c r="G161" s="1173"/>
      <c r="H161" s="2492"/>
      <c r="I161" s="2412"/>
      <c r="J161" s="14"/>
      <c r="K161" s="142"/>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row>
    <row r="162" spans="1:68" s="13" customFormat="1" ht="21" customHeight="1" thickBot="1">
      <c r="A162" s="2149"/>
      <c r="B162" s="2149"/>
      <c r="C162" s="492" t="str">
        <f>F!C221</f>
        <v>was measured, and is:  [enter the reading in the column to the right]:</v>
      </c>
      <c r="D162" s="284" t="str">
        <f>IF((F!D221=""),"",F!D221)</f>
        <v/>
      </c>
      <c r="E162" s="362"/>
      <c r="F162" s="362"/>
      <c r="G162" s="1207"/>
      <c r="H162" s="2149"/>
      <c r="I162" s="2413"/>
      <c r="J162" s="14"/>
      <c r="K162" s="142"/>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row>
    <row r="163" spans="1:68" s="18" customFormat="1" ht="21" customHeight="1" thickBot="1">
      <c r="A163" s="2150" t="str">
        <f>F!A231</f>
        <v>F50</v>
      </c>
      <c r="B163" s="2148" t="str">
        <f>F!B231</f>
        <v>Groundwater Strength of Evidence</v>
      </c>
      <c r="C163" s="436" t="str">
        <f>F!C231</f>
        <v xml:space="preserve">Select first applicable choice. </v>
      </c>
      <c r="D163" s="1172"/>
      <c r="E163" s="499"/>
      <c r="F163" s="366"/>
      <c r="G163" s="500">
        <f>IF((D166=1),"",MAX(F163:F166)/MAX(E164:E166))</f>
        <v>0</v>
      </c>
      <c r="H163" s="2218" t="s">
        <v>2909</v>
      </c>
      <c r="I163" s="2411" t="s">
        <v>260</v>
      </c>
      <c r="J163" s="17"/>
      <c r="K163" s="168"/>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22"/>
    </row>
    <row r="164" spans="1:68" s="18" customFormat="1" ht="42" customHeight="1">
      <c r="A164" s="2151"/>
      <c r="B164" s="2146"/>
      <c r="C164" s="656" t="str">
        <f>F!C232</f>
        <v>Groundwater monitoring has demonstrated that groundwater primarily discharges to the wetland for longer periods during the year than periods when the wetland recharges the groundwater. Or, springs are known to be present within the AA.</v>
      </c>
      <c r="D164" s="247">
        <f>F!D232</f>
        <v>0</v>
      </c>
      <c r="E164" s="385">
        <v>3</v>
      </c>
      <c r="F164" s="361">
        <f>D164*E164</f>
        <v>0</v>
      </c>
      <c r="G164" s="501"/>
      <c r="H164" s="2211"/>
      <c r="I164" s="2412"/>
      <c r="J164" s="17"/>
      <c r="K164" s="168"/>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22"/>
    </row>
    <row r="165" spans="1:68" s="18" customFormat="1" ht="42" customHeight="1">
      <c r="A165" s="2151"/>
      <c r="B165" s="2146"/>
      <c r="C165" s="437" t="str">
        <f>F!C233</f>
        <v>The upper end of the AA is located very close to the base of (but mostly not ON) a natural slope much steeper (usually &gt;15%) than that within the AA and longer than 100 m AND if surface water was measured, its pH (Q47) is &gt;5.5.</v>
      </c>
      <c r="D165" s="254">
        <f>F!D233</f>
        <v>0</v>
      </c>
      <c r="E165" s="385">
        <v>2</v>
      </c>
      <c r="F165" s="361">
        <f>D165*E165</f>
        <v>0</v>
      </c>
      <c r="G165" s="502"/>
      <c r="H165" s="2211"/>
      <c r="I165" s="2412"/>
      <c r="J165" s="17"/>
      <c r="K165" s="168"/>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22"/>
    </row>
    <row r="166" spans="1:68" s="18" customFormat="1" ht="27" customHeight="1" thickBot="1">
      <c r="A166" s="2152"/>
      <c r="B166" s="2149"/>
      <c r="C166" s="194" t="str">
        <f>F!C234</f>
        <v>Neither of above is true, although some groundwater may discharge to or flow through the AA. Or groundwater influx is unknown.</v>
      </c>
      <c r="D166" s="248">
        <f>F!D234</f>
        <v>0</v>
      </c>
      <c r="E166" s="389">
        <v>0</v>
      </c>
      <c r="F166" s="362">
        <f>D166*E166</f>
        <v>0</v>
      </c>
      <c r="G166" s="503"/>
      <c r="H166" s="2420"/>
      <c r="I166" s="2413"/>
      <c r="J166" s="17"/>
      <c r="K166" s="16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22"/>
    </row>
    <row r="167" spans="1:68" ht="30" customHeight="1" thickBot="1">
      <c r="A167" s="2211" t="str">
        <f>F!A240</f>
        <v>F52</v>
      </c>
      <c r="B167" s="2218" t="str">
        <f>F!B240</f>
        <v>Vegetated Buffer as % of Perimeter</v>
      </c>
      <c r="C167" s="5" t="str">
        <f>F!C240</f>
        <v>Along the wetland-upland edge and extending 30 m laterally upslope, the percentage of the upland that contains vegetation cover (except lawns, row crops, heavily grazed land, conifer plantations) is:</v>
      </c>
      <c r="D167" s="698"/>
      <c r="E167" s="360"/>
      <c r="F167" s="382"/>
      <c r="G167" s="506">
        <f>MAX(F168:F172)/MAX(E168:E172)</f>
        <v>0</v>
      </c>
      <c r="H167" s="2211" t="s">
        <v>2051</v>
      </c>
      <c r="I167" s="2411" t="s">
        <v>263</v>
      </c>
    </row>
    <row r="168" spans="1:68" ht="15" customHeight="1">
      <c r="A168" s="2211"/>
      <c r="B168" s="2211"/>
      <c r="C168" s="625" t="str">
        <f>F!C241</f>
        <v xml:space="preserve">&lt;5% </v>
      </c>
      <c r="D168" s="247">
        <f>F!D241</f>
        <v>0</v>
      </c>
      <c r="E168" s="1397">
        <v>0</v>
      </c>
      <c r="F168" s="361">
        <f>D168*E168</f>
        <v>0</v>
      </c>
      <c r="G168" s="501"/>
      <c r="H168" s="2211"/>
      <c r="I168" s="2412"/>
    </row>
    <row r="169" spans="1:68" ht="15" customHeight="1">
      <c r="A169" s="2211"/>
      <c r="B169" s="2211"/>
      <c r="C169" s="1723" t="str">
        <f>F!C242</f>
        <v>5 to 30%</v>
      </c>
      <c r="D169" s="247">
        <f>F!D242</f>
        <v>0</v>
      </c>
      <c r="E169" s="1397">
        <v>2</v>
      </c>
      <c r="F169" s="361">
        <f>D169*E169</f>
        <v>0</v>
      </c>
      <c r="G169" s="502"/>
      <c r="H169" s="2211"/>
      <c r="I169" s="2412"/>
    </row>
    <row r="170" spans="1:68" ht="15" customHeight="1">
      <c r="A170" s="2211"/>
      <c r="B170" s="2211"/>
      <c r="C170" s="1723" t="str">
        <f>F!C243</f>
        <v>30 to 60%</v>
      </c>
      <c r="D170" s="247">
        <f>F!D243</f>
        <v>0</v>
      </c>
      <c r="E170" s="1397">
        <v>3</v>
      </c>
      <c r="F170" s="361">
        <f>D170*E170</f>
        <v>0</v>
      </c>
      <c r="G170" s="502"/>
      <c r="H170" s="2211"/>
      <c r="I170" s="2412"/>
    </row>
    <row r="171" spans="1:68" ht="15" customHeight="1">
      <c r="A171" s="2211"/>
      <c r="B171" s="2211"/>
      <c r="C171" s="1723" t="str">
        <f>F!C244</f>
        <v>60 to 90%</v>
      </c>
      <c r="D171" s="247">
        <f>F!D244</f>
        <v>0</v>
      </c>
      <c r="E171" s="1397">
        <v>4</v>
      </c>
      <c r="F171" s="361">
        <f>D171*E171</f>
        <v>0</v>
      </c>
      <c r="G171" s="502"/>
      <c r="H171" s="2211"/>
      <c r="I171" s="2412"/>
    </row>
    <row r="172" spans="1:68" ht="15" customHeight="1" thickBot="1">
      <c r="A172" s="2211"/>
      <c r="B172" s="2211"/>
      <c r="C172" s="553" t="str">
        <f>F!C245</f>
        <v>&gt;90%, or all the area within 30 m of the AA edge is other wetlands. SKIP to F55.</v>
      </c>
      <c r="D172" s="254">
        <f>F!D245</f>
        <v>0</v>
      </c>
      <c r="E172" s="1398">
        <v>5</v>
      </c>
      <c r="F172" s="364">
        <f>D172*E172</f>
        <v>0</v>
      </c>
      <c r="G172" s="511"/>
      <c r="H172" s="2211"/>
      <c r="I172" s="2412"/>
    </row>
    <row r="173" spans="1:68" ht="30" customHeight="1" thickBot="1">
      <c r="A173" s="2218" t="str">
        <f>F!A246</f>
        <v>F53</v>
      </c>
      <c r="B173" s="2218" t="str">
        <f>F!B246</f>
        <v>Type of Cover in Buffer</v>
      </c>
      <c r="C173" s="436" t="str">
        <f>F!C246</f>
        <v>Within 30 m upslope of where the wetland transitions to upland, the upland land cover that is NOT natural is mostly (mark ONE):</v>
      </c>
      <c r="D173" s="1172"/>
      <c r="E173" s="365"/>
      <c r="F173" s="383"/>
      <c r="G173" s="500">
        <f>IF((BuffAllNat=1),"", MAX(F174:F175)/MAX(E174:E175))</f>
        <v>0</v>
      </c>
      <c r="H173" s="2218" t="s">
        <v>2884</v>
      </c>
      <c r="I173" s="2411" t="s">
        <v>264</v>
      </c>
    </row>
    <row r="174" spans="1:68" ht="15" customHeight="1">
      <c r="A174" s="2211"/>
      <c r="B174" s="2211"/>
      <c r="C174" s="553" t="str">
        <f>F!C247</f>
        <v>impervious surface, e.g., paved road, parking lot, building, exposed rock.</v>
      </c>
      <c r="D174" s="247">
        <f>F!D247</f>
        <v>0</v>
      </c>
      <c r="E174" s="637">
        <v>0</v>
      </c>
      <c r="F174" s="361">
        <f>D174*E174</f>
        <v>0</v>
      </c>
      <c r="G174" s="501"/>
      <c r="H174" s="2211"/>
      <c r="I174" s="2412"/>
    </row>
    <row r="175" spans="1:68" ht="27" customHeight="1" thickBot="1">
      <c r="A175" s="2420"/>
      <c r="B175" s="2420"/>
      <c r="C175" s="664" t="str">
        <f>F!C248</f>
        <v>bare or nearly bare pervious surface or managed vegetation, e.g., lawn, row crops, unpaved road, dike, landslide.</v>
      </c>
      <c r="D175" s="248">
        <f>F!D248</f>
        <v>0</v>
      </c>
      <c r="E175" s="640">
        <v>1</v>
      </c>
      <c r="F175" s="362">
        <f>D175*E175</f>
        <v>0</v>
      </c>
      <c r="G175" s="503"/>
      <c r="H175" s="2420"/>
      <c r="I175" s="2413"/>
    </row>
    <row r="176" spans="1:68" ht="60" customHeight="1" thickBot="1">
      <c r="A176" s="2211" t="str">
        <f>F!A280</f>
        <v>F61</v>
      </c>
      <c r="B176" s="2218" t="str">
        <f>F!B280</f>
        <v xml:space="preserve">Unvisited Core Area </v>
      </c>
      <c r="C176" s="436"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76" s="1172"/>
      <c r="E176" s="391"/>
      <c r="F176" s="382"/>
      <c r="G176" s="506">
        <f>MAX(F177:F182)/MAX(E177:E182)</f>
        <v>0</v>
      </c>
      <c r="H176" s="2211" t="s">
        <v>60</v>
      </c>
      <c r="I176" s="2411" t="s">
        <v>261</v>
      </c>
    </row>
    <row r="177" spans="1:68" ht="15" customHeight="1">
      <c r="A177" s="2211"/>
      <c r="B177" s="2211"/>
      <c r="C177" s="30" t="str">
        <f>F!C281</f>
        <v>&lt;5% and no inhabited building is within 100 m of the AA.</v>
      </c>
      <c r="D177" s="247">
        <f>F!D281</f>
        <v>0</v>
      </c>
      <c r="E177" s="1162">
        <v>1</v>
      </c>
      <c r="F177" s="361">
        <f t="shared" ref="F177:F182" si="9">D177*E177</f>
        <v>0</v>
      </c>
      <c r="G177" s="501"/>
      <c r="H177" s="2211"/>
      <c r="I177" s="2412"/>
    </row>
    <row r="178" spans="1:68" ht="15" customHeight="1">
      <c r="A178" s="2211"/>
      <c r="B178" s="2211"/>
      <c r="C178" s="1724" t="str">
        <f>F!C282</f>
        <v>&lt;5% and inhabited building is within 100 m of the AA.</v>
      </c>
      <c r="D178" s="247">
        <f>F!D282</f>
        <v>0</v>
      </c>
      <c r="E178" s="1162">
        <v>0</v>
      </c>
      <c r="F178" s="361">
        <f t="shared" si="9"/>
        <v>0</v>
      </c>
      <c r="G178" s="502"/>
      <c r="H178" s="2211"/>
      <c r="I178" s="2412"/>
    </row>
    <row r="179" spans="1:68" ht="15" customHeight="1">
      <c r="A179" s="2211"/>
      <c r="B179" s="2211"/>
      <c r="C179" s="1724" t="str">
        <f>F!C283</f>
        <v>5-50% and no inhabited building is within 100 m of the AA.</v>
      </c>
      <c r="D179" s="247">
        <f>F!D283</f>
        <v>0</v>
      </c>
      <c r="E179" s="1162">
        <v>3</v>
      </c>
      <c r="F179" s="361">
        <f t="shared" si="9"/>
        <v>0</v>
      </c>
      <c r="G179" s="502"/>
      <c r="H179" s="2211"/>
      <c r="I179" s="2412"/>
    </row>
    <row r="180" spans="1:68" ht="15" customHeight="1">
      <c r="A180" s="2211"/>
      <c r="B180" s="2211"/>
      <c r="C180" s="1724" t="str">
        <f>F!C284</f>
        <v>5-50% and inhabited building is within 100 m of the AA.</v>
      </c>
      <c r="D180" s="247">
        <f>F!D284</f>
        <v>0</v>
      </c>
      <c r="E180" s="1162">
        <v>2</v>
      </c>
      <c r="F180" s="361">
        <f t="shared" si="9"/>
        <v>0</v>
      </c>
      <c r="G180" s="502"/>
      <c r="H180" s="2211"/>
      <c r="I180" s="2412"/>
    </row>
    <row r="181" spans="1:68" ht="15" customHeight="1">
      <c r="A181" s="2211"/>
      <c r="B181" s="2211"/>
      <c r="C181" s="1724" t="str">
        <f>F!C285</f>
        <v>50-95%</v>
      </c>
      <c r="D181" s="247">
        <f>F!D285</f>
        <v>0</v>
      </c>
      <c r="E181" s="1162">
        <v>4</v>
      </c>
      <c r="F181" s="361">
        <f t="shared" si="9"/>
        <v>0</v>
      </c>
      <c r="G181" s="502"/>
      <c r="H181" s="2211"/>
      <c r="I181" s="2412"/>
    </row>
    <row r="182" spans="1:68" ht="15.6" customHeight="1" thickBot="1">
      <c r="A182" s="2211"/>
      <c r="B182" s="2211"/>
      <c r="C182" s="437" t="str">
        <f>F!C286</f>
        <v>&gt;95% of the AA</v>
      </c>
      <c r="D182" s="254">
        <f>F!D286</f>
        <v>0</v>
      </c>
      <c r="E182" s="1252">
        <v>5</v>
      </c>
      <c r="F182" s="364">
        <f t="shared" si="9"/>
        <v>0</v>
      </c>
      <c r="G182" s="511"/>
      <c r="H182" s="2211"/>
      <c r="I182" s="2412"/>
    </row>
    <row r="183" spans="1:68" ht="60" customHeight="1" thickBot="1">
      <c r="A183" s="2218" t="str">
        <f>F!A287</f>
        <v>F62</v>
      </c>
      <c r="B183" s="2218" t="str">
        <f>F!B287</f>
        <v>Frequently Visited Area</v>
      </c>
      <c r="C183" s="436"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183" s="1766"/>
      <c r="E183" s="499"/>
      <c r="F183" s="383"/>
      <c r="G183" s="500">
        <f>MAX(F184:F187)/MAX(E184:E187)</f>
        <v>0</v>
      </c>
      <c r="H183" s="2218" t="s">
        <v>166</v>
      </c>
      <c r="I183" s="2411" t="s">
        <v>262</v>
      </c>
    </row>
    <row r="184" spans="1:68" ht="15" customHeight="1">
      <c r="A184" s="2211"/>
      <c r="B184" s="2211"/>
      <c r="C184" s="1494" t="str">
        <f>F!C288</f>
        <v>&lt;5%. If F61 was answered "&gt;95%" (mostly never visited), SKIP to F65.</v>
      </c>
      <c r="D184" s="247">
        <f>F!D288</f>
        <v>0</v>
      </c>
      <c r="E184" s="1162">
        <v>2</v>
      </c>
      <c r="F184" s="361">
        <f>D184*E184</f>
        <v>0</v>
      </c>
      <c r="G184" s="501"/>
      <c r="H184" s="2211"/>
      <c r="I184" s="2412"/>
    </row>
    <row r="185" spans="1:68" ht="15" customHeight="1">
      <c r="A185" s="2211"/>
      <c r="B185" s="2211"/>
      <c r="C185" s="1472" t="str">
        <f>F!C289</f>
        <v>5-50%</v>
      </c>
      <c r="D185" s="247">
        <f>F!D289</f>
        <v>0</v>
      </c>
      <c r="E185" s="1162">
        <v>1</v>
      </c>
      <c r="F185" s="361">
        <f>D185*E185</f>
        <v>0</v>
      </c>
      <c r="G185" s="502"/>
      <c r="H185" s="2211"/>
      <c r="I185" s="2412"/>
    </row>
    <row r="186" spans="1:68" ht="15" customHeight="1">
      <c r="A186" s="2211"/>
      <c r="B186" s="2211"/>
      <c r="C186" s="1073" t="str">
        <f>F!C290</f>
        <v>50-95%</v>
      </c>
      <c r="D186" s="256">
        <f>F!D290</f>
        <v>0</v>
      </c>
      <c r="E186" s="1162">
        <v>0</v>
      </c>
      <c r="F186" s="361">
        <f>D186*E186</f>
        <v>0</v>
      </c>
      <c r="G186" s="502"/>
      <c r="H186" s="2211"/>
      <c r="I186" s="2412"/>
    </row>
    <row r="187" spans="1:68" ht="15" customHeight="1" thickBot="1">
      <c r="A187" s="2420"/>
      <c r="B187" s="2420"/>
      <c r="C187" s="1169" t="str">
        <f>F!C291</f>
        <v>&gt;95% of the AA.</v>
      </c>
      <c r="D187" s="290">
        <f>F!D291</f>
        <v>0</v>
      </c>
      <c r="E187" s="1232">
        <v>0</v>
      </c>
      <c r="F187" s="362">
        <f>D187*E187</f>
        <v>0</v>
      </c>
      <c r="G187" s="503"/>
      <c r="H187" s="2420"/>
      <c r="I187" s="2413"/>
    </row>
    <row r="188" spans="1:68" ht="45" customHeight="1" thickBot="1">
      <c r="A188" s="5" t="str">
        <f>F!A293</f>
        <v>F64</v>
      </c>
      <c r="B188" s="436" t="str">
        <f>F!B293</f>
        <v>BMP - Wildlife Protection</v>
      </c>
      <c r="C188" s="1206" t="str">
        <f>F!C293</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88" s="1733">
        <f>F!D293</f>
        <v>0</v>
      </c>
      <c r="E188" s="395"/>
      <c r="F188" s="384"/>
      <c r="G188" s="500">
        <f>IF((D182+D184&gt;1),"",D188)</f>
        <v>0</v>
      </c>
      <c r="H188" s="5" t="s">
        <v>1275</v>
      </c>
      <c r="I188" s="1647" t="s">
        <v>1211</v>
      </c>
    </row>
    <row r="189" spans="1:68" ht="45" customHeight="1" thickBot="1">
      <c r="A189" s="1726" t="str">
        <f>S!A81</f>
        <v>S6</v>
      </c>
      <c r="B189" s="1726" t="str">
        <f>S!B81</f>
        <v>Accelerated Inputs of Contaminants and/or Salts</v>
      </c>
      <c r="C189" s="1755" t="str">
        <f>S!E93</f>
        <v>Final Score=</v>
      </c>
      <c r="D189" s="1756">
        <f>S!F93</f>
        <v>0</v>
      </c>
      <c r="E189" s="698"/>
      <c r="F189" s="1364"/>
      <c r="G189" s="1708">
        <f>1-D189</f>
        <v>1</v>
      </c>
      <c r="H189" s="1242" t="s">
        <v>1837</v>
      </c>
      <c r="I189" s="1594" t="s">
        <v>2800</v>
      </c>
    </row>
    <row r="190" spans="1:68" s="166" customFormat="1" ht="36" customHeight="1" thickBot="1">
      <c r="A190" s="1767" t="s">
        <v>168</v>
      </c>
      <c r="B190" s="1768" t="s">
        <v>2411</v>
      </c>
      <c r="C190" s="1769" t="s">
        <v>1354</v>
      </c>
      <c r="D190" s="1770" t="s">
        <v>64</v>
      </c>
      <c r="E190" s="1771" t="s">
        <v>1383</v>
      </c>
      <c r="F190" s="1772" t="s">
        <v>1384</v>
      </c>
      <c r="G190" s="1773" t="s">
        <v>1293</v>
      </c>
      <c r="H190" s="1754" t="s">
        <v>1294</v>
      </c>
      <c r="I190" s="1799" t="s">
        <v>2622</v>
      </c>
      <c r="J190" s="142"/>
      <c r="K190" s="168"/>
      <c r="L190" s="168"/>
      <c r="M190" s="168"/>
      <c r="N190" s="168"/>
      <c r="O190" s="168"/>
      <c r="P190" s="168"/>
      <c r="Q190" s="168"/>
      <c r="R190" s="168"/>
      <c r="S190" s="168"/>
      <c r="T190" s="168"/>
      <c r="U190" s="168"/>
      <c r="V190" s="168"/>
      <c r="W190" s="168"/>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c r="BL190" s="168"/>
      <c r="BM190" s="168"/>
      <c r="BN190" s="168"/>
      <c r="BO190" s="168"/>
    </row>
    <row r="191" spans="1:68" s="17" customFormat="1" ht="156" customHeight="1" thickBot="1">
      <c r="A191" s="123" t="str">
        <f>OF!A34</f>
        <v>OF5</v>
      </c>
      <c r="B191" s="123" t="str">
        <f>OF!B34</f>
        <v>Herbaceous Uniqueness</v>
      </c>
      <c r="C191" s="1056" t="str">
        <f>OF!C34</f>
        <v xml:space="preserve">Does the AA contain the largest unmanaged herbaceous* patch within 5 km of the AA's edge? (or is the AA's vegetation mostly herbaceous but uplands within 5 km have &lt;10% herbaceous cover?). If so, enter "3" and continue to OF6.  If not, consider: 
Does the AA have the largest unmanaged herbaceous patch within 1 km? (or is the AA's vegetation mostly herbaceous but uplands within 1 km have &lt;10% herbaceous cover?); if so enter "2" and continue to OF6.  If not, consider: 
Does  the AA have the largest unmanaged patch of herbaceous vegetation within 100 m? (or is the AA's vegetation mostly herbaceous but uplands within 100 m have &lt;10% herbaceous cover?)  If so, enter "1"  
[* NOTE: Exclude lawns, row crops, heavily grazed lands, forest, shrublands. Include moss as well as grasslike plants in this use of "herbaceous vegetation"]
</v>
      </c>
      <c r="D191" s="1074">
        <f>OF!D34</f>
        <v>0</v>
      </c>
      <c r="E191" s="395"/>
      <c r="F191" s="384"/>
      <c r="G191" s="519">
        <f>D191/3</f>
        <v>0</v>
      </c>
      <c r="H191" s="1775" t="s">
        <v>2898</v>
      </c>
      <c r="I191" s="1709" t="s">
        <v>1572</v>
      </c>
      <c r="J191" s="14"/>
      <c r="K191" s="168"/>
      <c r="BP191" s="12"/>
    </row>
    <row r="192" spans="1:68" s="17" customFormat="1" ht="129" customHeight="1" thickBot="1">
      <c r="A192" s="1721" t="str">
        <f>OF!A35</f>
        <v>OF6</v>
      </c>
      <c r="B192" s="1721" t="str">
        <f>OF!B35</f>
        <v>Woody Uniqueness</v>
      </c>
      <c r="C192" s="1774" t="str">
        <f>OF!C35</f>
        <v xml:space="preserve">Does the AA contain the largest unmanaged woody* patch within 5 km? (or is the AA's vegetation mostly woody but uplands within 5 km have &lt;10% woody cover?). If so, enter "3" and continue to OF6.  If not, consider: 
Does the AA have the largest unmanaged woody patch within 1 km? (or is the AA's vegetation mostly woody but uplands within 1 km have &lt;10% woody cover?); if so enter "2" and continue to OF6.  If not, consider: 
Does  the AA have the largest unmanaged patch of woody vegetation within 100 m? (or is the AA's vegetation mostly woody but uplands within 100 m have &lt;10% woody cover?)  If so, enter "1".  
 [*NOTE: woody = Shrubland and forest, but exclude conifer plantations. ]
</v>
      </c>
      <c r="D192" s="1725">
        <f>OF!D35</f>
        <v>0</v>
      </c>
      <c r="E192" s="754"/>
      <c r="F192" s="380">
        <f>D192*E192</f>
        <v>0</v>
      </c>
      <c r="G192" s="1759">
        <f>D192/3</f>
        <v>0</v>
      </c>
      <c r="H192" s="1729" t="s">
        <v>166</v>
      </c>
      <c r="I192" s="1516" t="s">
        <v>1573</v>
      </c>
      <c r="J192" s="14"/>
      <c r="K192" s="168"/>
      <c r="BP192" s="12"/>
    </row>
    <row r="193" spans="1:68" s="17" customFormat="1" ht="33" customHeight="1" thickBot="1">
      <c r="A193" s="123" t="str">
        <f>OF!A141</f>
        <v>OF30</v>
      </c>
      <c r="B193" s="123" t="str">
        <f>OF!B141</f>
        <v>Species of Conservation Concern</v>
      </c>
      <c r="C193" s="703" t="str">
        <f>OF!C143</f>
        <v>Presence of one or more of the amphibian or reptile species of conservation concern (AM) as listed in the Wildlife_Rare worksheet of the accompanying SuppInfo file</v>
      </c>
      <c r="D193" s="296">
        <f>OF!D143</f>
        <v>0</v>
      </c>
      <c r="E193" s="395"/>
      <c r="F193" s="373"/>
      <c r="G193" s="519">
        <f>D193</f>
        <v>0</v>
      </c>
      <c r="H193" s="81" t="s">
        <v>2037</v>
      </c>
      <c r="I193" s="1709" t="s">
        <v>1579</v>
      </c>
      <c r="J193" s="14"/>
      <c r="K193" s="168"/>
      <c r="BP193" s="12"/>
    </row>
    <row r="194" spans="1:68" s="17" customFormat="1" ht="33" customHeight="1" thickBot="1">
      <c r="A194" s="5"/>
      <c r="B194" s="1760" t="str">
        <f>WBF!C164</f>
        <v>Function Score for Feeding Waterbird Habitat</v>
      </c>
      <c r="C194" s="1761"/>
      <c r="D194" s="531"/>
      <c r="E194" s="531"/>
      <c r="F194" s="1762"/>
      <c r="G194" s="519">
        <f>WBF!G164/10</f>
        <v>0.05</v>
      </c>
      <c r="H194" s="1763" t="s">
        <v>601</v>
      </c>
      <c r="I194" s="1709" t="s">
        <v>708</v>
      </c>
      <c r="J194" s="14"/>
      <c r="K194" s="168"/>
      <c r="BP194" s="12"/>
    </row>
    <row r="195" spans="1:68" s="17" customFormat="1" ht="45" customHeight="1" thickBot="1">
      <c r="A195" s="5"/>
      <c r="B195" s="1760" t="str">
        <f>SBM!C172</f>
        <v>Function Score for Songbird, Raptor, &amp; Mammal Habitat</v>
      </c>
      <c r="C195" s="1761"/>
      <c r="D195" s="531"/>
      <c r="E195" s="1764"/>
      <c r="F195" s="1765"/>
      <c r="G195" s="498">
        <f>SBM!G172/10</f>
        <v>0</v>
      </c>
      <c r="H195" s="5"/>
      <c r="I195" s="1709" t="s">
        <v>709</v>
      </c>
      <c r="J195" s="14"/>
      <c r="K195" s="168"/>
      <c r="BP195" s="12"/>
    </row>
    <row r="196" spans="1:68" ht="21" customHeight="1" thickBot="1">
      <c r="A196" s="1442"/>
      <c r="B196" s="1442"/>
      <c r="C196" s="1442"/>
      <c r="D196" s="2639"/>
      <c r="E196" s="2639"/>
      <c r="F196" s="2639"/>
      <c r="G196" s="2639"/>
      <c r="H196" s="2639"/>
    </row>
    <row r="197" spans="1:68" ht="21" customHeight="1">
      <c r="A197" s="11"/>
      <c r="B197" s="11"/>
      <c r="C197" s="11"/>
      <c r="D197" s="2529" t="s">
        <v>748</v>
      </c>
      <c r="E197" s="2530"/>
      <c r="F197" s="2530"/>
      <c r="G197" s="1711">
        <f>AVERAGE(Fluctu11, SatPct11,PermWpct11, ISOwet11, GroundW11)</f>
        <v>0</v>
      </c>
      <c r="H197" s="1897" t="s">
        <v>1200</v>
      </c>
      <c r="I197" s="1898" t="s">
        <v>2758</v>
      </c>
    </row>
    <row r="198" spans="1:68" ht="21" customHeight="1">
      <c r="A198" s="11"/>
      <c r="B198" s="11"/>
      <c r="C198" s="11"/>
      <c r="D198" s="2531" t="s">
        <v>425</v>
      </c>
      <c r="E198" s="2532"/>
      <c r="F198" s="2532"/>
      <c r="G198" s="1712">
        <f>IF((AllSat1)&gt;0,"", IF((NoPonded=1),"", AVERAGE(ABpct11,WoodAbove11, Interspers11, Vwidth11)))</f>
        <v>0</v>
      </c>
      <c r="H198" s="1858" t="s">
        <v>2660</v>
      </c>
      <c r="I198" s="1899" t="s">
        <v>2759</v>
      </c>
    </row>
    <row r="199" spans="1:68" ht="21" customHeight="1">
      <c r="A199" s="11"/>
      <c r="B199" s="11"/>
      <c r="C199" s="11"/>
      <c r="D199" s="2531" t="s">
        <v>426</v>
      </c>
      <c r="E199" s="2532"/>
      <c r="F199" s="2532"/>
      <c r="G199" s="1712">
        <f>AVERAGE(WoodDown11, WoodHerbMix11,ShrubSun11, Gcover11, Girreg11,Inclus11a,WetTypeDiv11)</f>
        <v>0</v>
      </c>
      <c r="H199" s="1858" t="s">
        <v>2661</v>
      </c>
      <c r="I199" s="1899" t="s">
        <v>2760</v>
      </c>
    </row>
    <row r="200" spans="1:68" ht="21" customHeight="1">
      <c r="A200" s="11"/>
      <c r="B200" s="11"/>
      <c r="C200" s="11"/>
      <c r="D200" s="2531" t="s">
        <v>232</v>
      </c>
      <c r="E200" s="2532"/>
      <c r="F200" s="2532"/>
      <c r="G200" s="1712">
        <f>AVERAGE(Wettype11, Aspect11, Karst11,TreeVar11)</f>
        <v>0</v>
      </c>
      <c r="H200" s="1920" t="s">
        <v>2441</v>
      </c>
      <c r="I200" s="1899" t="s">
        <v>2761</v>
      </c>
    </row>
    <row r="201" spans="1:68" ht="21" customHeight="1">
      <c r="A201" s="11"/>
      <c r="B201" s="11"/>
      <c r="C201" s="11"/>
      <c r="D201" s="2484" t="s">
        <v>278</v>
      </c>
      <c r="E201" s="2485"/>
      <c r="F201" s="2485"/>
      <c r="G201" s="1712">
        <f>_GDD11</f>
        <v>0</v>
      </c>
      <c r="H201" s="1920" t="s">
        <v>2818</v>
      </c>
      <c r="I201" s="1899" t="s">
        <v>2762</v>
      </c>
    </row>
    <row r="202" spans="1:68" ht="30" customHeight="1">
      <c r="A202" s="11"/>
      <c r="B202" s="11"/>
      <c r="C202" s="11"/>
      <c r="D202" s="2531" t="s">
        <v>198</v>
      </c>
      <c r="E202" s="2532"/>
      <c r="F202" s="2532"/>
      <c r="G202" s="1712">
        <f>AVERAGE(RoadCirc11,AVERAGE(NatVegPct11, BuffLU11, NatVegProx11, NatCov2mi11, ScapeLU11, NatVegSize11))</f>
        <v>0</v>
      </c>
      <c r="H202" s="1858" t="s">
        <v>2662</v>
      </c>
      <c r="I202" s="1899" t="s">
        <v>2763</v>
      </c>
    </row>
    <row r="203" spans="1:68" ht="21" customHeight="1">
      <c r="A203" s="11"/>
      <c r="B203" s="11"/>
      <c r="C203" s="11"/>
      <c r="D203" s="2484" t="s">
        <v>279</v>
      </c>
      <c r="E203" s="2485"/>
      <c r="F203" s="2485"/>
      <c r="G203" s="1712">
        <f>PondProx11</f>
        <v>0</v>
      </c>
      <c r="H203" s="1858" t="s">
        <v>1577</v>
      </c>
      <c r="I203" s="1899" t="s">
        <v>2764</v>
      </c>
    </row>
    <row r="204" spans="1:68" ht="21" customHeight="1" thickBot="1">
      <c r="A204" s="11"/>
      <c r="B204" s="11"/>
      <c r="C204" s="11"/>
      <c r="D204" s="2533" t="s">
        <v>1327</v>
      </c>
      <c r="E204" s="2534"/>
      <c r="F204" s="2534"/>
      <c r="G204" s="1713">
        <f>AVERAGE(FishAcc11, AVERAGE(RdDis11, Acidic11,Toxic11, ToxicIn11,Core1_11,Core2_11,_BMP11))</f>
        <v>0.16666666666666666</v>
      </c>
      <c r="H204" s="1900" t="s">
        <v>1578</v>
      </c>
      <c r="I204" s="1901" t="s">
        <v>2766</v>
      </c>
    </row>
    <row r="205" spans="1:68" ht="21" customHeight="1" thickBot="1">
      <c r="A205" s="11"/>
      <c r="B205" s="11"/>
      <c r="C205" s="11"/>
      <c r="D205" s="2671"/>
      <c r="E205" s="2671"/>
      <c r="F205" s="2671"/>
      <c r="G205" s="2671"/>
      <c r="H205" s="2640"/>
    </row>
    <row r="206" spans="1:68" ht="30" customHeight="1" thickBot="1">
      <c r="A206" s="2640"/>
      <c r="B206" s="2670"/>
      <c r="C206" s="2394" t="s">
        <v>1048</v>
      </c>
      <c r="D206" s="2395"/>
      <c r="E206" s="2396"/>
      <c r="F206" s="1591" t="s">
        <v>75</v>
      </c>
      <c r="G206" s="1700">
        <f>10*AVERAGE(Wettype11, (AVERAGE(Hydro11,AqStruc11,TerrStruc11,Produc11,Climate11,Lscape11,Waterscape11,Stress11)))</f>
        <v>0.10416666666666666</v>
      </c>
      <c r="H206" s="2363" t="s">
        <v>2663</v>
      </c>
      <c r="I206" s="2364"/>
    </row>
    <row r="207" spans="1:68" ht="30" customHeight="1" thickBot="1">
      <c r="A207" s="2640"/>
      <c r="B207" s="2670"/>
      <c r="C207" s="2394" t="s">
        <v>2765</v>
      </c>
      <c r="D207" s="2395"/>
      <c r="E207" s="2396"/>
      <c r="F207" s="1949" t="s">
        <v>2888</v>
      </c>
      <c r="G207" s="1701">
        <f>10*(IF((RareHerp=1),1, AVERAGE(WBFscore10, MAX(HerbUniq,WoodyUniq),SBMscore10)))</f>
        <v>0.16666666666666666</v>
      </c>
      <c r="H207" s="2363" t="s">
        <v>2664</v>
      </c>
      <c r="I207" s="2364"/>
    </row>
    <row r="208" spans="1:68" ht="21" customHeight="1" thickBot="1">
      <c r="A208" s="11"/>
      <c r="B208" s="11"/>
      <c r="C208" s="11"/>
      <c r="D208" s="11"/>
      <c r="E208" s="11"/>
      <c r="F208" s="11"/>
      <c r="G208" s="11"/>
      <c r="H208" s="11"/>
    </row>
    <row r="209" spans="1:9" ht="21" customHeight="1" thickBot="1">
      <c r="A209" s="11"/>
      <c r="B209" s="11"/>
      <c r="C209" s="11"/>
      <c r="D209" s="11"/>
      <c r="E209" s="11"/>
      <c r="F209" s="11"/>
      <c r="G209" s="11"/>
      <c r="H209" s="2609" t="s">
        <v>806</v>
      </c>
      <c r="I209" s="2610"/>
    </row>
    <row r="210" spans="1:9" ht="42" customHeight="1">
      <c r="A210" s="11"/>
      <c r="B210" s="11"/>
      <c r="C210" s="11"/>
      <c r="D210" s="11"/>
      <c r="E210" s="11"/>
      <c r="F210" s="11"/>
      <c r="G210" s="11"/>
      <c r="H210" s="2557" t="s">
        <v>988</v>
      </c>
      <c r="I210" s="2558"/>
    </row>
    <row r="211" spans="1:9" ht="27" customHeight="1">
      <c r="A211" s="11"/>
      <c r="B211" s="11"/>
      <c r="C211" s="11"/>
      <c r="D211" s="11"/>
      <c r="E211" s="11"/>
      <c r="F211" s="11"/>
      <c r="G211" s="11"/>
      <c r="H211" s="2373" t="s">
        <v>1653</v>
      </c>
      <c r="I211" s="2374"/>
    </row>
    <row r="212" spans="1:9" ht="42" customHeight="1">
      <c r="A212" s="11"/>
      <c r="B212" s="11"/>
      <c r="C212" s="11"/>
      <c r="D212" s="11"/>
      <c r="E212" s="11"/>
      <c r="F212" s="11"/>
      <c r="G212" s="11"/>
      <c r="H212" s="2373" t="s">
        <v>2179</v>
      </c>
      <c r="I212" s="2374"/>
    </row>
    <row r="213" spans="1:9" ht="42" customHeight="1">
      <c r="A213" s="11"/>
      <c r="B213" s="11"/>
      <c r="C213" s="11"/>
      <c r="D213" s="11"/>
      <c r="E213" s="11"/>
      <c r="F213" s="11"/>
      <c r="G213" s="11"/>
      <c r="H213" s="2367" t="s">
        <v>1899</v>
      </c>
      <c r="I213" s="2368"/>
    </row>
    <row r="214" spans="1:9" ht="27" customHeight="1">
      <c r="A214" s="11"/>
      <c r="B214" s="11"/>
      <c r="C214" s="11"/>
      <c r="D214" s="11"/>
      <c r="E214" s="11"/>
      <c r="F214" s="11"/>
      <c r="G214" s="11"/>
      <c r="H214" s="2367" t="s">
        <v>989</v>
      </c>
      <c r="I214" s="2368"/>
    </row>
    <row r="215" spans="1:9" ht="27" customHeight="1">
      <c r="A215" s="11"/>
      <c r="B215" s="11"/>
      <c r="C215" s="11"/>
      <c r="D215" s="11"/>
      <c r="E215" s="11"/>
      <c r="F215" s="11"/>
      <c r="G215" s="11"/>
      <c r="H215" s="2371" t="s">
        <v>1654</v>
      </c>
      <c r="I215" s="2372"/>
    </row>
    <row r="216" spans="1:9" ht="27" customHeight="1">
      <c r="A216" s="11"/>
      <c r="B216" s="11"/>
      <c r="C216" s="11"/>
      <c r="D216" s="11"/>
      <c r="E216" s="11"/>
      <c r="F216" s="11"/>
      <c r="G216" s="11"/>
      <c r="H216" s="2367" t="s">
        <v>990</v>
      </c>
      <c r="I216" s="2368"/>
    </row>
    <row r="217" spans="1:9" ht="27" customHeight="1">
      <c r="A217" s="11"/>
      <c r="B217" s="11"/>
      <c r="C217" s="11"/>
      <c r="D217" s="11"/>
      <c r="E217" s="11"/>
      <c r="F217" s="11"/>
      <c r="G217" s="11"/>
      <c r="H217" s="2367" t="s">
        <v>991</v>
      </c>
      <c r="I217" s="2368"/>
    </row>
    <row r="218" spans="1:9" ht="27" customHeight="1">
      <c r="A218" s="11"/>
      <c r="B218" s="11"/>
      <c r="C218" s="11"/>
      <c r="D218" s="11"/>
      <c r="E218" s="11"/>
      <c r="F218" s="11"/>
      <c r="G218" s="11"/>
      <c r="H218" s="2367" t="s">
        <v>992</v>
      </c>
      <c r="I218" s="2368"/>
    </row>
    <row r="219" spans="1:9" ht="27" customHeight="1">
      <c r="A219" s="11"/>
      <c r="B219" s="11"/>
      <c r="C219" s="11"/>
      <c r="D219" s="11"/>
      <c r="E219" s="11"/>
      <c r="F219" s="11"/>
      <c r="G219" s="11"/>
      <c r="H219" s="2367" t="s">
        <v>2172</v>
      </c>
      <c r="I219" s="2368"/>
    </row>
    <row r="220" spans="1:9" ht="42" customHeight="1">
      <c r="A220" s="11"/>
      <c r="B220" s="11"/>
      <c r="C220" s="11"/>
      <c r="D220" s="11"/>
      <c r="E220" s="11"/>
      <c r="F220" s="11"/>
      <c r="G220" s="11"/>
      <c r="H220" s="2367" t="s">
        <v>1703</v>
      </c>
      <c r="I220" s="2368"/>
    </row>
    <row r="221" spans="1:9" ht="27" customHeight="1">
      <c r="A221" s="11"/>
      <c r="B221" s="11"/>
      <c r="C221" s="11"/>
      <c r="D221" s="11"/>
      <c r="E221" s="11"/>
      <c r="F221" s="11"/>
      <c r="G221" s="11"/>
      <c r="H221" s="2367" t="s">
        <v>2173</v>
      </c>
      <c r="I221" s="2368"/>
    </row>
    <row r="222" spans="1:9" ht="27" customHeight="1">
      <c r="A222" s="11"/>
      <c r="B222" s="11"/>
      <c r="C222" s="11"/>
      <c r="D222" s="11"/>
      <c r="E222" s="11"/>
      <c r="F222" s="11"/>
      <c r="G222" s="11"/>
      <c r="H222" s="2371" t="s">
        <v>1655</v>
      </c>
      <c r="I222" s="2372"/>
    </row>
    <row r="223" spans="1:9" ht="42" customHeight="1">
      <c r="A223" s="11"/>
      <c r="B223" s="11"/>
      <c r="C223" s="11"/>
      <c r="D223" s="11"/>
      <c r="E223" s="11"/>
      <c r="F223" s="11"/>
      <c r="G223" s="11"/>
      <c r="H223" s="2373" t="s">
        <v>993</v>
      </c>
      <c r="I223" s="2374"/>
    </row>
    <row r="224" spans="1:9" ht="27" customHeight="1">
      <c r="A224" s="11"/>
      <c r="B224" s="11"/>
      <c r="C224" s="11"/>
      <c r="D224" s="11"/>
      <c r="E224" s="11"/>
      <c r="F224" s="11"/>
      <c r="G224" s="11"/>
      <c r="H224" s="2373" t="s">
        <v>2174</v>
      </c>
      <c r="I224" s="2374"/>
    </row>
    <row r="225" spans="1:9" ht="42" customHeight="1">
      <c r="A225" s="11"/>
      <c r="B225" s="11"/>
      <c r="C225" s="11"/>
      <c r="D225" s="11"/>
      <c r="E225" s="11"/>
      <c r="F225" s="11"/>
      <c r="G225" s="11"/>
      <c r="H225" s="2373" t="s">
        <v>1900</v>
      </c>
      <c r="I225" s="2374"/>
    </row>
    <row r="226" spans="1:9" ht="27" customHeight="1">
      <c r="A226" s="11"/>
      <c r="B226" s="11"/>
      <c r="C226" s="11"/>
      <c r="D226" s="11"/>
      <c r="E226" s="11"/>
      <c r="F226" s="11"/>
      <c r="G226" s="11"/>
      <c r="H226" s="2373" t="s">
        <v>1680</v>
      </c>
      <c r="I226" s="2374"/>
    </row>
    <row r="227" spans="1:9" ht="27" customHeight="1">
      <c r="A227" s="11"/>
      <c r="B227" s="11"/>
      <c r="C227" s="11"/>
      <c r="D227" s="11"/>
      <c r="E227" s="11"/>
      <c r="F227" s="11"/>
      <c r="G227" s="11"/>
      <c r="H227" s="2367" t="s">
        <v>994</v>
      </c>
      <c r="I227" s="2368"/>
    </row>
    <row r="228" spans="1:9" ht="27" customHeight="1">
      <c r="A228" s="11"/>
      <c r="B228" s="11"/>
      <c r="C228" s="11"/>
      <c r="D228" s="11"/>
      <c r="E228" s="11"/>
      <c r="F228" s="11"/>
      <c r="G228" s="11"/>
      <c r="H228" s="2371" t="s">
        <v>1677</v>
      </c>
      <c r="I228" s="2372"/>
    </row>
    <row r="229" spans="1:9" ht="27" customHeight="1">
      <c r="A229" s="11"/>
      <c r="B229" s="4"/>
      <c r="C229" s="15"/>
      <c r="D229" s="757"/>
      <c r="E229" s="675"/>
      <c r="F229" s="758"/>
      <c r="G229" s="759"/>
      <c r="H229" s="2371" t="s">
        <v>1678</v>
      </c>
      <c r="I229" s="2372"/>
    </row>
    <row r="230" spans="1:9" ht="27" customHeight="1">
      <c r="A230" s="11"/>
      <c r="B230" s="4"/>
      <c r="C230" s="15"/>
      <c r="D230" s="757"/>
      <c r="E230" s="675"/>
      <c r="F230" s="758"/>
      <c r="G230" s="759"/>
      <c r="H230" s="2371" t="s">
        <v>1679</v>
      </c>
      <c r="I230" s="2372"/>
    </row>
    <row r="231" spans="1:9" ht="27" customHeight="1">
      <c r="A231" s="11"/>
      <c r="B231" s="4"/>
      <c r="C231" s="15"/>
      <c r="D231" s="757"/>
      <c r="E231" s="675"/>
      <c r="F231" s="758"/>
      <c r="G231" s="759"/>
      <c r="H231" s="2371" t="s">
        <v>2175</v>
      </c>
      <c r="I231" s="2372"/>
    </row>
    <row r="232" spans="1:9" ht="27" customHeight="1">
      <c r="A232" s="11"/>
      <c r="B232" s="4"/>
      <c r="C232" s="15"/>
      <c r="D232" s="757"/>
      <c r="E232" s="11"/>
      <c r="F232" s="11"/>
      <c r="G232" s="11"/>
      <c r="H232" s="2371" t="s">
        <v>2176</v>
      </c>
      <c r="I232" s="2372"/>
    </row>
    <row r="233" spans="1:9" ht="27" customHeight="1">
      <c r="A233" s="11"/>
      <c r="B233" s="4"/>
      <c r="C233" s="15"/>
      <c r="D233" s="757"/>
      <c r="E233" s="757"/>
      <c r="F233" s="1420"/>
      <c r="G233" s="758"/>
      <c r="H233" s="2371" t="s">
        <v>1656</v>
      </c>
      <c r="I233" s="2372"/>
    </row>
    <row r="234" spans="1:9" ht="27" customHeight="1">
      <c r="A234" s="11"/>
      <c r="B234" s="4"/>
      <c r="C234" s="15"/>
      <c r="D234" s="757"/>
      <c r="E234" s="757"/>
      <c r="F234" s="1420"/>
      <c r="G234" s="758"/>
      <c r="H234" s="2373" t="s">
        <v>1399</v>
      </c>
      <c r="I234" s="2374"/>
    </row>
    <row r="235" spans="1:9" ht="27" customHeight="1">
      <c r="A235" s="11"/>
      <c r="B235" s="4"/>
      <c r="C235" s="15"/>
      <c r="D235" s="757"/>
      <c r="E235" s="675"/>
      <c r="F235" s="758"/>
      <c r="G235" s="759"/>
      <c r="H235" s="2371" t="s">
        <v>1657</v>
      </c>
      <c r="I235" s="2372"/>
    </row>
    <row r="236" spans="1:9" ht="27" customHeight="1">
      <c r="A236" s="11"/>
      <c r="B236" s="4"/>
      <c r="C236" s="15"/>
      <c r="D236" s="757"/>
      <c r="E236" s="675"/>
      <c r="F236" s="758"/>
      <c r="G236" s="759"/>
      <c r="H236" s="2549" t="s">
        <v>1901</v>
      </c>
      <c r="I236" s="2550"/>
    </row>
    <row r="237" spans="1:9" ht="27" customHeight="1">
      <c r="A237" s="11"/>
      <c r="B237" s="4"/>
      <c r="C237" s="15"/>
      <c r="D237" s="757"/>
      <c r="E237" s="675"/>
      <c r="F237" s="758"/>
      <c r="G237" s="759"/>
      <c r="H237" s="2549" t="s">
        <v>1658</v>
      </c>
      <c r="I237" s="2550"/>
    </row>
    <row r="238" spans="1:9" ht="27" customHeight="1">
      <c r="A238" s="11"/>
      <c r="B238" s="4"/>
      <c r="C238" s="15"/>
      <c r="D238" s="757"/>
      <c r="E238" s="675"/>
      <c r="F238" s="758"/>
      <c r="G238" s="759"/>
      <c r="H238" s="2367" t="s">
        <v>2038</v>
      </c>
      <c r="I238" s="2368"/>
    </row>
    <row r="239" spans="1:9" ht="42" customHeight="1">
      <c r="A239" s="11"/>
      <c r="B239" s="4"/>
      <c r="C239" s="15"/>
      <c r="D239" s="757"/>
      <c r="E239" s="675"/>
      <c r="F239" s="758"/>
      <c r="G239" s="759"/>
      <c r="H239" s="2367" t="s">
        <v>1693</v>
      </c>
      <c r="I239" s="2368"/>
    </row>
    <row r="240" spans="1:9" ht="27" customHeight="1">
      <c r="A240" s="11"/>
      <c r="B240" s="4"/>
      <c r="C240" s="15"/>
      <c r="D240" s="757"/>
      <c r="E240" s="675"/>
      <c r="F240" s="758"/>
      <c r="G240" s="759"/>
      <c r="H240" s="2367" t="s">
        <v>2177</v>
      </c>
      <c r="I240" s="2368"/>
    </row>
    <row r="241" spans="1:9" ht="27" customHeight="1">
      <c r="A241" s="11"/>
      <c r="B241" s="4"/>
      <c r="C241" s="15"/>
      <c r="D241" s="757"/>
      <c r="E241" s="1216"/>
      <c r="F241" s="758"/>
      <c r="G241" s="759"/>
      <c r="H241" s="2367" t="s">
        <v>2178</v>
      </c>
      <c r="I241" s="2368"/>
    </row>
    <row r="242" spans="1:9" ht="27" customHeight="1">
      <c r="A242" s="11"/>
      <c r="B242" s="4"/>
      <c r="C242" s="15"/>
      <c r="D242" s="757"/>
      <c r="E242" s="675"/>
      <c r="F242" s="758"/>
      <c r="G242" s="759"/>
      <c r="H242" s="2367" t="s">
        <v>1633</v>
      </c>
      <c r="I242" s="2368"/>
    </row>
    <row r="243" spans="1:9" ht="42" customHeight="1">
      <c r="A243" s="11"/>
      <c r="B243" s="4"/>
      <c r="C243" s="15"/>
      <c r="D243" s="757"/>
      <c r="E243" s="675"/>
      <c r="F243" s="758"/>
      <c r="G243" s="759"/>
      <c r="H243" s="2367" t="s">
        <v>995</v>
      </c>
      <c r="I243" s="2368"/>
    </row>
    <row r="244" spans="1:9" ht="27" customHeight="1">
      <c r="A244" s="11"/>
      <c r="B244" s="4"/>
      <c r="C244" s="15"/>
      <c r="D244" s="757"/>
      <c r="E244" s="675"/>
      <c r="F244" s="758"/>
      <c r="G244" s="759"/>
      <c r="H244" s="2371" t="s">
        <v>2039</v>
      </c>
      <c r="I244" s="2372"/>
    </row>
    <row r="245" spans="1:9" ht="27" customHeight="1">
      <c r="A245" s="11"/>
      <c r="B245" s="4"/>
      <c r="C245" s="15"/>
      <c r="D245" s="757"/>
      <c r="E245" s="1216"/>
      <c r="F245" s="758"/>
      <c r="G245" s="759"/>
      <c r="H245" s="2371" t="s">
        <v>1902</v>
      </c>
      <c r="I245" s="2372"/>
    </row>
    <row r="246" spans="1:9" ht="42" customHeight="1" thickBot="1">
      <c r="A246" s="11"/>
      <c r="B246" s="4"/>
      <c r="C246" s="15"/>
      <c r="D246" s="757"/>
      <c r="E246" s="675"/>
      <c r="F246" s="758"/>
      <c r="G246" s="759"/>
      <c r="H246" s="2657" t="s">
        <v>1659</v>
      </c>
      <c r="I246" s="2658"/>
    </row>
    <row r="247" spans="1:9">
      <c r="F247" s="758"/>
      <c r="G247" s="759"/>
    </row>
    <row r="248" spans="1:9">
      <c r="F248" s="758"/>
      <c r="G248" s="759"/>
    </row>
    <row r="249" spans="1:9">
      <c r="F249" s="758"/>
      <c r="G249" s="759"/>
    </row>
    <row r="250" spans="1:9">
      <c r="F250" s="758"/>
      <c r="G250" s="759"/>
    </row>
    <row r="251" spans="1:9">
      <c r="F251" s="758"/>
      <c r="G251" s="759"/>
    </row>
    <row r="252" spans="1:9">
      <c r="F252" s="758"/>
      <c r="G252" s="759"/>
    </row>
    <row r="253" spans="1:9">
      <c r="A253" s="11"/>
      <c r="B253" s="4"/>
      <c r="C253" s="15"/>
      <c r="D253" s="757"/>
      <c r="E253" s="757"/>
      <c r="F253" s="758"/>
      <c r="G253" s="759"/>
    </row>
    <row r="254" spans="1:9">
      <c r="A254" s="11"/>
      <c r="B254" s="4"/>
      <c r="C254" s="15"/>
      <c r="D254" s="757"/>
      <c r="E254" s="757"/>
      <c r="F254" s="758"/>
      <c r="G254" s="759"/>
    </row>
    <row r="255" spans="1:9">
      <c r="A255" s="11"/>
      <c r="B255" s="4"/>
      <c r="C255" s="15"/>
      <c r="D255" s="757"/>
      <c r="E255" s="757"/>
      <c r="F255" s="758"/>
      <c r="G255" s="759"/>
    </row>
    <row r="256" spans="1:9">
      <c r="A256" s="11"/>
      <c r="B256" s="4"/>
      <c r="C256" s="15"/>
      <c r="D256" s="757"/>
      <c r="E256" s="757"/>
      <c r="F256" s="758"/>
      <c r="G256" s="759"/>
    </row>
    <row r="257" spans="1:7">
      <c r="A257" s="11"/>
      <c r="B257" s="4"/>
      <c r="C257" s="15"/>
      <c r="D257" s="757"/>
      <c r="E257" s="757"/>
      <c r="F257" s="758"/>
      <c r="G257" s="759"/>
    </row>
    <row r="258" spans="1:7">
      <c r="A258" s="11"/>
      <c r="B258" s="4"/>
      <c r="C258" s="15"/>
      <c r="D258" s="757"/>
      <c r="E258" s="757"/>
      <c r="F258" s="758"/>
      <c r="G258" s="759"/>
    </row>
    <row r="259" spans="1:7">
      <c r="A259" s="11"/>
      <c r="B259" s="4"/>
      <c r="C259" s="15"/>
      <c r="D259" s="757"/>
      <c r="E259" s="757"/>
      <c r="F259" s="758"/>
      <c r="G259" s="759"/>
    </row>
    <row r="260" spans="1:7">
      <c r="A260" s="11"/>
      <c r="B260" s="4"/>
      <c r="C260" s="15"/>
      <c r="D260" s="757"/>
      <c r="E260" s="757"/>
      <c r="F260" s="758"/>
      <c r="G260" s="759"/>
    </row>
    <row r="261" spans="1:7">
      <c r="A261" s="11"/>
      <c r="B261" s="4"/>
      <c r="C261" s="15"/>
      <c r="D261" s="757"/>
      <c r="E261" s="757"/>
      <c r="F261" s="758"/>
      <c r="G261" s="759"/>
    </row>
    <row r="262" spans="1:7">
      <c r="A262" s="11"/>
      <c r="B262" s="4"/>
      <c r="C262" s="15"/>
      <c r="D262" s="757"/>
      <c r="E262" s="757"/>
      <c r="F262" s="758"/>
      <c r="G262" s="759"/>
    </row>
    <row r="263" spans="1:7">
      <c r="A263" s="11"/>
      <c r="B263" s="4"/>
      <c r="C263" s="15"/>
      <c r="D263" s="757"/>
      <c r="E263" s="757"/>
      <c r="F263" s="758"/>
      <c r="G263" s="759"/>
    </row>
    <row r="264" spans="1:7">
      <c r="A264" s="11"/>
      <c r="B264" s="4"/>
      <c r="C264" s="15"/>
      <c r="D264" s="757"/>
      <c r="E264" s="757"/>
      <c r="F264" s="758"/>
      <c r="G264" s="759"/>
    </row>
    <row r="265" spans="1:7">
      <c r="A265" s="11"/>
      <c r="B265" s="4"/>
      <c r="C265" s="15"/>
      <c r="D265" s="757"/>
      <c r="E265" s="757"/>
      <c r="F265" s="758"/>
      <c r="G265" s="759"/>
    </row>
    <row r="266" spans="1:7">
      <c r="A266" s="11"/>
      <c r="B266" s="4"/>
      <c r="C266" s="15"/>
      <c r="D266" s="757"/>
      <c r="E266" s="757"/>
      <c r="F266" s="758"/>
      <c r="G266" s="759"/>
    </row>
    <row r="267" spans="1:7">
      <c r="A267" s="11"/>
      <c r="B267" s="4"/>
      <c r="C267" s="15"/>
      <c r="D267" s="757"/>
      <c r="E267" s="757"/>
      <c r="F267" s="758"/>
      <c r="G267" s="759"/>
    </row>
    <row r="268" spans="1:7">
      <c r="A268" s="11"/>
      <c r="B268" s="4"/>
      <c r="C268" s="15"/>
      <c r="D268" s="757"/>
      <c r="E268" s="757"/>
      <c r="F268" s="758"/>
      <c r="G268" s="759"/>
    </row>
    <row r="269" spans="1:7">
      <c r="A269" s="11"/>
      <c r="B269" s="4"/>
      <c r="C269" s="15"/>
      <c r="D269" s="757"/>
      <c r="E269" s="757"/>
      <c r="F269" s="758"/>
      <c r="G269" s="759"/>
    </row>
    <row r="270" spans="1:7">
      <c r="A270" s="11"/>
      <c r="B270" s="4"/>
      <c r="C270" s="15"/>
      <c r="D270" s="757"/>
      <c r="E270" s="757"/>
      <c r="F270" s="758"/>
      <c r="G270" s="759"/>
    </row>
    <row r="271" spans="1:7">
      <c r="A271" s="11"/>
      <c r="B271" s="4"/>
      <c r="C271" s="15"/>
      <c r="D271" s="757"/>
      <c r="E271" s="757"/>
      <c r="F271" s="758"/>
      <c r="G271" s="759"/>
    </row>
    <row r="272" spans="1:7">
      <c r="A272" s="11"/>
      <c r="B272" s="4"/>
      <c r="C272" s="15"/>
      <c r="D272" s="757"/>
      <c r="E272" s="757"/>
      <c r="F272" s="758"/>
      <c r="G272" s="759"/>
    </row>
    <row r="273" spans="1:7">
      <c r="A273" s="11"/>
      <c r="B273" s="4"/>
      <c r="C273" s="15"/>
      <c r="D273" s="757"/>
      <c r="E273" s="757"/>
      <c r="F273" s="758"/>
      <c r="G273" s="759"/>
    </row>
    <row r="274" spans="1:7">
      <c r="A274" s="11"/>
      <c r="B274" s="4"/>
      <c r="C274" s="15"/>
      <c r="D274" s="757"/>
      <c r="E274" s="757"/>
      <c r="F274" s="758"/>
      <c r="G274" s="759"/>
    </row>
    <row r="275" spans="1:7">
      <c r="A275" s="11"/>
      <c r="B275" s="4"/>
      <c r="C275" s="15"/>
      <c r="D275" s="757"/>
      <c r="E275" s="757"/>
      <c r="F275" s="758"/>
      <c r="G275" s="759"/>
    </row>
    <row r="276" spans="1:7">
      <c r="A276" s="11"/>
      <c r="B276" s="4"/>
      <c r="C276" s="15"/>
      <c r="D276" s="757"/>
      <c r="E276" s="757"/>
      <c r="F276" s="758"/>
      <c r="G276" s="759"/>
    </row>
    <row r="277" spans="1:7">
      <c r="A277" s="11"/>
      <c r="B277" s="4"/>
      <c r="C277" s="15"/>
      <c r="D277" s="757"/>
      <c r="E277" s="757"/>
      <c r="F277" s="758"/>
      <c r="G277" s="759"/>
    </row>
    <row r="278" spans="1:7">
      <c r="A278" s="11"/>
      <c r="B278" s="4"/>
      <c r="C278" s="15"/>
      <c r="D278" s="757"/>
      <c r="E278" s="757"/>
      <c r="F278" s="758"/>
      <c r="G278" s="759"/>
    </row>
    <row r="279" spans="1:7">
      <c r="A279" s="11"/>
      <c r="B279" s="4"/>
      <c r="C279" s="15"/>
      <c r="D279" s="757"/>
      <c r="E279" s="757"/>
      <c r="F279" s="758"/>
      <c r="G279" s="759"/>
    </row>
    <row r="280" spans="1:7">
      <c r="A280" s="11"/>
      <c r="B280" s="4"/>
      <c r="C280" s="15"/>
      <c r="D280" s="757"/>
      <c r="E280" s="757"/>
      <c r="F280" s="758"/>
      <c r="G280" s="759"/>
    </row>
    <row r="281" spans="1:7">
      <c r="A281" s="11"/>
      <c r="B281" s="4"/>
      <c r="C281" s="15"/>
      <c r="D281" s="757"/>
      <c r="E281" s="757"/>
      <c r="F281" s="758"/>
      <c r="G281" s="759"/>
    </row>
    <row r="282" spans="1:7">
      <c r="A282" s="11"/>
      <c r="B282" s="4"/>
      <c r="C282" s="15"/>
      <c r="D282" s="757"/>
      <c r="E282" s="757"/>
      <c r="F282" s="758"/>
      <c r="G282" s="759"/>
    </row>
    <row r="283" spans="1:7">
      <c r="A283" s="11"/>
      <c r="B283" s="4"/>
      <c r="C283" s="15"/>
      <c r="D283" s="757"/>
      <c r="E283" s="757"/>
      <c r="F283" s="758"/>
      <c r="G283" s="759"/>
    </row>
    <row r="284" spans="1:7">
      <c r="A284" s="11"/>
      <c r="B284" s="4"/>
      <c r="C284" s="15"/>
      <c r="D284" s="757"/>
      <c r="E284" s="757"/>
      <c r="F284" s="758"/>
      <c r="G284" s="759"/>
    </row>
    <row r="285" spans="1:7">
      <c r="A285" s="11"/>
      <c r="B285" s="4"/>
      <c r="C285" s="15"/>
      <c r="D285" s="757"/>
      <c r="E285" s="757"/>
      <c r="F285" s="758"/>
      <c r="G285" s="759"/>
    </row>
    <row r="286" spans="1:7">
      <c r="A286" s="11"/>
      <c r="B286" s="4"/>
      <c r="C286" s="15"/>
      <c r="D286" s="757"/>
      <c r="E286" s="757"/>
      <c r="F286" s="758"/>
      <c r="G286" s="759"/>
    </row>
    <row r="287" spans="1:7">
      <c r="A287" s="11"/>
      <c r="B287" s="4"/>
      <c r="C287" s="15"/>
      <c r="D287" s="757"/>
      <c r="E287" s="757"/>
      <c r="F287" s="758"/>
      <c r="G287" s="759"/>
    </row>
    <row r="288" spans="1:7">
      <c r="A288" s="11"/>
      <c r="B288" s="4"/>
      <c r="C288" s="15"/>
      <c r="D288" s="757"/>
      <c r="E288" s="757"/>
      <c r="F288" s="758"/>
      <c r="G288" s="759"/>
    </row>
    <row r="289" spans="1:7">
      <c r="A289" s="11"/>
      <c r="B289" s="4"/>
      <c r="C289" s="15"/>
      <c r="D289" s="757"/>
      <c r="E289" s="757"/>
      <c r="F289" s="758"/>
      <c r="G289" s="759"/>
    </row>
    <row r="290" spans="1:7">
      <c r="A290" s="11"/>
      <c r="B290" s="4"/>
      <c r="C290" s="15"/>
      <c r="D290" s="757"/>
      <c r="E290" s="757"/>
      <c r="F290" s="758"/>
      <c r="G290" s="759"/>
    </row>
    <row r="291" spans="1:7">
      <c r="A291" s="11"/>
      <c r="B291" s="4"/>
      <c r="C291" s="15"/>
      <c r="D291" s="757"/>
      <c r="E291" s="757"/>
      <c r="F291" s="758"/>
      <c r="G291" s="759"/>
    </row>
    <row r="292" spans="1:7">
      <c r="A292" s="11"/>
      <c r="B292" s="4"/>
      <c r="C292" s="15"/>
      <c r="D292" s="757"/>
      <c r="E292" s="757"/>
      <c r="F292" s="758"/>
      <c r="G292" s="759"/>
    </row>
    <row r="293" spans="1:7">
      <c r="A293" s="11"/>
      <c r="B293" s="4"/>
      <c r="C293" s="15"/>
      <c r="D293" s="757"/>
      <c r="E293" s="757"/>
      <c r="F293" s="758"/>
      <c r="G293" s="759"/>
    </row>
    <row r="294" spans="1:7">
      <c r="A294" s="11"/>
      <c r="B294" s="4"/>
      <c r="C294" s="15"/>
      <c r="D294" s="757"/>
      <c r="E294" s="757"/>
      <c r="F294" s="758"/>
      <c r="G294" s="759"/>
    </row>
    <row r="295" spans="1:7">
      <c r="A295" s="11"/>
      <c r="B295" s="4"/>
      <c r="C295" s="15"/>
      <c r="D295" s="757"/>
      <c r="E295" s="757"/>
      <c r="F295" s="758"/>
      <c r="G295" s="759"/>
    </row>
    <row r="296" spans="1:7">
      <c r="A296" s="11"/>
      <c r="B296" s="4"/>
      <c r="C296" s="15"/>
      <c r="D296" s="757"/>
      <c r="E296" s="757"/>
      <c r="F296" s="758"/>
      <c r="G296" s="759"/>
    </row>
    <row r="297" spans="1:7">
      <c r="A297" s="11"/>
      <c r="B297" s="4"/>
      <c r="C297" s="15"/>
      <c r="D297" s="757"/>
      <c r="E297" s="757"/>
      <c r="F297" s="758"/>
      <c r="G297" s="759"/>
    </row>
    <row r="298" spans="1:7">
      <c r="A298" s="4"/>
      <c r="B298" s="4"/>
      <c r="C298" s="4"/>
      <c r="D298" s="396"/>
      <c r="E298" s="396"/>
      <c r="F298" s="758"/>
      <c r="G298" s="759"/>
    </row>
    <row r="299" spans="1:7">
      <c r="A299" s="4"/>
      <c r="B299" s="4"/>
      <c r="C299" s="4"/>
      <c r="D299" s="396"/>
      <c r="E299" s="396"/>
      <c r="F299" s="758"/>
      <c r="G299" s="759"/>
    </row>
    <row r="300" spans="1:7">
      <c r="A300" s="4"/>
      <c r="B300" s="4"/>
      <c r="C300" s="4"/>
      <c r="D300" s="396"/>
      <c r="E300" s="396"/>
      <c r="F300" s="758"/>
      <c r="G300" s="759"/>
    </row>
    <row r="301" spans="1:7">
      <c r="A301" s="4"/>
      <c r="B301" s="4"/>
      <c r="C301" s="4"/>
      <c r="D301" s="396"/>
      <c r="E301" s="396"/>
      <c r="F301" s="758"/>
      <c r="G301" s="759"/>
    </row>
    <row r="302" spans="1:7">
      <c r="A302" s="4"/>
      <c r="B302" s="4"/>
      <c r="C302" s="4"/>
      <c r="D302" s="396"/>
      <c r="E302" s="396"/>
      <c r="F302" s="758"/>
      <c r="G302" s="759"/>
    </row>
    <row r="303" spans="1:7">
      <c r="A303" s="4"/>
      <c r="B303" s="4"/>
      <c r="C303" s="4"/>
      <c r="D303" s="396"/>
      <c r="E303" s="396"/>
      <c r="F303" s="758"/>
      <c r="G303" s="759"/>
    </row>
    <row r="304" spans="1:7">
      <c r="A304" s="4"/>
      <c r="B304" s="4"/>
      <c r="C304" s="4"/>
      <c r="D304" s="396"/>
      <c r="E304" s="396"/>
      <c r="F304" s="758"/>
      <c r="G304" s="759"/>
    </row>
    <row r="305" spans="1:7">
      <c r="A305" s="4"/>
      <c r="B305" s="4"/>
      <c r="C305" s="4"/>
      <c r="D305" s="396"/>
      <c r="E305" s="396"/>
      <c r="F305" s="758"/>
      <c r="G305" s="759"/>
    </row>
    <row r="306" spans="1:7">
      <c r="A306" s="4"/>
      <c r="B306" s="4"/>
      <c r="C306" s="4"/>
      <c r="D306" s="396"/>
      <c r="E306" s="396"/>
      <c r="F306" s="758"/>
      <c r="G306" s="759"/>
    </row>
    <row r="307" spans="1:7">
      <c r="A307" s="4"/>
      <c r="B307" s="4"/>
      <c r="C307" s="4"/>
      <c r="D307" s="396"/>
      <c r="E307" s="396"/>
      <c r="F307" s="758"/>
      <c r="G307" s="759"/>
    </row>
    <row r="308" spans="1:7">
      <c r="A308" s="4"/>
      <c r="B308" s="4"/>
      <c r="C308" s="4"/>
      <c r="D308" s="396"/>
      <c r="E308" s="396"/>
      <c r="F308" s="758"/>
      <c r="G308" s="759"/>
    </row>
    <row r="309" spans="1:7">
      <c r="A309" s="4"/>
      <c r="B309" s="4"/>
      <c r="C309" s="4"/>
      <c r="D309" s="396"/>
      <c r="E309" s="396"/>
      <c r="F309" s="758"/>
      <c r="G309" s="759"/>
    </row>
    <row r="310" spans="1:7">
      <c r="A310" s="4"/>
      <c r="B310" s="4"/>
      <c r="C310" s="4"/>
      <c r="D310" s="396"/>
      <c r="E310" s="396"/>
      <c r="F310" s="758"/>
      <c r="G310" s="759"/>
    </row>
    <row r="311" spans="1:7">
      <c r="A311" s="4"/>
      <c r="B311" s="4"/>
      <c r="C311" s="4"/>
      <c r="D311" s="396"/>
      <c r="E311" s="396"/>
      <c r="F311" s="758"/>
      <c r="G311" s="759"/>
    </row>
    <row r="312" spans="1:7">
      <c r="A312" s="4"/>
      <c r="B312" s="4"/>
      <c r="C312" s="4"/>
      <c r="D312" s="396"/>
      <c r="E312" s="396"/>
      <c r="F312" s="758"/>
      <c r="G312" s="759"/>
    </row>
    <row r="313" spans="1:7">
      <c r="A313" s="4"/>
      <c r="B313" s="4"/>
      <c r="C313" s="4"/>
      <c r="D313" s="396"/>
      <c r="E313" s="396"/>
      <c r="F313" s="758"/>
      <c r="G313" s="759"/>
    </row>
    <row r="314" spans="1:7">
      <c r="A314" s="4"/>
      <c r="B314" s="4"/>
      <c r="C314" s="4"/>
      <c r="D314" s="396"/>
      <c r="E314" s="396"/>
      <c r="F314" s="758"/>
      <c r="G314" s="759"/>
    </row>
    <row r="315" spans="1:7">
      <c r="A315" s="4"/>
      <c r="B315" s="4"/>
      <c r="C315" s="4"/>
      <c r="D315" s="396"/>
      <c r="E315" s="396"/>
      <c r="F315" s="758"/>
      <c r="G315" s="759"/>
    </row>
    <row r="316" spans="1:7">
      <c r="A316" s="4"/>
      <c r="B316" s="4"/>
      <c r="C316" s="4"/>
      <c r="D316" s="396"/>
      <c r="E316" s="396"/>
      <c r="F316" s="758"/>
      <c r="G316" s="759"/>
    </row>
    <row r="317" spans="1:7">
      <c r="A317" s="4"/>
      <c r="B317" s="4"/>
      <c r="C317" s="4"/>
      <c r="D317" s="396"/>
      <c r="E317" s="396"/>
      <c r="F317" s="758"/>
      <c r="G317" s="759"/>
    </row>
    <row r="318" spans="1:7">
      <c r="A318" s="4"/>
      <c r="B318" s="4"/>
      <c r="C318" s="4"/>
      <c r="D318" s="396"/>
      <c r="E318" s="396"/>
      <c r="F318" s="758"/>
      <c r="G318" s="759"/>
    </row>
    <row r="319" spans="1:7">
      <c r="A319" s="4"/>
      <c r="B319" s="4"/>
      <c r="C319" s="4"/>
      <c r="D319" s="396"/>
      <c r="E319" s="396"/>
      <c r="F319" s="758"/>
      <c r="G319" s="759"/>
    </row>
    <row r="320" spans="1:7">
      <c r="A320" s="4"/>
      <c r="B320" s="4"/>
      <c r="C320" s="4"/>
      <c r="D320" s="396"/>
      <c r="E320" s="396"/>
      <c r="F320" s="758"/>
      <c r="G320" s="759"/>
    </row>
    <row r="321" spans="1:7">
      <c r="A321" s="4"/>
      <c r="B321" s="4"/>
      <c r="C321" s="4"/>
      <c r="D321" s="396"/>
      <c r="E321" s="396"/>
      <c r="F321" s="758"/>
      <c r="G321" s="759"/>
    </row>
    <row r="322" spans="1:7">
      <c r="A322" s="4"/>
      <c r="B322" s="4"/>
      <c r="C322" s="4"/>
      <c r="D322" s="396"/>
      <c r="E322" s="396"/>
      <c r="F322" s="758"/>
      <c r="G322" s="759"/>
    </row>
    <row r="323" spans="1:7">
      <c r="A323" s="4"/>
      <c r="B323" s="4"/>
      <c r="C323" s="4"/>
      <c r="D323" s="396"/>
      <c r="E323" s="396"/>
      <c r="F323" s="758"/>
      <c r="G323" s="759"/>
    </row>
    <row r="324" spans="1:7">
      <c r="A324" s="4"/>
      <c r="B324" s="4"/>
      <c r="C324" s="4"/>
      <c r="D324" s="396"/>
      <c r="E324" s="396"/>
      <c r="F324" s="758"/>
      <c r="G324" s="759"/>
    </row>
    <row r="325" spans="1:7">
      <c r="A325" s="4"/>
      <c r="B325" s="4"/>
      <c r="C325" s="4"/>
      <c r="D325" s="396"/>
      <c r="E325" s="396"/>
      <c r="F325" s="758"/>
      <c r="G325" s="759"/>
    </row>
    <row r="326" spans="1:7">
      <c r="A326" s="4"/>
      <c r="B326" s="4"/>
      <c r="C326" s="4"/>
      <c r="D326" s="396"/>
      <c r="E326" s="396"/>
      <c r="F326" s="758"/>
      <c r="G326" s="759"/>
    </row>
    <row r="327" spans="1:7">
      <c r="A327" s="4"/>
      <c r="B327" s="4"/>
      <c r="C327" s="4"/>
      <c r="D327" s="396"/>
      <c r="E327" s="396"/>
      <c r="F327" s="758"/>
      <c r="G327" s="759"/>
    </row>
    <row r="328" spans="1:7">
      <c r="A328" s="4"/>
      <c r="B328" s="4"/>
      <c r="C328" s="4"/>
      <c r="D328" s="396"/>
      <c r="E328" s="396"/>
      <c r="F328" s="758"/>
      <c r="G328" s="759"/>
    </row>
    <row r="329" spans="1:7">
      <c r="A329" s="4"/>
      <c r="B329" s="4"/>
      <c r="C329" s="4"/>
      <c r="D329" s="396"/>
      <c r="E329" s="396"/>
      <c r="F329" s="758"/>
      <c r="G329" s="759"/>
    </row>
    <row r="330" spans="1:7">
      <c r="A330" s="4"/>
      <c r="B330" s="4"/>
      <c r="C330" s="4"/>
      <c r="D330" s="396"/>
      <c r="E330" s="396"/>
      <c r="F330" s="758"/>
      <c r="G330" s="759"/>
    </row>
    <row r="331" spans="1:7">
      <c r="A331" s="4"/>
      <c r="B331" s="4"/>
      <c r="C331" s="4"/>
      <c r="D331" s="396"/>
      <c r="E331" s="396"/>
      <c r="F331" s="758"/>
      <c r="G331" s="759"/>
    </row>
    <row r="332" spans="1:7">
      <c r="A332" s="4"/>
      <c r="B332" s="4"/>
      <c r="C332" s="4"/>
      <c r="D332" s="396"/>
      <c r="E332" s="396"/>
      <c r="F332" s="758"/>
      <c r="G332" s="759"/>
    </row>
    <row r="333" spans="1:7">
      <c r="A333" s="4"/>
      <c r="B333" s="4"/>
      <c r="C333" s="4"/>
      <c r="D333" s="396"/>
      <c r="E333" s="396"/>
      <c r="F333" s="758"/>
      <c r="G333" s="759"/>
    </row>
    <row r="334" spans="1:7">
      <c r="A334" s="4"/>
      <c r="B334" s="4"/>
      <c r="C334" s="4"/>
      <c r="D334" s="396"/>
      <c r="E334" s="396"/>
      <c r="F334" s="758"/>
      <c r="G334" s="759"/>
    </row>
    <row r="335" spans="1:7">
      <c r="A335" s="4"/>
      <c r="B335" s="4"/>
      <c r="C335" s="4"/>
      <c r="D335" s="396"/>
      <c r="E335" s="396"/>
      <c r="F335" s="758"/>
      <c r="G335" s="759"/>
    </row>
    <row r="336" spans="1:7">
      <c r="A336" s="4"/>
      <c r="B336" s="4"/>
      <c r="C336" s="4"/>
      <c r="D336" s="396"/>
      <c r="E336" s="396"/>
      <c r="F336" s="758"/>
      <c r="G336" s="759"/>
    </row>
    <row r="337" spans="1:7">
      <c r="A337" s="4"/>
      <c r="B337" s="4"/>
      <c r="C337" s="4"/>
      <c r="D337" s="396"/>
      <c r="E337" s="396"/>
      <c r="F337" s="758"/>
      <c r="G337" s="759"/>
    </row>
    <row r="338" spans="1:7">
      <c r="A338" s="4"/>
      <c r="B338" s="4"/>
      <c r="C338" s="4"/>
      <c r="D338" s="396"/>
      <c r="E338" s="396"/>
      <c r="F338" s="758"/>
      <c r="G338" s="759"/>
    </row>
    <row r="339" spans="1:7">
      <c r="A339" s="4"/>
      <c r="B339" s="4"/>
      <c r="C339" s="4"/>
      <c r="D339" s="396"/>
      <c r="E339" s="396"/>
      <c r="F339" s="758"/>
      <c r="G339" s="759"/>
    </row>
    <row r="340" spans="1:7">
      <c r="A340" s="4"/>
      <c r="B340" s="4"/>
      <c r="C340" s="4"/>
      <c r="D340" s="396"/>
      <c r="E340" s="396"/>
      <c r="F340" s="758"/>
      <c r="G340" s="759"/>
    </row>
    <row r="341" spans="1:7">
      <c r="A341" s="4"/>
      <c r="B341" s="4"/>
      <c r="C341" s="4"/>
      <c r="D341" s="396"/>
      <c r="E341" s="396"/>
      <c r="F341" s="758"/>
      <c r="G341" s="759"/>
    </row>
    <row r="342" spans="1:7">
      <c r="A342" s="4"/>
      <c r="B342" s="4"/>
      <c r="C342" s="4"/>
      <c r="D342" s="396"/>
      <c r="E342" s="396"/>
      <c r="F342" s="758"/>
      <c r="G342" s="759"/>
    </row>
    <row r="343" spans="1:7">
      <c r="A343" s="4"/>
      <c r="B343" s="4"/>
      <c r="C343" s="4"/>
      <c r="D343" s="396"/>
      <c r="E343" s="396"/>
      <c r="F343" s="758"/>
      <c r="G343" s="759"/>
    </row>
    <row r="344" spans="1:7">
      <c r="A344" s="4"/>
      <c r="B344" s="4"/>
      <c r="C344" s="4"/>
      <c r="D344" s="396"/>
      <c r="E344" s="396"/>
      <c r="F344" s="758"/>
      <c r="G344" s="759"/>
    </row>
    <row r="345" spans="1:7">
      <c r="A345" s="4"/>
      <c r="B345" s="4"/>
      <c r="C345" s="4"/>
      <c r="D345" s="396"/>
      <c r="E345" s="396"/>
      <c r="F345" s="758"/>
      <c r="G345" s="759"/>
    </row>
    <row r="346" spans="1:7">
      <c r="A346" s="4"/>
      <c r="B346" s="4"/>
      <c r="C346" s="4"/>
      <c r="D346" s="396"/>
      <c r="E346" s="396"/>
      <c r="F346" s="758"/>
      <c r="G346" s="759"/>
    </row>
    <row r="347" spans="1:7">
      <c r="A347" s="4"/>
      <c r="B347" s="4"/>
      <c r="C347" s="4"/>
      <c r="D347" s="396"/>
      <c r="E347" s="396"/>
      <c r="F347" s="758"/>
      <c r="G347" s="759"/>
    </row>
    <row r="348" spans="1:7">
      <c r="A348" s="4"/>
      <c r="B348" s="4"/>
      <c r="C348" s="4"/>
      <c r="D348" s="396"/>
      <c r="E348" s="396"/>
      <c r="F348" s="758"/>
      <c r="G348" s="759"/>
    </row>
    <row r="349" spans="1:7">
      <c r="A349" s="4"/>
      <c r="B349" s="4"/>
      <c r="C349" s="4"/>
      <c r="D349" s="396"/>
      <c r="E349" s="396"/>
      <c r="F349" s="758"/>
      <c r="G349" s="759"/>
    </row>
    <row r="350" spans="1:7">
      <c r="A350" s="4"/>
      <c r="B350" s="4"/>
      <c r="C350" s="4"/>
      <c r="D350" s="396"/>
      <c r="E350" s="396"/>
      <c r="F350" s="758"/>
      <c r="G350" s="759"/>
    </row>
    <row r="351" spans="1:7">
      <c r="A351" s="4"/>
      <c r="B351" s="4"/>
      <c r="C351" s="4"/>
      <c r="D351" s="396"/>
      <c r="E351" s="396"/>
      <c r="F351" s="758"/>
      <c r="G351" s="759"/>
    </row>
    <row r="352" spans="1:7">
      <c r="A352" s="4"/>
      <c r="B352" s="4"/>
      <c r="C352" s="4"/>
      <c r="D352" s="396"/>
      <c r="E352" s="396"/>
      <c r="F352" s="758"/>
      <c r="G352" s="759"/>
    </row>
    <row r="353" spans="1:68">
      <c r="A353" s="4"/>
      <c r="B353" s="4"/>
      <c r="C353" s="4"/>
      <c r="D353" s="396"/>
      <c r="E353" s="396"/>
      <c r="F353" s="758"/>
      <c r="G353" s="759"/>
    </row>
    <row r="354" spans="1:68">
      <c r="A354" s="4"/>
      <c r="B354" s="4"/>
      <c r="C354" s="4"/>
      <c r="D354" s="396"/>
      <c r="E354" s="396"/>
      <c r="F354" s="758"/>
      <c r="G354" s="759"/>
    </row>
    <row r="355" spans="1:68">
      <c r="A355" s="4"/>
      <c r="B355" s="4"/>
      <c r="C355" s="4"/>
      <c r="D355" s="396"/>
      <c r="E355" s="396"/>
      <c r="F355" s="758"/>
      <c r="G355" s="759"/>
    </row>
    <row r="356" spans="1:68">
      <c r="A356" s="4"/>
      <c r="B356" s="4"/>
      <c r="C356" s="4"/>
      <c r="D356" s="396"/>
      <c r="E356" s="396"/>
      <c r="F356" s="758"/>
      <c r="G356" s="759"/>
    </row>
    <row r="357" spans="1:68">
      <c r="A357" s="4"/>
      <c r="B357" s="4"/>
      <c r="C357" s="4"/>
      <c r="D357" s="396"/>
      <c r="E357" s="396"/>
      <c r="F357" s="758"/>
      <c r="G357" s="759"/>
    </row>
    <row r="358" spans="1:68">
      <c r="A358" s="4"/>
      <c r="B358" s="4"/>
      <c r="C358" s="4"/>
      <c r="D358" s="396"/>
      <c r="E358" s="396"/>
      <c r="F358" s="758"/>
      <c r="G358" s="759"/>
    </row>
    <row r="359" spans="1:68">
      <c r="A359" s="4"/>
      <c r="B359" s="4"/>
      <c r="C359" s="4"/>
      <c r="D359" s="396"/>
      <c r="E359" s="396"/>
      <c r="F359" s="758"/>
      <c r="G359" s="759"/>
    </row>
    <row r="360" spans="1:68">
      <c r="A360" s="4"/>
      <c r="B360" s="4"/>
      <c r="C360" s="4"/>
      <c r="D360" s="396"/>
      <c r="E360" s="396"/>
      <c r="F360" s="758"/>
      <c r="G360" s="759"/>
    </row>
    <row r="361" spans="1:68">
      <c r="A361" s="4"/>
      <c r="B361" s="4"/>
      <c r="C361" s="4"/>
      <c r="D361" s="396"/>
      <c r="E361" s="396"/>
      <c r="F361" s="758"/>
      <c r="G361" s="759"/>
    </row>
    <row r="362" spans="1:68">
      <c r="A362" s="4"/>
      <c r="B362" s="4"/>
      <c r="C362" s="4"/>
      <c r="D362" s="396"/>
      <c r="E362" s="396"/>
      <c r="F362" s="758"/>
      <c r="G362" s="759"/>
    </row>
    <row r="363" spans="1:68">
      <c r="A363" s="4"/>
      <c r="B363" s="4"/>
      <c r="C363" s="4"/>
      <c r="D363" s="396"/>
      <c r="E363" s="396"/>
      <c r="F363" s="758"/>
      <c r="G363" s="759"/>
    </row>
    <row r="364" spans="1:68">
      <c r="A364" s="4"/>
      <c r="B364" s="4"/>
      <c r="C364" s="4"/>
      <c r="D364" s="396"/>
      <c r="E364" s="396"/>
      <c r="F364" s="758"/>
      <c r="G364" s="759"/>
    </row>
    <row r="365" spans="1:68">
      <c r="A365" s="4"/>
      <c r="B365" s="4"/>
      <c r="C365" s="4"/>
      <c r="D365" s="396"/>
      <c r="E365" s="396"/>
      <c r="F365" s="758"/>
      <c r="G365" s="759"/>
    </row>
    <row r="366" spans="1:68">
      <c r="A366" s="4"/>
      <c r="B366" s="4"/>
      <c r="C366" s="4"/>
      <c r="D366" s="396"/>
      <c r="E366" s="396"/>
      <c r="F366" s="758"/>
      <c r="G366" s="759"/>
    </row>
    <row r="367" spans="1:68" s="17" customFormat="1">
      <c r="A367" s="4"/>
      <c r="B367" s="4"/>
      <c r="C367" s="4"/>
      <c r="D367" s="396"/>
      <c r="E367" s="396"/>
      <c r="F367" s="758"/>
      <c r="G367" s="759"/>
      <c r="H367" s="553"/>
      <c r="I367" s="14"/>
      <c r="K367" s="168"/>
      <c r="BP367" s="12"/>
    </row>
    <row r="368" spans="1:68" s="17" customFormat="1">
      <c r="A368" s="4"/>
      <c r="B368" s="4"/>
      <c r="C368" s="4"/>
      <c r="D368" s="396"/>
      <c r="E368" s="396"/>
      <c r="F368" s="758"/>
      <c r="G368" s="759"/>
      <c r="H368" s="553"/>
      <c r="I368" s="14"/>
      <c r="K368" s="168"/>
      <c r="BP368" s="12"/>
    </row>
    <row r="369" spans="1:68" s="17" customFormat="1">
      <c r="A369" s="4"/>
      <c r="B369" s="4"/>
      <c r="C369" s="4"/>
      <c r="D369" s="396"/>
      <c r="E369" s="396"/>
      <c r="F369" s="758"/>
      <c r="G369" s="759"/>
      <c r="H369" s="553"/>
      <c r="I369" s="14"/>
      <c r="K369" s="168"/>
      <c r="BP369" s="12"/>
    </row>
    <row r="370" spans="1:68" s="17" customFormat="1">
      <c r="A370" s="4"/>
      <c r="B370" s="4"/>
      <c r="C370" s="4"/>
      <c r="D370" s="396"/>
      <c r="E370" s="396"/>
      <c r="F370" s="758"/>
      <c r="G370" s="759"/>
      <c r="H370" s="553"/>
      <c r="I370" s="14"/>
      <c r="K370" s="168"/>
      <c r="BP370" s="12"/>
    </row>
    <row r="371" spans="1:68" s="17" customFormat="1">
      <c r="A371" s="4"/>
      <c r="B371" s="4"/>
      <c r="C371" s="4"/>
      <c r="D371" s="396"/>
      <c r="E371" s="396"/>
      <c r="F371" s="758"/>
      <c r="G371" s="759"/>
      <c r="H371" s="553"/>
      <c r="I371" s="14"/>
      <c r="K371" s="168"/>
      <c r="BP371" s="12"/>
    </row>
    <row r="372" spans="1:68" s="17" customFormat="1">
      <c r="A372" s="4"/>
      <c r="B372" s="4"/>
      <c r="C372" s="4"/>
      <c r="D372" s="396"/>
      <c r="E372" s="396"/>
      <c r="F372" s="758"/>
      <c r="G372" s="759"/>
      <c r="H372" s="553"/>
      <c r="I372" s="14"/>
      <c r="K372" s="168"/>
      <c r="BP372" s="12"/>
    </row>
    <row r="373" spans="1:68" s="17" customFormat="1">
      <c r="A373" s="4"/>
      <c r="B373" s="4"/>
      <c r="C373" s="4"/>
      <c r="D373" s="396"/>
      <c r="E373" s="396"/>
      <c r="F373" s="758"/>
      <c r="G373" s="759"/>
      <c r="H373" s="553"/>
      <c r="I373" s="14"/>
      <c r="K373" s="168"/>
      <c r="BP373" s="12"/>
    </row>
    <row r="374" spans="1:68" s="17" customFormat="1">
      <c r="A374" s="4"/>
      <c r="B374" s="4"/>
      <c r="C374" s="4"/>
      <c r="D374" s="396"/>
      <c r="E374" s="396"/>
      <c r="F374" s="758"/>
      <c r="G374" s="759"/>
      <c r="H374" s="553"/>
      <c r="I374" s="14"/>
      <c r="K374" s="168"/>
    </row>
    <row r="375" spans="1:68" s="17" customFormat="1">
      <c r="A375" s="4"/>
      <c r="B375" s="4"/>
      <c r="C375" s="4"/>
      <c r="D375" s="396"/>
      <c r="E375" s="396"/>
      <c r="F375" s="758"/>
      <c r="G375" s="759"/>
      <c r="H375" s="553"/>
      <c r="I375" s="14"/>
      <c r="K375" s="168"/>
    </row>
    <row r="376" spans="1:68" s="17" customFormat="1">
      <c r="A376" s="4"/>
      <c r="B376" s="4"/>
      <c r="C376" s="4"/>
      <c r="D376" s="396"/>
      <c r="E376" s="396"/>
      <c r="F376" s="758"/>
      <c r="G376" s="759"/>
      <c r="H376" s="553"/>
      <c r="I376" s="14"/>
      <c r="K376" s="168"/>
    </row>
    <row r="377" spans="1:68" s="17" customFormat="1">
      <c r="A377" s="4"/>
      <c r="B377" s="4"/>
      <c r="C377" s="4"/>
      <c r="D377" s="396"/>
      <c r="E377" s="396"/>
      <c r="F377" s="758"/>
      <c r="G377" s="759"/>
      <c r="H377" s="553"/>
      <c r="I377" s="14"/>
      <c r="K377" s="168"/>
    </row>
    <row r="378" spans="1:68" s="17" customFormat="1">
      <c r="A378" s="4"/>
      <c r="B378" s="4"/>
      <c r="C378" s="4"/>
      <c r="D378" s="396"/>
      <c r="E378" s="396"/>
      <c r="F378" s="758"/>
      <c r="G378" s="759"/>
      <c r="H378" s="553"/>
      <c r="I378" s="14"/>
      <c r="K378" s="168"/>
    </row>
    <row r="379" spans="1:68" s="17" customFormat="1">
      <c r="A379" s="4"/>
      <c r="B379" s="4"/>
      <c r="C379" s="4"/>
      <c r="D379" s="396"/>
      <c r="E379" s="396"/>
      <c r="F379" s="758"/>
      <c r="G379" s="759"/>
      <c r="H379" s="553"/>
      <c r="I379" s="14"/>
      <c r="K379" s="168"/>
    </row>
    <row r="380" spans="1:68" s="17" customFormat="1">
      <c r="A380" s="4"/>
      <c r="B380" s="4"/>
      <c r="C380" s="4"/>
      <c r="D380" s="396"/>
      <c r="E380" s="396"/>
      <c r="F380" s="758"/>
      <c r="G380" s="759"/>
      <c r="H380" s="553"/>
      <c r="I380" s="14"/>
      <c r="K380" s="168"/>
    </row>
    <row r="381" spans="1:68" s="17" customFormat="1">
      <c r="A381" s="4"/>
      <c r="B381" s="4"/>
      <c r="C381" s="4"/>
      <c r="D381" s="396"/>
      <c r="E381" s="396"/>
      <c r="F381" s="758"/>
      <c r="G381" s="759"/>
      <c r="H381" s="553"/>
      <c r="I381" s="14"/>
      <c r="K381" s="168"/>
    </row>
    <row r="382" spans="1:68" s="17" customFormat="1">
      <c r="A382" s="4"/>
      <c r="B382" s="4"/>
      <c r="C382" s="4"/>
      <c r="D382" s="396"/>
      <c r="E382" s="396"/>
      <c r="F382" s="758"/>
      <c r="G382" s="759"/>
      <c r="H382" s="553"/>
      <c r="I382" s="14"/>
      <c r="K382" s="168"/>
    </row>
    <row r="383" spans="1:68" s="17" customFormat="1">
      <c r="A383" s="4"/>
      <c r="B383" s="4"/>
      <c r="C383" s="4"/>
      <c r="D383" s="396"/>
      <c r="E383" s="396"/>
      <c r="F383" s="758"/>
      <c r="G383" s="759"/>
      <c r="H383" s="553"/>
      <c r="I383" s="14"/>
      <c r="K383" s="168"/>
      <c r="BP383" s="12"/>
    </row>
    <row r="384" spans="1:68" s="17" customFormat="1">
      <c r="A384" s="4"/>
      <c r="B384" s="4"/>
      <c r="C384" s="4"/>
      <c r="D384" s="396"/>
      <c r="E384" s="396"/>
      <c r="F384" s="758"/>
      <c r="G384" s="759"/>
      <c r="H384" s="553"/>
      <c r="I384" s="14"/>
      <c r="K384" s="168"/>
      <c r="BP384" s="12"/>
    </row>
    <row r="385" spans="1:68" s="17" customFormat="1">
      <c r="A385" s="4"/>
      <c r="B385" s="4"/>
      <c r="C385" s="4"/>
      <c r="D385" s="396"/>
      <c r="E385" s="396"/>
      <c r="F385" s="758"/>
      <c r="G385" s="759"/>
      <c r="H385" s="553"/>
      <c r="I385" s="14"/>
      <c r="K385" s="168"/>
      <c r="BP385" s="12"/>
    </row>
    <row r="386" spans="1:68" s="17" customFormat="1">
      <c r="A386" s="4"/>
      <c r="B386" s="4"/>
      <c r="C386" s="4"/>
      <c r="D386" s="396"/>
      <c r="E386" s="396"/>
      <c r="F386" s="758"/>
      <c r="G386" s="759"/>
      <c r="H386" s="553"/>
      <c r="I386" s="14"/>
      <c r="K386" s="168"/>
      <c r="BP386" s="12"/>
    </row>
    <row r="387" spans="1:68" s="17" customFormat="1">
      <c r="A387" s="4"/>
      <c r="B387" s="4"/>
      <c r="C387" s="4"/>
      <c r="D387" s="396"/>
      <c r="E387" s="396"/>
      <c r="F387" s="758"/>
      <c r="G387" s="759"/>
      <c r="H387" s="553"/>
      <c r="I387" s="14"/>
      <c r="K387" s="168"/>
      <c r="BP387" s="12"/>
    </row>
    <row r="388" spans="1:68" s="17" customFormat="1">
      <c r="A388" s="4"/>
      <c r="B388" s="4"/>
      <c r="C388" s="4"/>
      <c r="D388" s="396"/>
      <c r="E388" s="396"/>
      <c r="F388" s="758"/>
      <c r="G388" s="759"/>
      <c r="H388" s="553"/>
      <c r="I388" s="14"/>
      <c r="K388" s="168"/>
      <c r="BP388" s="12"/>
    </row>
    <row r="389" spans="1:68" s="17" customFormat="1">
      <c r="A389" s="4"/>
      <c r="B389" s="4"/>
      <c r="C389" s="4"/>
      <c r="D389" s="396"/>
      <c r="E389" s="396"/>
      <c r="F389" s="758"/>
      <c r="G389" s="759"/>
      <c r="H389" s="553"/>
      <c r="I389" s="14"/>
      <c r="K389" s="168"/>
      <c r="BP389" s="12"/>
    </row>
    <row r="390" spans="1:68" s="17" customFormat="1">
      <c r="A390" s="4"/>
      <c r="B390" s="4"/>
      <c r="C390" s="4"/>
      <c r="D390" s="396"/>
      <c r="E390" s="396"/>
      <c r="F390" s="758"/>
      <c r="G390" s="759"/>
      <c r="H390" s="553"/>
      <c r="I390" s="14"/>
      <c r="K390" s="168"/>
      <c r="BP390" s="12"/>
    </row>
    <row r="391" spans="1:68" s="17" customFormat="1">
      <c r="A391" s="4"/>
      <c r="B391" s="4"/>
      <c r="C391" s="4"/>
      <c r="D391" s="396"/>
      <c r="E391" s="396"/>
      <c r="F391" s="758"/>
      <c r="G391" s="759"/>
      <c r="H391" s="553"/>
      <c r="I391" s="14"/>
      <c r="K391" s="168"/>
      <c r="BP391" s="12"/>
    </row>
    <row r="392" spans="1:68" s="17" customFormat="1">
      <c r="A392" s="4"/>
      <c r="B392" s="4"/>
      <c r="C392" s="4"/>
      <c r="D392" s="396"/>
      <c r="E392" s="396"/>
      <c r="F392" s="758"/>
      <c r="G392" s="759"/>
      <c r="H392" s="553"/>
      <c r="I392" s="14"/>
      <c r="K392" s="168"/>
      <c r="BP392" s="12"/>
    </row>
    <row r="393" spans="1:68" s="17" customFormat="1">
      <c r="A393" s="4"/>
      <c r="B393" s="4"/>
      <c r="C393" s="4"/>
      <c r="D393" s="396"/>
      <c r="E393" s="396"/>
      <c r="F393" s="758"/>
      <c r="G393" s="759"/>
      <c r="H393" s="553"/>
      <c r="I393" s="14"/>
      <c r="K393" s="168"/>
      <c r="BP393" s="12"/>
    </row>
    <row r="394" spans="1:68" s="17" customFormat="1">
      <c r="A394" s="4"/>
      <c r="B394" s="4"/>
      <c r="C394" s="4"/>
      <c r="D394" s="396"/>
      <c r="E394" s="396"/>
      <c r="F394" s="758"/>
      <c r="G394" s="759"/>
      <c r="H394" s="553"/>
      <c r="I394" s="14"/>
      <c r="K394" s="168"/>
      <c r="BP394" s="12"/>
    </row>
    <row r="395" spans="1:68" s="17" customFormat="1">
      <c r="A395" s="4"/>
      <c r="B395" s="4"/>
      <c r="C395" s="4"/>
      <c r="D395" s="396"/>
      <c r="E395" s="396"/>
      <c r="F395" s="758"/>
      <c r="G395" s="759"/>
      <c r="H395" s="553"/>
      <c r="I395" s="14"/>
      <c r="K395" s="168"/>
      <c r="BP395" s="12"/>
    </row>
    <row r="396" spans="1:68" s="17" customFormat="1">
      <c r="A396" s="4"/>
      <c r="B396" s="4"/>
      <c r="C396" s="4"/>
      <c r="D396" s="396"/>
      <c r="E396" s="396"/>
      <c r="F396" s="758"/>
      <c r="G396" s="759"/>
      <c r="H396" s="553"/>
      <c r="I396" s="14"/>
      <c r="K396" s="168"/>
      <c r="BP396" s="12"/>
    </row>
    <row r="397" spans="1:68" s="17" customFormat="1">
      <c r="A397" s="4"/>
      <c r="B397" s="4"/>
      <c r="C397" s="4"/>
      <c r="D397" s="396"/>
      <c r="E397" s="396"/>
      <c r="F397" s="758"/>
      <c r="G397" s="759"/>
      <c r="H397" s="553"/>
      <c r="I397" s="14"/>
      <c r="K397" s="168"/>
      <c r="BP397" s="12"/>
    </row>
    <row r="398" spans="1:68" s="17" customFormat="1">
      <c r="A398" s="4"/>
      <c r="B398" s="4"/>
      <c r="C398" s="4"/>
      <c r="D398" s="396"/>
      <c r="E398" s="396"/>
      <c r="F398" s="758"/>
      <c r="G398" s="759"/>
      <c r="H398" s="553"/>
      <c r="I398" s="14"/>
      <c r="K398" s="168"/>
      <c r="BP398" s="12"/>
    </row>
    <row r="399" spans="1:68" s="17" customFormat="1">
      <c r="A399" s="4"/>
      <c r="B399" s="4"/>
      <c r="C399" s="4"/>
      <c r="D399" s="396"/>
      <c r="E399" s="396"/>
      <c r="F399" s="758"/>
      <c r="G399" s="759"/>
      <c r="H399" s="553"/>
      <c r="I399" s="14"/>
      <c r="K399" s="168"/>
      <c r="BP399" s="12"/>
    </row>
    <row r="400" spans="1:68" s="17" customFormat="1">
      <c r="A400" s="4"/>
      <c r="B400" s="4"/>
      <c r="C400" s="4"/>
      <c r="D400" s="396"/>
      <c r="E400" s="396"/>
      <c r="F400" s="758"/>
      <c r="G400" s="759"/>
      <c r="H400" s="553"/>
      <c r="I400" s="14"/>
      <c r="K400" s="168"/>
      <c r="BP400" s="12"/>
    </row>
    <row r="401" spans="1:68" s="17" customFormat="1">
      <c r="A401" s="4"/>
      <c r="B401" s="4"/>
      <c r="C401" s="4"/>
      <c r="D401" s="396"/>
      <c r="E401" s="396"/>
      <c r="F401" s="758"/>
      <c r="G401" s="759"/>
      <c r="H401" s="553"/>
      <c r="I401" s="14"/>
      <c r="K401" s="168"/>
      <c r="BP401" s="12"/>
    </row>
    <row r="402" spans="1:68" s="17" customFormat="1">
      <c r="A402" s="4"/>
      <c r="B402" s="4"/>
      <c r="C402" s="4"/>
      <c r="D402" s="396"/>
      <c r="E402" s="396"/>
      <c r="F402" s="758"/>
      <c r="G402" s="759"/>
      <c r="H402" s="553"/>
      <c r="I402" s="14"/>
      <c r="K402" s="168"/>
      <c r="BP402" s="12"/>
    </row>
    <row r="403" spans="1:68" s="17" customFormat="1">
      <c r="A403" s="4"/>
      <c r="B403" s="4"/>
      <c r="C403" s="4"/>
      <c r="D403" s="396"/>
      <c r="E403" s="396"/>
      <c r="F403" s="758"/>
      <c r="G403" s="759"/>
      <c r="H403" s="553"/>
      <c r="I403" s="14"/>
      <c r="K403" s="168"/>
      <c r="BP403" s="12"/>
    </row>
    <row r="404" spans="1:68" s="17" customFormat="1">
      <c r="A404" s="4"/>
      <c r="B404" s="4"/>
      <c r="C404" s="4"/>
      <c r="D404" s="396"/>
      <c r="E404" s="396"/>
      <c r="F404" s="758"/>
      <c r="G404" s="759"/>
      <c r="H404" s="553"/>
      <c r="I404" s="14"/>
      <c r="K404" s="168"/>
      <c r="BP404" s="12"/>
    </row>
    <row r="405" spans="1:68" s="17" customFormat="1">
      <c r="A405" s="4"/>
      <c r="B405" s="4"/>
      <c r="C405" s="4"/>
      <c r="D405" s="396"/>
      <c r="E405" s="396"/>
      <c r="F405" s="758"/>
      <c r="G405" s="759"/>
      <c r="H405" s="553"/>
      <c r="I405" s="14"/>
      <c r="K405" s="168"/>
      <c r="BP405" s="12"/>
    </row>
    <row r="406" spans="1:68" s="17" customFormat="1">
      <c r="A406" s="4"/>
      <c r="B406" s="4"/>
      <c r="C406" s="4"/>
      <c r="D406" s="396"/>
      <c r="E406" s="396"/>
      <c r="F406" s="758"/>
      <c r="G406" s="759"/>
      <c r="H406" s="553"/>
      <c r="I406" s="14"/>
      <c r="K406" s="168"/>
      <c r="BP406" s="12"/>
    </row>
    <row r="407" spans="1:68" s="17" customFormat="1">
      <c r="A407" s="4"/>
      <c r="B407" s="4"/>
      <c r="C407" s="4"/>
      <c r="D407" s="396"/>
      <c r="E407" s="396"/>
      <c r="F407" s="758"/>
      <c r="G407" s="759"/>
      <c r="H407" s="553"/>
      <c r="I407" s="14"/>
      <c r="K407" s="168"/>
      <c r="BP407" s="12"/>
    </row>
    <row r="408" spans="1:68" s="17" customFormat="1">
      <c r="A408" s="4"/>
      <c r="B408" s="4"/>
      <c r="C408" s="4"/>
      <c r="D408" s="396"/>
      <c r="E408" s="396"/>
      <c r="F408" s="758"/>
      <c r="G408" s="759"/>
      <c r="H408" s="553"/>
      <c r="I408" s="14"/>
      <c r="K408" s="168"/>
      <c r="BP408" s="12"/>
    </row>
    <row r="409" spans="1:68" s="17" customFormat="1">
      <c r="A409" s="4"/>
      <c r="B409" s="4"/>
      <c r="C409" s="4"/>
      <c r="D409" s="396"/>
      <c r="E409" s="396"/>
      <c r="F409" s="758"/>
      <c r="G409" s="759"/>
      <c r="H409" s="553"/>
      <c r="I409" s="14"/>
      <c r="K409" s="168"/>
      <c r="BP409" s="12"/>
    </row>
    <row r="410" spans="1:68" s="17" customFormat="1">
      <c r="A410" s="4"/>
      <c r="B410" s="4"/>
      <c r="C410" s="4"/>
      <c r="D410" s="396"/>
      <c r="E410" s="396"/>
      <c r="F410" s="758"/>
      <c r="G410" s="759"/>
      <c r="H410" s="553"/>
      <c r="I410" s="14"/>
      <c r="K410" s="168"/>
      <c r="BP410" s="12"/>
    </row>
    <row r="411" spans="1:68" s="17" customFormat="1">
      <c r="A411" s="4"/>
      <c r="B411" s="4"/>
      <c r="C411" s="4"/>
      <c r="D411" s="396"/>
      <c r="E411" s="396"/>
      <c r="F411" s="758"/>
      <c r="G411" s="759"/>
      <c r="H411" s="553"/>
      <c r="I411" s="14"/>
      <c r="K411" s="168"/>
      <c r="BP411" s="12"/>
    </row>
    <row r="412" spans="1:68" s="17" customFormat="1">
      <c r="A412" s="4"/>
      <c r="B412" s="4"/>
      <c r="C412" s="4"/>
      <c r="D412" s="396"/>
      <c r="E412" s="396"/>
      <c r="F412" s="758"/>
      <c r="G412" s="759"/>
      <c r="H412" s="553"/>
      <c r="I412" s="14"/>
      <c r="K412" s="168"/>
      <c r="BP412" s="12"/>
    </row>
    <row r="413" spans="1:68" s="17" customFormat="1">
      <c r="A413" s="4"/>
      <c r="B413" s="4"/>
      <c r="C413" s="4"/>
      <c r="D413" s="396"/>
      <c r="E413" s="396"/>
      <c r="F413" s="758"/>
      <c r="G413" s="759"/>
      <c r="H413" s="553"/>
      <c r="I413" s="14"/>
      <c r="K413" s="168"/>
      <c r="BP413" s="12"/>
    </row>
    <row r="414" spans="1:68" s="17" customFormat="1">
      <c r="A414" s="4"/>
      <c r="B414" s="4"/>
      <c r="C414" s="4"/>
      <c r="D414" s="396"/>
      <c r="E414" s="396"/>
      <c r="F414" s="758"/>
      <c r="G414" s="759"/>
      <c r="H414" s="553"/>
      <c r="I414" s="14"/>
      <c r="K414" s="168"/>
      <c r="BP414" s="12"/>
    </row>
    <row r="415" spans="1:68" s="17" customFormat="1">
      <c r="A415" s="4"/>
      <c r="B415" s="4"/>
      <c r="C415" s="4"/>
      <c r="D415" s="396"/>
      <c r="E415" s="396"/>
      <c r="F415" s="758"/>
      <c r="G415" s="759"/>
      <c r="H415" s="553"/>
      <c r="I415" s="14"/>
      <c r="K415" s="168"/>
      <c r="BP415" s="12"/>
    </row>
    <row r="416" spans="1:68" s="17" customFormat="1">
      <c r="A416" s="4"/>
      <c r="B416" s="4"/>
      <c r="C416" s="4"/>
      <c r="D416" s="396"/>
      <c r="E416" s="396"/>
      <c r="F416" s="758"/>
      <c r="G416" s="759"/>
      <c r="H416" s="553"/>
      <c r="I416" s="14"/>
      <c r="K416" s="168"/>
      <c r="BP416" s="12"/>
    </row>
    <row r="417" spans="1:68" s="17" customFormat="1">
      <c r="A417" s="4"/>
      <c r="B417" s="4"/>
      <c r="C417" s="4"/>
      <c r="D417" s="396"/>
      <c r="E417" s="396"/>
      <c r="F417" s="758"/>
      <c r="G417" s="759"/>
      <c r="H417" s="553"/>
      <c r="I417" s="14"/>
      <c r="K417" s="168"/>
      <c r="BP417" s="12"/>
    </row>
    <row r="418" spans="1:68" s="17" customFormat="1">
      <c r="A418" s="4"/>
      <c r="B418" s="4"/>
      <c r="C418" s="4"/>
      <c r="D418" s="396"/>
      <c r="E418" s="396"/>
      <c r="F418" s="758"/>
      <c r="G418" s="759"/>
      <c r="H418" s="553"/>
      <c r="I418" s="14"/>
      <c r="K418" s="168"/>
      <c r="BP418" s="12"/>
    </row>
    <row r="419" spans="1:68" s="17" customFormat="1">
      <c r="A419" s="4"/>
      <c r="B419" s="4"/>
      <c r="C419" s="4"/>
      <c r="D419" s="396"/>
      <c r="E419" s="396"/>
      <c r="F419" s="758"/>
      <c r="G419" s="759"/>
      <c r="H419" s="553"/>
      <c r="I419" s="14"/>
      <c r="K419" s="168"/>
      <c r="BP419" s="12"/>
    </row>
    <row r="420" spans="1:68" s="17" customFormat="1">
      <c r="A420" s="4"/>
      <c r="B420" s="4"/>
      <c r="C420" s="4"/>
      <c r="D420" s="396"/>
      <c r="E420" s="396"/>
      <c r="F420" s="758"/>
      <c r="G420" s="759"/>
      <c r="H420" s="553"/>
      <c r="I420" s="14"/>
      <c r="K420" s="168"/>
      <c r="BP420" s="12"/>
    </row>
    <row r="421" spans="1:68" s="17" customFormat="1">
      <c r="A421" s="4"/>
      <c r="B421" s="4"/>
      <c r="C421" s="4"/>
      <c r="D421" s="396"/>
      <c r="E421" s="396"/>
      <c r="F421" s="758"/>
      <c r="G421" s="759"/>
      <c r="H421" s="553"/>
      <c r="I421" s="14"/>
      <c r="K421" s="168"/>
      <c r="BP421" s="12"/>
    </row>
    <row r="422" spans="1:68" s="17" customFormat="1">
      <c r="A422" s="4"/>
      <c r="B422" s="4"/>
      <c r="C422" s="4"/>
      <c r="D422" s="396"/>
      <c r="E422" s="396"/>
      <c r="F422" s="758"/>
      <c r="G422" s="759"/>
      <c r="H422" s="553"/>
      <c r="I422" s="14"/>
      <c r="K422" s="168"/>
      <c r="BP422" s="12"/>
    </row>
    <row r="423" spans="1:68" s="17" customFormat="1">
      <c r="A423" s="4"/>
      <c r="B423" s="4"/>
      <c r="C423" s="4"/>
      <c r="D423" s="396"/>
      <c r="E423" s="396"/>
      <c r="F423" s="758"/>
      <c r="G423" s="759"/>
      <c r="H423" s="553"/>
      <c r="I423" s="14"/>
      <c r="K423" s="168"/>
      <c r="BP423" s="12"/>
    </row>
    <row r="424" spans="1:68" s="17" customFormat="1">
      <c r="A424" s="4"/>
      <c r="B424" s="4"/>
      <c r="C424" s="4"/>
      <c r="D424" s="396"/>
      <c r="E424" s="396"/>
      <c r="F424" s="758"/>
      <c r="G424" s="759"/>
      <c r="H424" s="553"/>
      <c r="I424" s="14"/>
      <c r="K424" s="168"/>
      <c r="BP424" s="12"/>
    </row>
    <row r="425" spans="1:68" s="17" customFormat="1">
      <c r="A425" s="4"/>
      <c r="B425" s="4"/>
      <c r="C425" s="4"/>
      <c r="D425" s="396"/>
      <c r="E425" s="396"/>
      <c r="F425" s="758"/>
      <c r="G425" s="759"/>
      <c r="H425" s="553"/>
      <c r="I425" s="14"/>
      <c r="K425" s="168"/>
      <c r="BP425" s="12"/>
    </row>
    <row r="426" spans="1:68" s="17" customFormat="1">
      <c r="A426" s="4"/>
      <c r="B426" s="4"/>
      <c r="C426" s="4"/>
      <c r="D426" s="396"/>
      <c r="E426" s="396"/>
      <c r="F426" s="758"/>
      <c r="G426" s="759"/>
      <c r="H426" s="553"/>
      <c r="I426" s="14"/>
      <c r="K426" s="168"/>
      <c r="BP426" s="12"/>
    </row>
    <row r="427" spans="1:68" s="17" customFormat="1">
      <c r="A427" s="4"/>
      <c r="B427" s="4"/>
      <c r="C427" s="4"/>
      <c r="D427" s="396"/>
      <c r="E427" s="396"/>
      <c r="F427" s="758"/>
      <c r="G427" s="759"/>
      <c r="H427" s="553"/>
      <c r="I427" s="14"/>
      <c r="K427" s="168"/>
      <c r="BP427" s="12"/>
    </row>
    <row r="428" spans="1:68" s="17" customFormat="1">
      <c r="A428" s="4"/>
      <c r="B428" s="4"/>
      <c r="C428" s="4"/>
      <c r="D428" s="396"/>
      <c r="E428" s="396"/>
      <c r="F428" s="758"/>
      <c r="G428" s="759"/>
      <c r="H428" s="553"/>
      <c r="I428" s="14"/>
      <c r="K428" s="168"/>
      <c r="BP428" s="12"/>
    </row>
    <row r="429" spans="1:68" s="17" customFormat="1">
      <c r="A429" s="4"/>
      <c r="B429" s="4"/>
      <c r="C429" s="4"/>
      <c r="D429" s="396"/>
      <c r="E429" s="396"/>
      <c r="F429" s="758"/>
      <c r="G429" s="759"/>
      <c r="H429" s="553"/>
      <c r="I429" s="14"/>
      <c r="K429" s="168"/>
      <c r="BP429" s="12"/>
    </row>
    <row r="430" spans="1:68" s="17" customFormat="1">
      <c r="A430" s="4"/>
      <c r="B430" s="4"/>
      <c r="C430" s="4"/>
      <c r="D430" s="396"/>
      <c r="E430" s="396"/>
      <c r="F430" s="758"/>
      <c r="G430" s="759"/>
      <c r="H430" s="553"/>
      <c r="I430" s="14"/>
      <c r="K430" s="168"/>
      <c r="BP430" s="12"/>
    </row>
    <row r="431" spans="1:68" s="17" customFormat="1">
      <c r="A431" s="4"/>
      <c r="B431" s="4"/>
      <c r="C431" s="4"/>
      <c r="D431" s="396"/>
      <c r="E431" s="396"/>
      <c r="F431" s="758"/>
      <c r="G431" s="759"/>
      <c r="H431" s="553"/>
      <c r="I431" s="14"/>
      <c r="K431" s="168"/>
      <c r="BP431" s="12"/>
    </row>
    <row r="432" spans="1:68" s="17" customFormat="1">
      <c r="A432" s="4"/>
      <c r="B432" s="4"/>
      <c r="C432" s="4"/>
      <c r="D432" s="396"/>
      <c r="E432" s="396"/>
      <c r="F432" s="758"/>
      <c r="G432" s="759"/>
      <c r="H432" s="553"/>
      <c r="I432" s="14"/>
      <c r="K432" s="168"/>
      <c r="BP432" s="12"/>
    </row>
    <row r="433" spans="1:68" s="17" customFormat="1">
      <c r="A433" s="4"/>
      <c r="B433" s="4"/>
      <c r="C433" s="4"/>
      <c r="D433" s="396"/>
      <c r="E433" s="396"/>
      <c r="F433" s="758"/>
      <c r="G433" s="759"/>
      <c r="H433" s="553"/>
      <c r="I433" s="14"/>
      <c r="K433" s="168"/>
      <c r="BP433" s="12"/>
    </row>
    <row r="434" spans="1:68" s="17" customFormat="1">
      <c r="A434" s="4"/>
      <c r="B434" s="4"/>
      <c r="C434" s="4"/>
      <c r="D434" s="396"/>
      <c r="E434" s="396"/>
      <c r="F434" s="758"/>
      <c r="G434" s="759"/>
      <c r="H434" s="553"/>
      <c r="I434" s="14"/>
      <c r="K434" s="168"/>
      <c r="BP434" s="12"/>
    </row>
    <row r="435" spans="1:68" s="17" customFormat="1">
      <c r="A435" s="4"/>
      <c r="B435" s="4"/>
      <c r="C435" s="4"/>
      <c r="D435" s="396"/>
      <c r="E435" s="396"/>
      <c r="F435" s="758"/>
      <c r="G435" s="759"/>
      <c r="H435" s="553"/>
      <c r="I435" s="14"/>
      <c r="K435" s="168"/>
      <c r="BP435" s="12"/>
    </row>
    <row r="436" spans="1:68" s="17" customFormat="1">
      <c r="A436" s="4"/>
      <c r="B436" s="4"/>
      <c r="C436" s="4"/>
      <c r="D436" s="396"/>
      <c r="E436" s="396"/>
      <c r="F436" s="758"/>
      <c r="G436" s="759"/>
      <c r="H436" s="553"/>
      <c r="I436" s="14"/>
      <c r="K436" s="168"/>
      <c r="BP436" s="12"/>
    </row>
    <row r="437" spans="1:68" s="17" customFormat="1">
      <c r="A437" s="4"/>
      <c r="B437" s="4"/>
      <c r="C437" s="4"/>
      <c r="D437" s="396"/>
      <c r="E437" s="396"/>
      <c r="F437" s="758"/>
      <c r="G437" s="759"/>
      <c r="H437" s="553"/>
      <c r="I437" s="14"/>
      <c r="K437" s="168"/>
      <c r="BP437" s="12"/>
    </row>
    <row r="438" spans="1:68" s="17" customFormat="1">
      <c r="A438" s="4"/>
      <c r="B438" s="4"/>
      <c r="C438" s="4"/>
      <c r="D438" s="396"/>
      <c r="E438" s="396"/>
      <c r="F438" s="758"/>
      <c r="G438" s="759"/>
      <c r="H438" s="553"/>
      <c r="I438" s="14"/>
      <c r="K438" s="168"/>
      <c r="BP438" s="12"/>
    </row>
    <row r="439" spans="1:68" s="17" customFormat="1">
      <c r="A439" s="4"/>
      <c r="B439" s="4"/>
      <c r="C439" s="4"/>
      <c r="D439" s="396"/>
      <c r="E439" s="396"/>
      <c r="F439" s="758"/>
      <c r="G439" s="759"/>
      <c r="H439" s="553"/>
      <c r="I439" s="14"/>
      <c r="K439" s="168"/>
      <c r="BP439" s="12"/>
    </row>
    <row r="440" spans="1:68" s="17" customFormat="1">
      <c r="A440" s="4"/>
      <c r="B440" s="4"/>
      <c r="C440" s="4"/>
      <c r="D440" s="396"/>
      <c r="E440" s="396"/>
      <c r="F440" s="758"/>
      <c r="G440" s="759"/>
      <c r="H440" s="553"/>
      <c r="I440" s="14"/>
      <c r="K440" s="168"/>
      <c r="BP440" s="12"/>
    </row>
    <row r="441" spans="1:68" s="17" customFormat="1">
      <c r="A441" s="4"/>
      <c r="B441" s="4"/>
      <c r="C441" s="4"/>
      <c r="D441" s="396"/>
      <c r="E441" s="396"/>
      <c r="F441" s="758"/>
      <c r="G441" s="759"/>
      <c r="H441" s="553"/>
      <c r="I441" s="14"/>
      <c r="K441" s="168"/>
      <c r="BP441" s="12"/>
    </row>
    <row r="442" spans="1:68" s="17" customFormat="1">
      <c r="A442" s="4"/>
      <c r="B442" s="4"/>
      <c r="C442" s="4"/>
      <c r="D442" s="396"/>
      <c r="E442" s="396"/>
      <c r="F442" s="758"/>
      <c r="G442" s="759"/>
      <c r="H442" s="553"/>
      <c r="I442" s="14"/>
      <c r="K442" s="168"/>
      <c r="BP442" s="12"/>
    </row>
    <row r="443" spans="1:68" s="17" customFormat="1">
      <c r="A443" s="4"/>
      <c r="B443" s="4"/>
      <c r="C443" s="4"/>
      <c r="D443" s="396"/>
      <c r="E443" s="396"/>
      <c r="F443" s="758"/>
      <c r="G443" s="759"/>
      <c r="H443" s="553"/>
      <c r="I443" s="14"/>
      <c r="K443" s="168"/>
      <c r="BP443" s="12"/>
    </row>
    <row r="444" spans="1:68" s="17" customFormat="1">
      <c r="A444" s="4"/>
      <c r="B444" s="4"/>
      <c r="C444" s="4"/>
      <c r="D444" s="396"/>
      <c r="E444" s="396"/>
      <c r="F444" s="758"/>
      <c r="G444" s="759"/>
      <c r="H444" s="553"/>
      <c r="I444" s="14"/>
      <c r="K444" s="168"/>
      <c r="BP444" s="12"/>
    </row>
    <row r="445" spans="1:68" s="17" customFormat="1">
      <c r="A445" s="4"/>
      <c r="B445" s="4"/>
      <c r="C445" s="4"/>
      <c r="D445" s="396"/>
      <c r="E445" s="396"/>
      <c r="F445" s="758"/>
      <c r="G445" s="759"/>
      <c r="H445" s="553"/>
      <c r="I445" s="14"/>
      <c r="K445" s="168"/>
      <c r="BP445" s="12"/>
    </row>
    <row r="446" spans="1:68" s="17" customFormat="1">
      <c r="A446" s="4"/>
      <c r="B446" s="4"/>
      <c r="C446" s="4"/>
      <c r="D446" s="396"/>
      <c r="E446" s="396"/>
      <c r="F446" s="758"/>
      <c r="G446" s="759"/>
      <c r="H446" s="553"/>
      <c r="I446" s="14"/>
      <c r="K446" s="168"/>
      <c r="BP446" s="12"/>
    </row>
    <row r="447" spans="1:68" s="17" customFormat="1">
      <c r="A447" s="4"/>
      <c r="B447" s="4"/>
      <c r="C447" s="4"/>
      <c r="D447" s="396"/>
      <c r="E447" s="396"/>
      <c r="F447" s="758"/>
      <c r="G447" s="759"/>
      <c r="H447" s="553"/>
      <c r="I447" s="14"/>
      <c r="K447" s="168"/>
      <c r="BP447" s="12"/>
    </row>
    <row r="448" spans="1:68" s="17" customFormat="1">
      <c r="A448" s="4"/>
      <c r="B448" s="4"/>
      <c r="C448" s="4"/>
      <c r="D448" s="396"/>
      <c r="E448" s="396"/>
      <c r="F448" s="758"/>
      <c r="G448" s="759"/>
      <c r="H448" s="553"/>
      <c r="I448" s="14"/>
      <c r="K448" s="168"/>
      <c r="BP448" s="12"/>
    </row>
    <row r="449" spans="1:68" s="17" customFormat="1">
      <c r="A449" s="4"/>
      <c r="B449" s="4"/>
      <c r="C449" s="4"/>
      <c r="D449" s="396"/>
      <c r="E449" s="396"/>
      <c r="F449" s="758"/>
      <c r="G449" s="759"/>
      <c r="H449" s="553"/>
      <c r="I449" s="14"/>
      <c r="K449" s="168"/>
      <c r="BP449" s="12"/>
    </row>
    <row r="450" spans="1:68" s="17" customFormat="1">
      <c r="A450" s="4"/>
      <c r="B450" s="4"/>
      <c r="C450" s="4"/>
      <c r="D450" s="396"/>
      <c r="E450" s="396"/>
      <c r="F450" s="758"/>
      <c r="G450" s="759"/>
      <c r="H450" s="553"/>
      <c r="I450" s="14"/>
      <c r="K450" s="168"/>
      <c r="BP450" s="12"/>
    </row>
    <row r="451" spans="1:68" s="17" customFormat="1">
      <c r="A451" s="4"/>
      <c r="B451" s="4"/>
      <c r="C451" s="4"/>
      <c r="D451" s="396"/>
      <c r="E451" s="396"/>
      <c r="F451" s="758"/>
      <c r="G451" s="759"/>
      <c r="H451" s="553"/>
      <c r="I451" s="14"/>
      <c r="K451" s="168"/>
      <c r="BP451" s="12"/>
    </row>
    <row r="452" spans="1:68" s="17" customFormat="1">
      <c r="A452" s="4"/>
      <c r="B452" s="4"/>
      <c r="C452" s="4"/>
      <c r="D452" s="396"/>
      <c r="E452" s="396"/>
      <c r="F452" s="758"/>
      <c r="G452" s="759"/>
      <c r="H452" s="553"/>
      <c r="I452" s="14"/>
      <c r="K452" s="168"/>
      <c r="BP452" s="12"/>
    </row>
    <row r="453" spans="1:68" s="17" customFormat="1">
      <c r="A453" s="4"/>
      <c r="B453" s="4"/>
      <c r="C453" s="4"/>
      <c r="D453" s="396"/>
      <c r="E453" s="396"/>
      <c r="F453" s="758"/>
      <c r="G453" s="759"/>
      <c r="H453" s="553"/>
      <c r="I453" s="14"/>
      <c r="K453" s="168"/>
      <c r="BP453" s="12"/>
    </row>
    <row r="454" spans="1:68" s="17" customFormat="1">
      <c r="A454" s="4"/>
      <c r="B454" s="4"/>
      <c r="C454" s="4"/>
      <c r="D454" s="396"/>
      <c r="E454" s="396"/>
      <c r="F454" s="758"/>
      <c r="G454" s="759"/>
      <c r="H454" s="553"/>
      <c r="I454" s="14"/>
      <c r="K454" s="168"/>
      <c r="BP454" s="12"/>
    </row>
    <row r="455" spans="1:68" s="17" customFormat="1">
      <c r="A455" s="4"/>
      <c r="B455" s="4"/>
      <c r="C455" s="4"/>
      <c r="D455" s="396"/>
      <c r="E455" s="396"/>
      <c r="F455" s="758"/>
      <c r="G455" s="759"/>
      <c r="H455" s="553"/>
      <c r="I455" s="14"/>
      <c r="K455" s="168"/>
      <c r="BP455" s="12"/>
    </row>
    <row r="456" spans="1:68" s="17" customFormat="1">
      <c r="A456" s="4"/>
      <c r="B456" s="4"/>
      <c r="C456" s="4"/>
      <c r="D456" s="396"/>
      <c r="E456" s="396"/>
      <c r="F456" s="758"/>
      <c r="G456" s="759"/>
      <c r="H456" s="553"/>
      <c r="I456" s="14"/>
      <c r="K456" s="168"/>
      <c r="BP456" s="12"/>
    </row>
    <row r="457" spans="1:68" s="17" customFormat="1">
      <c r="A457" s="4"/>
      <c r="B457" s="4"/>
      <c r="C457" s="4"/>
      <c r="D457" s="396"/>
      <c r="E457" s="396"/>
      <c r="F457" s="758"/>
      <c r="G457" s="759"/>
      <c r="H457" s="553"/>
      <c r="I457" s="14"/>
      <c r="K457" s="168"/>
      <c r="BP457" s="12"/>
    </row>
    <row r="458" spans="1:68" s="17" customFormat="1">
      <c r="A458" s="4"/>
      <c r="B458" s="4"/>
      <c r="C458" s="4"/>
      <c r="D458" s="396"/>
      <c r="E458" s="396"/>
      <c r="F458" s="758"/>
      <c r="G458" s="759"/>
      <c r="H458" s="553"/>
      <c r="I458" s="14"/>
      <c r="K458" s="168"/>
      <c r="BP458" s="12"/>
    </row>
    <row r="459" spans="1:68" s="17" customFormat="1">
      <c r="A459" s="4"/>
      <c r="B459" s="4"/>
      <c r="C459" s="4"/>
      <c r="D459" s="396"/>
      <c r="E459" s="396"/>
      <c r="F459" s="758"/>
      <c r="G459" s="759"/>
      <c r="H459" s="553"/>
      <c r="I459" s="14"/>
      <c r="K459" s="168"/>
      <c r="BP459" s="12"/>
    </row>
    <row r="460" spans="1:68" s="17" customFormat="1">
      <c r="A460" s="4"/>
      <c r="B460" s="4"/>
      <c r="C460" s="4"/>
      <c r="D460" s="396"/>
      <c r="E460" s="396"/>
      <c r="F460" s="758"/>
      <c r="G460" s="759"/>
      <c r="H460" s="553"/>
      <c r="I460" s="14"/>
      <c r="K460" s="168"/>
      <c r="BP460" s="12"/>
    </row>
    <row r="461" spans="1:68" s="17" customFormat="1">
      <c r="A461" s="4"/>
      <c r="B461" s="4"/>
      <c r="C461" s="4"/>
      <c r="D461" s="396"/>
      <c r="E461" s="396"/>
      <c r="F461" s="758"/>
      <c r="G461" s="759"/>
      <c r="H461" s="553"/>
      <c r="I461" s="14"/>
      <c r="K461" s="168"/>
      <c r="BP461" s="12"/>
    </row>
    <row r="462" spans="1:68" s="17" customFormat="1">
      <c r="A462" s="4"/>
      <c r="B462" s="4"/>
      <c r="C462" s="4"/>
      <c r="D462" s="396"/>
      <c r="E462" s="396"/>
      <c r="F462" s="758"/>
      <c r="G462" s="759"/>
      <c r="H462" s="553"/>
      <c r="I462" s="14"/>
      <c r="K462" s="168"/>
      <c r="BP462" s="12"/>
    </row>
    <row r="463" spans="1:68" s="17" customFormat="1">
      <c r="A463" s="4"/>
      <c r="B463" s="4"/>
      <c r="C463" s="4"/>
      <c r="D463" s="396"/>
      <c r="E463" s="396"/>
      <c r="F463" s="758"/>
      <c r="G463" s="759"/>
      <c r="H463" s="553"/>
      <c r="I463" s="14"/>
      <c r="K463" s="168"/>
      <c r="BP463" s="12"/>
    </row>
    <row r="464" spans="1:68" s="17" customFormat="1">
      <c r="A464" s="4"/>
      <c r="B464" s="4"/>
      <c r="C464" s="4"/>
      <c r="D464" s="396"/>
      <c r="E464" s="396"/>
      <c r="F464" s="758"/>
      <c r="G464" s="759"/>
      <c r="H464" s="553"/>
      <c r="I464" s="14"/>
      <c r="K464" s="168"/>
      <c r="BP464" s="12"/>
    </row>
    <row r="465" spans="1:68" s="17" customFormat="1">
      <c r="A465" s="4"/>
      <c r="B465" s="4"/>
      <c r="C465" s="4"/>
      <c r="D465" s="396"/>
      <c r="E465" s="396"/>
      <c r="F465" s="758"/>
      <c r="G465" s="759"/>
      <c r="H465" s="553"/>
      <c r="I465" s="14"/>
      <c r="K465" s="168"/>
      <c r="BP465" s="12"/>
    </row>
    <row r="466" spans="1:68" s="17" customFormat="1">
      <c r="A466" s="4"/>
      <c r="B466" s="4"/>
      <c r="C466" s="4"/>
      <c r="D466" s="396"/>
      <c r="E466" s="396"/>
      <c r="F466" s="758"/>
      <c r="G466" s="759"/>
      <c r="H466" s="553"/>
      <c r="I466" s="14"/>
      <c r="K466" s="168"/>
      <c r="BP466" s="12"/>
    </row>
    <row r="467" spans="1:68" s="17" customFormat="1">
      <c r="A467" s="4"/>
      <c r="B467" s="4"/>
      <c r="C467" s="4"/>
      <c r="D467" s="396"/>
      <c r="E467" s="396"/>
      <c r="F467" s="758"/>
      <c r="G467" s="759"/>
      <c r="H467" s="553"/>
      <c r="I467" s="14"/>
      <c r="K467" s="168"/>
      <c r="BP467" s="12"/>
    </row>
    <row r="468" spans="1:68" s="17" customFormat="1">
      <c r="A468" s="4"/>
      <c r="B468" s="4"/>
      <c r="C468" s="4"/>
      <c r="D468" s="396"/>
      <c r="E468" s="396"/>
      <c r="F468" s="758"/>
      <c r="G468" s="759"/>
      <c r="H468" s="553"/>
      <c r="I468" s="14"/>
      <c r="K468" s="168"/>
      <c r="BP468" s="12"/>
    </row>
    <row r="469" spans="1:68" s="17" customFormat="1">
      <c r="A469" s="4"/>
      <c r="B469" s="4"/>
      <c r="C469" s="4"/>
      <c r="D469" s="396"/>
      <c r="E469" s="396"/>
      <c r="F469" s="758"/>
      <c r="G469" s="759"/>
      <c r="H469" s="553"/>
      <c r="I469" s="14"/>
      <c r="K469" s="168"/>
      <c r="BP469" s="12"/>
    </row>
    <row r="470" spans="1:68" s="17" customFormat="1">
      <c r="A470" s="4"/>
      <c r="B470" s="4"/>
      <c r="C470" s="4"/>
      <c r="D470" s="396"/>
      <c r="E470" s="396"/>
      <c r="F470" s="758"/>
      <c r="G470" s="759"/>
      <c r="H470" s="553"/>
      <c r="I470" s="14"/>
      <c r="K470" s="168"/>
      <c r="BP470" s="12"/>
    </row>
    <row r="471" spans="1:68" s="17" customFormat="1">
      <c r="A471" s="4"/>
      <c r="B471" s="4"/>
      <c r="C471" s="4"/>
      <c r="D471" s="396"/>
      <c r="E471" s="396"/>
      <c r="F471" s="758"/>
      <c r="G471" s="759"/>
      <c r="H471" s="553"/>
      <c r="I471" s="14"/>
      <c r="K471" s="168"/>
      <c r="BP471" s="12"/>
    </row>
    <row r="472" spans="1:68" s="17" customFormat="1">
      <c r="A472" s="4"/>
      <c r="B472" s="4"/>
      <c r="C472" s="4"/>
      <c r="D472" s="396"/>
      <c r="E472" s="396"/>
      <c r="F472" s="758"/>
      <c r="G472" s="759"/>
      <c r="H472" s="553"/>
      <c r="I472" s="14"/>
      <c r="K472" s="168"/>
      <c r="BP472" s="12"/>
    </row>
    <row r="473" spans="1:68" s="17" customFormat="1">
      <c r="A473" s="4"/>
      <c r="B473" s="4"/>
      <c r="C473" s="4"/>
      <c r="D473" s="396"/>
      <c r="E473" s="396"/>
      <c r="F473" s="758"/>
      <c r="G473" s="759"/>
      <c r="H473" s="553"/>
      <c r="I473" s="14"/>
      <c r="K473" s="168"/>
      <c r="BP473" s="12"/>
    </row>
    <row r="474" spans="1:68" s="17" customFormat="1">
      <c r="A474" s="4"/>
      <c r="B474" s="4"/>
      <c r="C474" s="4"/>
      <c r="D474" s="396"/>
      <c r="E474" s="396"/>
      <c r="F474" s="758"/>
      <c r="G474" s="759"/>
      <c r="H474" s="553"/>
      <c r="I474" s="14"/>
      <c r="K474" s="168"/>
      <c r="BP474" s="12"/>
    </row>
    <row r="475" spans="1:68" s="17" customFormat="1">
      <c r="A475" s="4"/>
      <c r="B475" s="4"/>
      <c r="C475" s="4"/>
      <c r="D475" s="396"/>
      <c r="E475" s="396"/>
      <c r="F475" s="758"/>
      <c r="G475" s="759"/>
      <c r="H475" s="553"/>
      <c r="I475" s="14"/>
      <c r="K475" s="168"/>
      <c r="BP475" s="12"/>
    </row>
    <row r="476" spans="1:68" s="17" customFormat="1">
      <c r="A476" s="4"/>
      <c r="B476" s="4"/>
      <c r="C476" s="4"/>
      <c r="D476" s="396"/>
      <c r="E476" s="396"/>
      <c r="F476" s="758"/>
      <c r="G476" s="759"/>
      <c r="H476" s="553"/>
      <c r="I476" s="14"/>
      <c r="K476" s="168"/>
      <c r="BP476" s="12"/>
    </row>
    <row r="477" spans="1:68" s="17" customFormat="1">
      <c r="A477" s="4"/>
      <c r="B477" s="4"/>
      <c r="C477" s="4"/>
      <c r="D477" s="396"/>
      <c r="E477" s="396"/>
      <c r="F477" s="758"/>
      <c r="G477" s="759"/>
      <c r="H477" s="553"/>
      <c r="I477" s="14"/>
      <c r="K477" s="168"/>
      <c r="BP477" s="12"/>
    </row>
    <row r="478" spans="1:68" s="17" customFormat="1">
      <c r="A478" s="4"/>
      <c r="B478" s="4"/>
      <c r="C478" s="4"/>
      <c r="D478" s="396"/>
      <c r="E478" s="396"/>
      <c r="F478" s="758"/>
      <c r="G478" s="759"/>
      <c r="H478" s="553"/>
      <c r="I478" s="14"/>
      <c r="K478" s="168"/>
      <c r="BP478" s="12"/>
    </row>
    <row r="479" spans="1:68" s="17" customFormat="1">
      <c r="A479" s="4"/>
      <c r="B479" s="4"/>
      <c r="C479" s="4"/>
      <c r="D479" s="396"/>
      <c r="E479" s="396"/>
      <c r="F479" s="758"/>
      <c r="G479" s="759"/>
      <c r="H479" s="553"/>
      <c r="I479" s="14"/>
      <c r="K479" s="168"/>
      <c r="BP479" s="12"/>
    </row>
    <row r="480" spans="1:68" s="17" customFormat="1">
      <c r="A480" s="4"/>
      <c r="B480" s="4"/>
      <c r="C480" s="4"/>
      <c r="D480" s="396"/>
      <c r="E480" s="396"/>
      <c r="F480" s="758"/>
      <c r="G480" s="759"/>
      <c r="H480" s="553"/>
      <c r="I480" s="14"/>
      <c r="K480" s="168"/>
      <c r="BP480" s="12"/>
    </row>
    <row r="481" spans="1:68" s="17" customFormat="1">
      <c r="A481" s="4"/>
      <c r="B481" s="4"/>
      <c r="C481" s="4"/>
      <c r="D481" s="396"/>
      <c r="E481" s="396"/>
      <c r="F481" s="758"/>
      <c r="G481" s="759"/>
      <c r="H481" s="553"/>
      <c r="I481" s="14"/>
      <c r="K481" s="168"/>
      <c r="BP481" s="12"/>
    </row>
    <row r="482" spans="1:68" s="17" customFormat="1">
      <c r="A482" s="4"/>
      <c r="B482" s="4"/>
      <c r="C482" s="4"/>
      <c r="D482" s="396"/>
      <c r="E482" s="396"/>
      <c r="F482" s="758"/>
      <c r="G482" s="759"/>
      <c r="H482" s="553"/>
      <c r="I482" s="14"/>
      <c r="K482" s="168"/>
      <c r="BP482" s="12"/>
    </row>
    <row r="483" spans="1:68" s="17" customFormat="1">
      <c r="A483" s="4"/>
      <c r="B483" s="4"/>
      <c r="C483" s="4"/>
      <c r="D483" s="396"/>
      <c r="E483" s="396"/>
      <c r="F483" s="758"/>
      <c r="G483" s="759"/>
      <c r="H483" s="553"/>
      <c r="I483" s="14"/>
      <c r="K483" s="168"/>
      <c r="BP483" s="12"/>
    </row>
    <row r="484" spans="1:68" s="17" customFormat="1">
      <c r="A484" s="4"/>
      <c r="B484" s="4"/>
      <c r="C484" s="4"/>
      <c r="D484" s="396"/>
      <c r="E484" s="396"/>
      <c r="F484" s="758"/>
      <c r="G484" s="759"/>
      <c r="H484" s="553"/>
      <c r="I484" s="14"/>
      <c r="K484" s="168"/>
      <c r="BP484" s="12"/>
    </row>
    <row r="485" spans="1:68" s="17" customFormat="1">
      <c r="A485" s="4"/>
      <c r="B485" s="4"/>
      <c r="C485" s="4"/>
      <c r="D485" s="396"/>
      <c r="E485" s="396"/>
      <c r="F485" s="758"/>
      <c r="G485" s="759"/>
      <c r="H485" s="553"/>
      <c r="I485" s="14"/>
      <c r="K485" s="168"/>
      <c r="BP485" s="12"/>
    </row>
    <row r="486" spans="1:68" s="17" customFormat="1">
      <c r="A486" s="4"/>
      <c r="B486" s="4"/>
      <c r="C486" s="4"/>
      <c r="D486" s="396"/>
      <c r="E486" s="396"/>
      <c r="F486" s="758"/>
      <c r="G486" s="759"/>
      <c r="H486" s="553"/>
      <c r="I486" s="14"/>
      <c r="K486" s="168"/>
      <c r="BP486" s="12"/>
    </row>
    <row r="487" spans="1:68" s="17" customFormat="1">
      <c r="A487" s="4"/>
      <c r="B487" s="4"/>
      <c r="C487" s="4"/>
      <c r="D487" s="396"/>
      <c r="E487" s="396"/>
      <c r="F487" s="758"/>
      <c r="G487" s="759"/>
      <c r="H487" s="553"/>
      <c r="I487" s="14"/>
      <c r="K487" s="168"/>
      <c r="BP487" s="12"/>
    </row>
    <row r="488" spans="1:68" s="17" customFormat="1">
      <c r="A488" s="4"/>
      <c r="B488" s="4"/>
      <c r="C488" s="4"/>
      <c r="D488" s="396"/>
      <c r="E488" s="396"/>
      <c r="F488" s="758"/>
      <c r="G488" s="759"/>
      <c r="H488" s="553"/>
      <c r="I488" s="14"/>
      <c r="K488" s="168"/>
      <c r="BP488" s="12"/>
    </row>
    <row r="489" spans="1:68" s="17" customFormat="1">
      <c r="A489" s="4"/>
      <c r="B489" s="4"/>
      <c r="C489" s="4"/>
      <c r="D489" s="396"/>
      <c r="E489" s="396"/>
      <c r="F489" s="758"/>
      <c r="G489" s="759"/>
      <c r="H489" s="553"/>
      <c r="I489" s="14"/>
      <c r="K489" s="168"/>
      <c r="BP489" s="12"/>
    </row>
    <row r="490" spans="1:68" s="17" customFormat="1">
      <c r="A490" s="4"/>
      <c r="B490" s="4"/>
      <c r="C490" s="4"/>
      <c r="D490" s="396"/>
      <c r="E490" s="396"/>
      <c r="F490" s="758"/>
      <c r="G490" s="759"/>
      <c r="H490" s="553"/>
      <c r="I490" s="14"/>
      <c r="K490" s="168"/>
      <c r="BP490" s="12"/>
    </row>
    <row r="491" spans="1:68" s="17" customFormat="1">
      <c r="A491" s="4"/>
      <c r="B491" s="4"/>
      <c r="C491" s="4"/>
      <c r="D491" s="396"/>
      <c r="E491" s="396"/>
      <c r="F491" s="758"/>
      <c r="G491" s="759"/>
      <c r="H491" s="553"/>
      <c r="I491" s="14"/>
      <c r="K491" s="168"/>
      <c r="BP491" s="12"/>
    </row>
    <row r="492" spans="1:68" s="17" customFormat="1">
      <c r="A492" s="4"/>
      <c r="B492" s="4"/>
      <c r="C492" s="4"/>
      <c r="D492" s="396"/>
      <c r="E492" s="396"/>
      <c r="F492" s="758"/>
      <c r="G492" s="759"/>
      <c r="H492" s="553"/>
      <c r="I492" s="14"/>
      <c r="K492" s="168"/>
      <c r="BP492" s="12"/>
    </row>
    <row r="493" spans="1:68" s="17" customFormat="1">
      <c r="A493" s="4"/>
      <c r="B493" s="4"/>
      <c r="C493" s="4"/>
      <c r="D493" s="396"/>
      <c r="E493" s="396"/>
      <c r="F493" s="758"/>
      <c r="G493" s="759"/>
      <c r="H493" s="553"/>
      <c r="I493" s="14"/>
      <c r="K493" s="168"/>
      <c r="BP493" s="12"/>
    </row>
    <row r="494" spans="1:68" s="17" customFormat="1">
      <c r="A494" s="4"/>
      <c r="B494" s="4"/>
      <c r="C494" s="4"/>
      <c r="D494" s="396"/>
      <c r="E494" s="396"/>
      <c r="F494" s="758"/>
      <c r="G494" s="759"/>
      <c r="H494" s="553"/>
      <c r="I494" s="14"/>
      <c r="K494" s="168"/>
      <c r="BP494" s="12"/>
    </row>
    <row r="495" spans="1:68" s="17" customFormat="1">
      <c r="A495" s="4"/>
      <c r="B495" s="4"/>
      <c r="C495" s="4"/>
      <c r="D495" s="396"/>
      <c r="E495" s="396"/>
      <c r="F495" s="758"/>
      <c r="G495" s="759"/>
      <c r="H495" s="553"/>
      <c r="I495" s="14"/>
      <c r="K495" s="168"/>
      <c r="BP495" s="12"/>
    </row>
    <row r="496" spans="1:68" s="17" customFormat="1">
      <c r="A496" s="4"/>
      <c r="B496" s="4"/>
      <c r="C496" s="4"/>
      <c r="D496" s="396"/>
      <c r="E496" s="396"/>
      <c r="F496" s="758"/>
      <c r="G496" s="759"/>
      <c r="H496" s="553"/>
      <c r="I496" s="14"/>
      <c r="K496" s="168"/>
      <c r="BP496" s="12"/>
    </row>
    <row r="497" spans="1:68" s="17" customFormat="1">
      <c r="A497" s="4"/>
      <c r="B497" s="4"/>
      <c r="C497" s="4"/>
      <c r="D497" s="396"/>
      <c r="E497" s="396"/>
      <c r="F497" s="758"/>
      <c r="G497" s="759"/>
      <c r="H497" s="553"/>
      <c r="I497" s="14"/>
      <c r="K497" s="168"/>
      <c r="BP497" s="12"/>
    </row>
    <row r="498" spans="1:68" s="17" customFormat="1">
      <c r="A498" s="4"/>
      <c r="B498" s="4"/>
      <c r="C498" s="4"/>
      <c r="D498" s="396"/>
      <c r="E498" s="396"/>
      <c r="F498" s="758"/>
      <c r="G498" s="759"/>
      <c r="H498" s="553"/>
      <c r="I498" s="14"/>
      <c r="K498" s="168"/>
      <c r="BP498" s="12"/>
    </row>
    <row r="499" spans="1:68" s="17" customFormat="1">
      <c r="A499" s="4"/>
      <c r="B499" s="4"/>
      <c r="C499" s="4"/>
      <c r="D499" s="396"/>
      <c r="E499" s="396"/>
      <c r="F499" s="758"/>
      <c r="G499" s="759"/>
      <c r="H499" s="553"/>
      <c r="I499" s="14"/>
      <c r="K499" s="168"/>
      <c r="BP499" s="12"/>
    </row>
    <row r="500" spans="1:68" s="17" customFormat="1">
      <c r="A500" s="4"/>
      <c r="B500" s="4"/>
      <c r="C500" s="4"/>
      <c r="D500" s="396"/>
      <c r="E500" s="396"/>
      <c r="F500" s="758"/>
      <c r="G500" s="759"/>
      <c r="H500" s="553"/>
      <c r="I500" s="14"/>
      <c r="K500" s="168"/>
      <c r="BP500" s="12"/>
    </row>
    <row r="501" spans="1:68" s="17" customFormat="1">
      <c r="A501" s="4"/>
      <c r="B501" s="4"/>
      <c r="C501" s="4"/>
      <c r="D501" s="396"/>
      <c r="E501" s="396"/>
      <c r="F501" s="758"/>
      <c r="G501" s="759"/>
      <c r="H501" s="553"/>
      <c r="I501" s="14"/>
      <c r="K501" s="168"/>
      <c r="BP501" s="12"/>
    </row>
    <row r="502" spans="1:68" s="17" customFormat="1">
      <c r="A502" s="4"/>
      <c r="B502" s="4"/>
      <c r="C502" s="4"/>
      <c r="D502" s="396"/>
      <c r="E502" s="396"/>
      <c r="F502" s="758"/>
      <c r="G502" s="759"/>
      <c r="H502" s="553"/>
      <c r="I502" s="14"/>
      <c r="K502" s="168"/>
      <c r="BP502" s="12"/>
    </row>
    <row r="503" spans="1:68" s="17" customFormat="1">
      <c r="A503" s="4"/>
      <c r="B503" s="4"/>
      <c r="C503" s="4"/>
      <c r="D503" s="396"/>
      <c r="E503" s="396"/>
      <c r="F503" s="758"/>
      <c r="G503" s="759"/>
      <c r="H503" s="553"/>
      <c r="I503" s="14"/>
      <c r="K503" s="168"/>
      <c r="BP503" s="12"/>
    </row>
    <row r="504" spans="1:68" s="17" customFormat="1">
      <c r="A504" s="4"/>
      <c r="B504" s="4"/>
      <c r="C504" s="4"/>
      <c r="D504" s="396"/>
      <c r="E504" s="396"/>
      <c r="F504" s="758"/>
      <c r="G504" s="759"/>
      <c r="H504" s="553"/>
      <c r="I504" s="14"/>
      <c r="K504" s="168"/>
      <c r="BP504" s="12"/>
    </row>
    <row r="505" spans="1:68" s="17" customFormat="1">
      <c r="A505" s="4"/>
      <c r="B505" s="4"/>
      <c r="C505" s="4"/>
      <c r="D505" s="396"/>
      <c r="E505" s="396"/>
      <c r="F505" s="758"/>
      <c r="G505" s="759"/>
      <c r="H505" s="553"/>
      <c r="I505" s="14"/>
      <c r="K505" s="168"/>
      <c r="BP505" s="12"/>
    </row>
    <row r="506" spans="1:68" s="17" customFormat="1">
      <c r="A506" s="4"/>
      <c r="B506" s="4"/>
      <c r="C506" s="4"/>
      <c r="D506" s="396"/>
      <c r="E506" s="396"/>
      <c r="F506" s="758"/>
      <c r="G506" s="759"/>
      <c r="H506" s="553"/>
      <c r="I506" s="14"/>
      <c r="K506" s="168"/>
      <c r="BP506" s="12"/>
    </row>
    <row r="507" spans="1:68" s="17" customFormat="1">
      <c r="A507" s="4"/>
      <c r="B507" s="4"/>
      <c r="C507" s="4"/>
      <c r="D507" s="396"/>
      <c r="E507" s="396"/>
      <c r="F507" s="758"/>
      <c r="G507" s="759"/>
      <c r="H507" s="553"/>
      <c r="I507" s="14"/>
      <c r="K507" s="168"/>
      <c r="BP507" s="12"/>
    </row>
    <row r="508" spans="1:68" s="17" customFormat="1">
      <c r="A508" s="4"/>
      <c r="B508" s="4"/>
      <c r="C508" s="4"/>
      <c r="D508" s="396"/>
      <c r="E508" s="396"/>
      <c r="F508" s="758"/>
      <c r="G508" s="759"/>
      <c r="H508" s="553"/>
      <c r="I508" s="14"/>
      <c r="K508" s="168"/>
      <c r="BP508" s="12"/>
    </row>
    <row r="509" spans="1:68" s="17" customFormat="1">
      <c r="A509" s="4"/>
      <c r="B509" s="4"/>
      <c r="C509" s="4"/>
      <c r="D509" s="396"/>
      <c r="E509" s="396"/>
      <c r="F509" s="758"/>
      <c r="G509" s="759"/>
      <c r="H509" s="553"/>
      <c r="I509" s="14"/>
      <c r="K509" s="168"/>
      <c r="BP509" s="12"/>
    </row>
    <row r="510" spans="1:68" s="17" customFormat="1">
      <c r="A510" s="4"/>
      <c r="B510" s="4"/>
      <c r="C510" s="4"/>
      <c r="D510" s="396"/>
      <c r="E510" s="396"/>
      <c r="F510" s="758"/>
      <c r="G510" s="759"/>
      <c r="H510" s="553"/>
      <c r="I510" s="14"/>
      <c r="K510" s="168"/>
      <c r="BP510" s="12"/>
    </row>
    <row r="511" spans="1:68" s="17" customFormat="1">
      <c r="A511" s="4"/>
      <c r="B511" s="4"/>
      <c r="C511" s="4"/>
      <c r="D511" s="396"/>
      <c r="E511" s="396"/>
      <c r="F511" s="758"/>
      <c r="G511" s="759"/>
      <c r="H511" s="553"/>
      <c r="I511" s="14"/>
      <c r="K511" s="168"/>
      <c r="BP511" s="12"/>
    </row>
    <row r="512" spans="1:68" s="17" customFormat="1">
      <c r="A512" s="4"/>
      <c r="B512" s="4"/>
      <c r="C512" s="4"/>
      <c r="D512" s="396"/>
      <c r="E512" s="396"/>
      <c r="F512" s="758"/>
      <c r="G512" s="759"/>
      <c r="H512" s="553"/>
      <c r="I512" s="14"/>
      <c r="K512" s="168"/>
      <c r="BP512" s="12"/>
    </row>
    <row r="513" spans="1:68" s="17" customFormat="1">
      <c r="A513" s="4"/>
      <c r="B513" s="4"/>
      <c r="C513" s="4"/>
      <c r="D513" s="396"/>
      <c r="E513" s="396"/>
      <c r="F513" s="758"/>
      <c r="G513" s="759"/>
      <c r="H513" s="553"/>
      <c r="I513" s="14"/>
      <c r="K513" s="168"/>
      <c r="BP513" s="12"/>
    </row>
    <row r="514" spans="1:68" s="17" customFormat="1">
      <c r="A514" s="4"/>
      <c r="B514" s="4"/>
      <c r="C514" s="4"/>
      <c r="D514" s="396"/>
      <c r="E514" s="396"/>
      <c r="F514" s="758"/>
      <c r="G514" s="759"/>
      <c r="H514" s="553"/>
      <c r="I514" s="14"/>
      <c r="K514" s="168"/>
      <c r="BP514" s="12"/>
    </row>
    <row r="515" spans="1:68" s="17" customFormat="1">
      <c r="A515" s="4"/>
      <c r="B515" s="4"/>
      <c r="C515" s="4"/>
      <c r="D515" s="396"/>
      <c r="E515" s="396"/>
      <c r="F515" s="758"/>
      <c r="G515" s="759"/>
      <c r="H515" s="553"/>
      <c r="I515" s="14"/>
      <c r="K515" s="168"/>
      <c r="BP515" s="12"/>
    </row>
    <row r="516" spans="1:68" s="17" customFormat="1">
      <c r="A516" s="4"/>
      <c r="B516" s="4"/>
      <c r="C516" s="4"/>
      <c r="D516" s="396"/>
      <c r="E516" s="396"/>
      <c r="F516" s="758"/>
      <c r="G516" s="759"/>
      <c r="H516" s="553"/>
      <c r="I516" s="14"/>
      <c r="K516" s="168"/>
      <c r="BP516" s="12"/>
    </row>
    <row r="517" spans="1:68" s="17" customFormat="1">
      <c r="A517" s="4"/>
      <c r="B517" s="4"/>
      <c r="C517" s="4"/>
      <c r="D517" s="396"/>
      <c r="E517" s="396"/>
      <c r="F517" s="758"/>
      <c r="G517" s="759"/>
      <c r="H517" s="553"/>
      <c r="I517" s="14"/>
      <c r="K517" s="168"/>
      <c r="BP517" s="12"/>
    </row>
    <row r="518" spans="1:68" s="17" customFormat="1">
      <c r="A518" s="4"/>
      <c r="B518" s="4"/>
      <c r="C518" s="4"/>
      <c r="D518" s="396"/>
      <c r="E518" s="396"/>
      <c r="F518" s="758"/>
      <c r="G518" s="759"/>
      <c r="H518" s="553"/>
      <c r="I518" s="14"/>
      <c r="K518" s="168"/>
      <c r="BP518" s="12"/>
    </row>
    <row r="519" spans="1:68" s="17" customFormat="1">
      <c r="A519" s="4"/>
      <c r="B519" s="4"/>
      <c r="C519" s="4"/>
      <c r="D519" s="396"/>
      <c r="E519" s="396"/>
      <c r="F519" s="758"/>
      <c r="G519" s="759"/>
      <c r="H519" s="553"/>
      <c r="I519" s="14"/>
      <c r="K519" s="168"/>
      <c r="BP519" s="12"/>
    </row>
    <row r="520" spans="1:68" s="17" customFormat="1">
      <c r="A520" s="4"/>
      <c r="B520" s="4"/>
      <c r="C520" s="4"/>
      <c r="D520" s="396"/>
      <c r="E520" s="396"/>
      <c r="F520" s="758"/>
      <c r="G520" s="759"/>
      <c r="H520" s="553"/>
      <c r="I520" s="14"/>
      <c r="K520" s="168"/>
      <c r="BP520" s="12"/>
    </row>
    <row r="521" spans="1:68" s="17" customFormat="1">
      <c r="A521" s="4"/>
      <c r="B521" s="4"/>
      <c r="C521" s="4"/>
      <c r="D521" s="396"/>
      <c r="E521" s="396"/>
      <c r="F521" s="758"/>
      <c r="G521" s="759"/>
      <c r="H521" s="553"/>
      <c r="I521" s="14"/>
      <c r="K521" s="168"/>
      <c r="BP521" s="12"/>
    </row>
    <row r="522" spans="1:68" s="17" customFormat="1">
      <c r="A522" s="4"/>
      <c r="B522" s="4"/>
      <c r="C522" s="4"/>
      <c r="D522" s="396"/>
      <c r="E522" s="396"/>
      <c r="F522" s="758"/>
      <c r="G522" s="759"/>
      <c r="H522" s="553"/>
      <c r="I522" s="14"/>
      <c r="K522" s="168"/>
      <c r="BP522" s="12"/>
    </row>
    <row r="523" spans="1:68" s="17" customFormat="1">
      <c r="A523" s="4"/>
      <c r="B523" s="4"/>
      <c r="C523" s="4"/>
      <c r="D523" s="396"/>
      <c r="E523" s="396"/>
      <c r="F523" s="758"/>
      <c r="G523" s="759"/>
      <c r="H523" s="553"/>
      <c r="I523" s="14"/>
      <c r="K523" s="168"/>
      <c r="BP523" s="12"/>
    </row>
    <row r="524" spans="1:68" s="17" customFormat="1">
      <c r="A524" s="4"/>
      <c r="B524" s="4"/>
      <c r="C524" s="4"/>
      <c r="D524" s="396"/>
      <c r="E524" s="396"/>
      <c r="F524" s="758"/>
      <c r="G524" s="759"/>
      <c r="H524" s="553"/>
      <c r="I524" s="14"/>
      <c r="K524" s="168"/>
      <c r="BP524" s="12"/>
    </row>
    <row r="525" spans="1:68" s="17" customFormat="1">
      <c r="A525" s="4"/>
      <c r="B525" s="4"/>
      <c r="C525" s="4"/>
      <c r="D525" s="396"/>
      <c r="E525" s="396"/>
      <c r="F525" s="758"/>
      <c r="G525" s="759"/>
      <c r="H525" s="553"/>
      <c r="I525" s="14"/>
      <c r="K525" s="168"/>
      <c r="BP525" s="12"/>
    </row>
    <row r="526" spans="1:68" s="17" customFormat="1">
      <c r="A526" s="4"/>
      <c r="B526" s="4"/>
      <c r="C526" s="4"/>
      <c r="D526" s="396"/>
      <c r="E526" s="396"/>
      <c r="F526" s="758"/>
      <c r="G526" s="759"/>
      <c r="H526" s="553"/>
      <c r="I526" s="14"/>
      <c r="K526" s="168"/>
      <c r="BP526" s="12"/>
    </row>
    <row r="527" spans="1:68" s="17" customFormat="1">
      <c r="A527" s="4"/>
      <c r="B527" s="4"/>
      <c r="C527" s="4"/>
      <c r="D527" s="396"/>
      <c r="E527" s="396"/>
      <c r="F527" s="758"/>
      <c r="G527" s="759"/>
      <c r="H527" s="553"/>
      <c r="I527" s="14"/>
      <c r="K527" s="168"/>
      <c r="BP527" s="12"/>
    </row>
    <row r="528" spans="1:68" s="17" customFormat="1">
      <c r="A528" s="4"/>
      <c r="B528" s="4"/>
      <c r="C528" s="4"/>
      <c r="D528" s="396"/>
      <c r="E528" s="396"/>
      <c r="F528" s="758"/>
      <c r="G528" s="759"/>
      <c r="H528" s="553"/>
      <c r="I528" s="14"/>
      <c r="K528" s="168"/>
      <c r="BP528" s="12"/>
    </row>
    <row r="529" spans="1:68" s="17" customFormat="1">
      <c r="A529" s="4"/>
      <c r="B529" s="4"/>
      <c r="C529" s="4"/>
      <c r="D529" s="396"/>
      <c r="E529" s="396"/>
      <c r="F529" s="758"/>
      <c r="G529" s="759"/>
      <c r="H529" s="553"/>
      <c r="I529" s="14"/>
      <c r="K529" s="168"/>
      <c r="BP529" s="12"/>
    </row>
    <row r="530" spans="1:68" s="17" customFormat="1">
      <c r="A530" s="4"/>
      <c r="B530" s="4"/>
      <c r="C530" s="4"/>
      <c r="D530" s="396"/>
      <c r="E530" s="396"/>
      <c r="F530" s="758"/>
      <c r="G530" s="759"/>
      <c r="H530" s="553"/>
      <c r="I530" s="14"/>
      <c r="K530" s="168"/>
      <c r="BP530" s="12"/>
    </row>
    <row r="531" spans="1:68" s="17" customFormat="1">
      <c r="A531" s="4"/>
      <c r="B531" s="4"/>
      <c r="C531" s="4"/>
      <c r="D531" s="396"/>
      <c r="E531" s="396"/>
      <c r="F531" s="758"/>
      <c r="G531" s="759"/>
      <c r="H531" s="553"/>
      <c r="I531" s="14"/>
      <c r="K531" s="168"/>
      <c r="BP531" s="12"/>
    </row>
    <row r="532" spans="1:68" s="17" customFormat="1">
      <c r="A532" s="4"/>
      <c r="B532" s="4"/>
      <c r="C532" s="4"/>
      <c r="D532" s="396"/>
      <c r="E532" s="396"/>
      <c r="F532" s="758"/>
      <c r="G532" s="759"/>
      <c r="H532" s="553"/>
      <c r="I532" s="14"/>
      <c r="K532" s="168"/>
      <c r="BP532" s="12"/>
    </row>
    <row r="533" spans="1:68" s="17" customFormat="1">
      <c r="A533" s="4"/>
      <c r="B533" s="4"/>
      <c r="C533" s="4"/>
      <c r="D533" s="396"/>
      <c r="E533" s="396"/>
      <c r="F533" s="758"/>
      <c r="G533" s="759"/>
      <c r="H533" s="553"/>
      <c r="I533" s="14"/>
      <c r="K533" s="168"/>
      <c r="BP533" s="12"/>
    </row>
    <row r="534" spans="1:68" s="17" customFormat="1">
      <c r="A534" s="4"/>
      <c r="B534" s="4"/>
      <c r="C534" s="4"/>
      <c r="D534" s="396"/>
      <c r="E534" s="396"/>
      <c r="F534" s="758"/>
      <c r="G534" s="759"/>
      <c r="H534" s="553"/>
      <c r="I534" s="14"/>
      <c r="K534" s="168"/>
      <c r="BP534" s="12"/>
    </row>
    <row r="535" spans="1:68" s="17" customFormat="1">
      <c r="A535" s="4"/>
      <c r="B535" s="4"/>
      <c r="C535" s="4"/>
      <c r="D535" s="396"/>
      <c r="E535" s="396"/>
      <c r="F535" s="758"/>
      <c r="G535" s="759"/>
      <c r="H535" s="553"/>
      <c r="I535" s="14"/>
      <c r="K535" s="168"/>
      <c r="BP535" s="12"/>
    </row>
    <row r="536" spans="1:68" s="17" customFormat="1">
      <c r="A536" s="4"/>
      <c r="B536" s="4"/>
      <c r="C536" s="4"/>
      <c r="D536" s="396"/>
      <c r="E536" s="396"/>
      <c r="F536" s="758"/>
      <c r="G536" s="759"/>
      <c r="H536" s="553"/>
      <c r="I536" s="14"/>
      <c r="K536" s="168"/>
      <c r="BP536" s="12"/>
    </row>
    <row r="537" spans="1:68" s="17" customFormat="1">
      <c r="A537" s="4"/>
      <c r="B537" s="4"/>
      <c r="C537" s="4"/>
      <c r="D537" s="396"/>
      <c r="E537" s="396"/>
      <c r="F537" s="758"/>
      <c r="G537" s="759"/>
      <c r="H537" s="553"/>
      <c r="I537" s="14"/>
      <c r="K537" s="168"/>
      <c r="BP537" s="12"/>
    </row>
    <row r="538" spans="1:68" s="17" customFormat="1">
      <c r="A538" s="4"/>
      <c r="B538" s="4"/>
      <c r="C538" s="4"/>
      <c r="D538" s="396"/>
      <c r="E538" s="396"/>
      <c r="F538" s="758"/>
      <c r="G538" s="759"/>
      <c r="H538" s="553"/>
      <c r="I538" s="14"/>
      <c r="K538" s="168"/>
      <c r="BP538" s="12"/>
    </row>
    <row r="539" spans="1:68" s="17" customFormat="1">
      <c r="A539" s="4"/>
      <c r="B539" s="4"/>
      <c r="C539" s="4"/>
      <c r="D539" s="396"/>
      <c r="E539" s="396"/>
      <c r="F539" s="758"/>
      <c r="G539" s="759"/>
      <c r="H539" s="553"/>
      <c r="I539" s="14"/>
      <c r="K539" s="168"/>
      <c r="BP539" s="12"/>
    </row>
    <row r="540" spans="1:68" s="17" customFormat="1">
      <c r="A540" s="4"/>
      <c r="B540" s="4"/>
      <c r="C540" s="4"/>
      <c r="D540" s="396"/>
      <c r="E540" s="396"/>
      <c r="F540" s="758"/>
      <c r="G540" s="759"/>
      <c r="H540" s="553"/>
      <c r="I540" s="14"/>
      <c r="K540" s="168"/>
      <c r="BP540" s="12"/>
    </row>
    <row r="541" spans="1:68" s="17" customFormat="1">
      <c r="A541" s="4"/>
      <c r="B541" s="4"/>
      <c r="C541" s="4"/>
      <c r="D541" s="396"/>
      <c r="E541" s="396"/>
      <c r="F541" s="758"/>
      <c r="G541" s="759"/>
      <c r="H541" s="553"/>
      <c r="I541" s="14"/>
      <c r="K541" s="168"/>
      <c r="BP541" s="12"/>
    </row>
    <row r="542" spans="1:68" s="17" customFormat="1">
      <c r="A542" s="4"/>
      <c r="B542" s="4"/>
      <c r="C542" s="4"/>
      <c r="D542" s="396"/>
      <c r="E542" s="396"/>
      <c r="F542" s="758"/>
      <c r="G542" s="759"/>
      <c r="H542" s="553"/>
      <c r="I542" s="14"/>
      <c r="K542" s="168"/>
      <c r="BP542" s="12"/>
    </row>
    <row r="543" spans="1:68" s="17" customFormat="1">
      <c r="A543" s="4"/>
      <c r="B543" s="4"/>
      <c r="C543" s="4"/>
      <c r="D543" s="396"/>
      <c r="E543" s="396"/>
      <c r="F543" s="758"/>
      <c r="G543" s="759"/>
      <c r="H543" s="553"/>
      <c r="I543" s="14"/>
      <c r="K543" s="168"/>
      <c r="BP543" s="12"/>
    </row>
    <row r="544" spans="1:68" s="17" customFormat="1">
      <c r="A544" s="4"/>
      <c r="B544" s="4"/>
      <c r="C544" s="4"/>
      <c r="D544" s="396"/>
      <c r="E544" s="396"/>
      <c r="F544" s="758"/>
      <c r="G544" s="759"/>
      <c r="H544" s="553"/>
      <c r="I544" s="14"/>
      <c r="K544" s="168"/>
      <c r="BP544" s="12"/>
    </row>
    <row r="545" spans="1:68" s="17" customFormat="1">
      <c r="A545" s="4"/>
      <c r="B545" s="4"/>
      <c r="C545" s="4"/>
      <c r="D545" s="396"/>
      <c r="E545" s="396"/>
      <c r="F545" s="758"/>
      <c r="G545" s="759"/>
      <c r="H545" s="553"/>
      <c r="I545" s="14"/>
      <c r="K545" s="168"/>
      <c r="BP545" s="12"/>
    </row>
    <row r="546" spans="1:68" s="17" customFormat="1">
      <c r="A546" s="4"/>
      <c r="B546" s="4"/>
      <c r="C546" s="4"/>
      <c r="D546" s="396"/>
      <c r="E546" s="396"/>
      <c r="F546" s="758"/>
      <c r="G546" s="759"/>
      <c r="H546" s="553"/>
      <c r="I546" s="14"/>
      <c r="K546" s="168"/>
      <c r="BP546" s="12"/>
    </row>
    <row r="547" spans="1:68" s="17" customFormat="1">
      <c r="A547" s="4"/>
      <c r="B547" s="4"/>
      <c r="C547" s="4"/>
      <c r="D547" s="396"/>
      <c r="E547" s="396"/>
      <c r="F547" s="758"/>
      <c r="G547" s="759"/>
      <c r="H547" s="553"/>
      <c r="I547" s="14"/>
      <c r="K547" s="168"/>
      <c r="BP547" s="12"/>
    </row>
    <row r="548" spans="1:68" s="17" customFormat="1">
      <c r="A548" s="4"/>
      <c r="B548" s="4"/>
      <c r="C548" s="4"/>
      <c r="D548" s="396"/>
      <c r="E548" s="396"/>
      <c r="F548" s="758"/>
      <c r="G548" s="759"/>
      <c r="H548" s="553"/>
      <c r="I548" s="14"/>
      <c r="K548" s="168"/>
      <c r="BP548" s="12"/>
    </row>
    <row r="549" spans="1:68" s="17" customFormat="1">
      <c r="A549" s="4"/>
      <c r="B549" s="4"/>
      <c r="C549" s="4"/>
      <c r="D549" s="396"/>
      <c r="E549" s="396"/>
      <c r="F549" s="758"/>
      <c r="G549" s="759"/>
      <c r="H549" s="553"/>
      <c r="I549" s="14"/>
      <c r="K549" s="168"/>
      <c r="BP549" s="12"/>
    </row>
    <row r="550" spans="1:68" s="17" customFormat="1">
      <c r="A550" s="4"/>
      <c r="B550" s="4"/>
      <c r="C550" s="4"/>
      <c r="D550" s="396"/>
      <c r="E550" s="396"/>
      <c r="F550" s="758"/>
      <c r="G550" s="759"/>
      <c r="H550" s="553"/>
      <c r="I550" s="14"/>
      <c r="K550" s="168"/>
      <c r="BP550" s="12"/>
    </row>
    <row r="551" spans="1:68" s="17" customFormat="1">
      <c r="A551" s="4"/>
      <c r="B551" s="4"/>
      <c r="C551" s="4"/>
      <c r="D551" s="396"/>
      <c r="E551" s="396"/>
      <c r="F551" s="758"/>
      <c r="G551" s="759"/>
      <c r="H551" s="553"/>
      <c r="I551" s="14"/>
      <c r="K551" s="168"/>
      <c r="BP551" s="12"/>
    </row>
    <row r="552" spans="1:68" s="17" customFormat="1">
      <c r="A552" s="4"/>
      <c r="B552" s="4"/>
      <c r="C552" s="4"/>
      <c r="D552" s="396"/>
      <c r="E552" s="396"/>
      <c r="F552" s="758"/>
      <c r="G552" s="759"/>
      <c r="H552" s="553"/>
      <c r="I552" s="14"/>
      <c r="K552" s="168"/>
      <c r="BP552" s="12"/>
    </row>
    <row r="553" spans="1:68" s="17" customFormat="1">
      <c r="A553" s="4"/>
      <c r="B553" s="4"/>
      <c r="C553" s="4"/>
      <c r="D553" s="396"/>
      <c r="E553" s="396"/>
      <c r="F553" s="758"/>
      <c r="G553" s="759"/>
      <c r="H553" s="553"/>
      <c r="I553" s="14"/>
      <c r="K553" s="168"/>
      <c r="BP553" s="12"/>
    </row>
    <row r="554" spans="1:68" s="17" customFormat="1">
      <c r="A554" s="4"/>
      <c r="B554" s="4"/>
      <c r="C554" s="4"/>
      <c r="D554" s="396"/>
      <c r="E554" s="396"/>
      <c r="F554" s="758"/>
      <c r="G554" s="759"/>
      <c r="H554" s="553"/>
      <c r="I554" s="14"/>
      <c r="K554" s="168"/>
      <c r="BP554" s="12"/>
    </row>
    <row r="555" spans="1:68" s="17" customFormat="1">
      <c r="A555" s="4"/>
      <c r="B555" s="4"/>
      <c r="C555" s="4"/>
      <c r="D555" s="396"/>
      <c r="E555" s="396"/>
      <c r="F555" s="758"/>
      <c r="G555" s="759"/>
      <c r="H555" s="553"/>
      <c r="I555" s="14"/>
      <c r="K555" s="168"/>
      <c r="BP555" s="12"/>
    </row>
    <row r="556" spans="1:68" s="17" customFormat="1">
      <c r="A556" s="4"/>
      <c r="B556" s="4"/>
      <c r="C556" s="4"/>
      <c r="D556" s="396"/>
      <c r="E556" s="396"/>
      <c r="F556" s="758"/>
      <c r="G556" s="759"/>
      <c r="H556" s="553"/>
      <c r="I556" s="14"/>
      <c r="K556" s="168"/>
      <c r="BP556" s="12"/>
    </row>
    <row r="557" spans="1:68" s="17" customFormat="1">
      <c r="A557" s="4"/>
      <c r="B557" s="4"/>
      <c r="C557" s="4"/>
      <c r="D557" s="396"/>
      <c r="E557" s="396"/>
      <c r="F557" s="758"/>
      <c r="G557" s="759"/>
      <c r="H557" s="553"/>
      <c r="I557" s="14"/>
      <c r="K557" s="168"/>
      <c r="BP557" s="12"/>
    </row>
    <row r="558" spans="1:68" s="17" customFormat="1">
      <c r="A558" s="4"/>
      <c r="B558" s="4"/>
      <c r="C558" s="4"/>
      <c r="D558" s="396"/>
      <c r="E558" s="396"/>
      <c r="F558" s="758"/>
      <c r="G558" s="759"/>
      <c r="H558" s="553"/>
      <c r="I558" s="14"/>
      <c r="K558" s="168"/>
      <c r="BP558" s="12"/>
    </row>
    <row r="559" spans="1:68" s="17" customFormat="1">
      <c r="A559" s="4"/>
      <c r="B559" s="4"/>
      <c r="C559" s="4"/>
      <c r="D559" s="396"/>
      <c r="E559" s="396"/>
      <c r="F559" s="758"/>
      <c r="G559" s="759"/>
      <c r="H559" s="553"/>
      <c r="I559" s="14"/>
      <c r="K559" s="168"/>
      <c r="BP559" s="12"/>
    </row>
    <row r="560" spans="1:68" s="17" customFormat="1">
      <c r="A560" s="4"/>
      <c r="B560" s="4"/>
      <c r="C560" s="4"/>
      <c r="D560" s="396"/>
      <c r="E560" s="396"/>
      <c r="F560" s="758"/>
      <c r="G560" s="759"/>
      <c r="H560" s="553"/>
      <c r="I560" s="14"/>
      <c r="K560" s="168"/>
      <c r="BP560" s="12"/>
    </row>
    <row r="561" spans="1:68" s="17" customFormat="1">
      <c r="A561" s="4"/>
      <c r="B561" s="4"/>
      <c r="C561" s="4"/>
      <c r="D561" s="396"/>
      <c r="E561" s="396"/>
      <c r="F561" s="758"/>
      <c r="G561" s="759"/>
      <c r="H561" s="553"/>
      <c r="I561" s="14"/>
      <c r="K561" s="168"/>
      <c r="BP561" s="12"/>
    </row>
    <row r="562" spans="1:68" s="17" customFormat="1">
      <c r="A562" s="4"/>
      <c r="B562" s="4"/>
      <c r="C562" s="4"/>
      <c r="D562" s="396"/>
      <c r="E562" s="396"/>
      <c r="F562" s="758"/>
      <c r="G562" s="759"/>
      <c r="H562" s="553"/>
      <c r="I562" s="14"/>
      <c r="K562" s="168"/>
      <c r="BP562" s="12"/>
    </row>
    <row r="563" spans="1:68" s="17" customFormat="1">
      <c r="A563" s="4"/>
      <c r="B563" s="4"/>
      <c r="C563" s="4"/>
      <c r="D563" s="396"/>
      <c r="E563" s="396"/>
      <c r="F563" s="758"/>
      <c r="G563" s="759"/>
      <c r="H563" s="553"/>
      <c r="I563" s="14"/>
      <c r="K563" s="168"/>
      <c r="BP563" s="12"/>
    </row>
    <row r="564" spans="1:68" s="17" customFormat="1">
      <c r="A564" s="4"/>
      <c r="B564" s="4"/>
      <c r="C564" s="4"/>
      <c r="D564" s="396"/>
      <c r="E564" s="396"/>
      <c r="F564" s="758"/>
      <c r="G564" s="759"/>
      <c r="H564" s="553"/>
      <c r="I564" s="14"/>
      <c r="K564" s="168"/>
      <c r="BP564" s="12"/>
    </row>
    <row r="565" spans="1:68" s="17" customFormat="1">
      <c r="A565" s="4"/>
      <c r="B565" s="4"/>
      <c r="C565" s="4"/>
      <c r="D565" s="396"/>
      <c r="E565" s="396"/>
      <c r="F565" s="758"/>
      <c r="G565" s="759"/>
      <c r="H565" s="553"/>
      <c r="I565" s="14"/>
      <c r="K565" s="168"/>
      <c r="BP565" s="12"/>
    </row>
    <row r="566" spans="1:68" s="17" customFormat="1">
      <c r="A566" s="4"/>
      <c r="B566" s="4"/>
      <c r="C566" s="4"/>
      <c r="D566" s="396"/>
      <c r="E566" s="396"/>
      <c r="F566" s="758"/>
      <c r="G566" s="759"/>
      <c r="H566" s="553"/>
      <c r="I566" s="14"/>
      <c r="K566" s="168"/>
      <c r="BP566" s="12"/>
    </row>
    <row r="567" spans="1:68" s="17" customFormat="1">
      <c r="A567" s="4"/>
      <c r="B567" s="4"/>
      <c r="C567" s="4"/>
      <c r="D567" s="396"/>
      <c r="E567" s="396"/>
      <c r="F567" s="758"/>
      <c r="G567" s="759"/>
      <c r="H567" s="553"/>
      <c r="I567" s="14"/>
      <c r="K567" s="168"/>
      <c r="BP567" s="12"/>
    </row>
    <row r="568" spans="1:68" s="17" customFormat="1">
      <c r="A568" s="4"/>
      <c r="B568" s="4"/>
      <c r="C568" s="4"/>
      <c r="D568" s="396"/>
      <c r="E568" s="396"/>
      <c r="F568" s="758"/>
      <c r="G568" s="759"/>
      <c r="H568" s="553"/>
      <c r="I568" s="14"/>
      <c r="K568" s="168"/>
      <c r="BP568" s="12"/>
    </row>
    <row r="569" spans="1:68" s="17" customFormat="1">
      <c r="A569" s="4"/>
      <c r="B569" s="4"/>
      <c r="C569" s="4"/>
      <c r="D569" s="396"/>
      <c r="E569" s="396"/>
      <c r="F569" s="758"/>
      <c r="G569" s="759"/>
      <c r="H569" s="553"/>
      <c r="I569" s="14"/>
      <c r="K569" s="168"/>
      <c r="BP569" s="12"/>
    </row>
    <row r="570" spans="1:68" s="17" customFormat="1">
      <c r="A570" s="4"/>
      <c r="B570" s="4"/>
      <c r="C570" s="4"/>
      <c r="D570" s="396"/>
      <c r="E570" s="396"/>
      <c r="F570" s="758"/>
      <c r="G570" s="759"/>
      <c r="H570" s="553"/>
      <c r="I570" s="14"/>
      <c r="K570" s="168"/>
      <c r="BP570" s="12"/>
    </row>
    <row r="571" spans="1:68" s="17" customFormat="1">
      <c r="A571" s="4"/>
      <c r="B571" s="4"/>
      <c r="C571" s="4"/>
      <c r="D571" s="396"/>
      <c r="E571" s="396"/>
      <c r="F571" s="758"/>
      <c r="G571" s="759"/>
      <c r="H571" s="553"/>
      <c r="I571" s="14"/>
      <c r="K571" s="168"/>
      <c r="BP571" s="12"/>
    </row>
    <row r="572" spans="1:68" s="17" customFormat="1">
      <c r="A572" s="4"/>
      <c r="B572" s="4"/>
      <c r="C572" s="4"/>
      <c r="D572" s="396"/>
      <c r="E572" s="396"/>
      <c r="F572" s="758"/>
      <c r="G572" s="759"/>
      <c r="H572" s="553"/>
      <c r="I572" s="14"/>
      <c r="K572" s="168"/>
      <c r="BP572" s="12"/>
    </row>
    <row r="573" spans="1:68" s="17" customFormat="1">
      <c r="A573" s="4"/>
      <c r="B573" s="4"/>
      <c r="C573" s="4"/>
      <c r="D573" s="396"/>
      <c r="E573" s="396"/>
      <c r="F573" s="758"/>
      <c r="G573" s="759"/>
      <c r="H573" s="553"/>
      <c r="I573" s="14"/>
      <c r="K573" s="168"/>
      <c r="BP573" s="12"/>
    </row>
    <row r="574" spans="1:68" s="17" customFormat="1">
      <c r="A574" s="4"/>
      <c r="B574" s="4"/>
      <c r="C574" s="4"/>
      <c r="D574" s="396"/>
      <c r="E574" s="396"/>
      <c r="F574" s="758"/>
      <c r="G574" s="759"/>
      <c r="H574" s="553"/>
      <c r="I574" s="14"/>
      <c r="K574" s="168"/>
      <c r="BP574" s="12"/>
    </row>
    <row r="575" spans="1:68" s="17" customFormat="1">
      <c r="A575" s="4"/>
      <c r="B575" s="4"/>
      <c r="C575" s="4"/>
      <c r="D575" s="396"/>
      <c r="E575" s="396"/>
      <c r="F575" s="758"/>
      <c r="G575" s="759"/>
      <c r="H575" s="553"/>
      <c r="I575" s="14"/>
      <c r="K575" s="168"/>
      <c r="BP575" s="12"/>
    </row>
    <row r="576" spans="1:68" s="17" customFormat="1">
      <c r="A576" s="4"/>
      <c r="B576" s="4"/>
      <c r="C576" s="4"/>
      <c r="D576" s="396"/>
      <c r="E576" s="396"/>
      <c r="F576" s="758"/>
      <c r="G576" s="759"/>
      <c r="H576" s="553"/>
      <c r="I576" s="14"/>
      <c r="K576" s="168"/>
      <c r="BP576" s="12"/>
    </row>
    <row r="577" spans="1:68" s="17" customFormat="1">
      <c r="A577" s="4"/>
      <c r="B577" s="4"/>
      <c r="C577" s="4"/>
      <c r="D577" s="396"/>
      <c r="E577" s="396"/>
      <c r="F577" s="758"/>
      <c r="G577" s="759"/>
      <c r="H577" s="553"/>
      <c r="I577" s="14"/>
      <c r="K577" s="168"/>
      <c r="BP577" s="12"/>
    </row>
    <row r="578" spans="1:68" s="17" customFormat="1">
      <c r="A578" s="4"/>
      <c r="B578" s="4"/>
      <c r="C578" s="4"/>
      <c r="D578" s="396"/>
      <c r="E578" s="396"/>
      <c r="F578" s="758"/>
      <c r="G578" s="759"/>
      <c r="H578" s="553"/>
      <c r="I578" s="14"/>
      <c r="K578" s="168"/>
      <c r="BP578" s="12"/>
    </row>
    <row r="579" spans="1:68" s="17" customFormat="1">
      <c r="A579" s="4"/>
      <c r="B579" s="4"/>
      <c r="C579" s="4"/>
      <c r="D579" s="396"/>
      <c r="E579" s="396"/>
      <c r="F579" s="758"/>
      <c r="G579" s="759"/>
      <c r="H579" s="553"/>
      <c r="I579" s="14"/>
      <c r="K579" s="168"/>
      <c r="BP579" s="12"/>
    </row>
    <row r="580" spans="1:68" s="17" customFormat="1">
      <c r="A580" s="4"/>
      <c r="B580" s="4"/>
      <c r="C580" s="4"/>
      <c r="D580" s="396"/>
      <c r="E580" s="396"/>
      <c r="F580" s="758"/>
      <c r="G580" s="759"/>
      <c r="H580" s="553"/>
      <c r="I580" s="14"/>
      <c r="K580" s="168"/>
      <c r="BP580" s="12"/>
    </row>
    <row r="581" spans="1:68" s="17" customFormat="1">
      <c r="A581" s="4"/>
      <c r="B581" s="4"/>
      <c r="C581" s="4"/>
      <c r="D581" s="396"/>
      <c r="E581" s="396"/>
      <c r="F581" s="758"/>
      <c r="G581" s="759"/>
      <c r="H581" s="553"/>
      <c r="I581" s="14"/>
      <c r="K581" s="168"/>
      <c r="BP581" s="12"/>
    </row>
    <row r="582" spans="1:68" s="17" customFormat="1">
      <c r="A582" s="4"/>
      <c r="B582" s="4"/>
      <c r="C582" s="4"/>
      <c r="D582" s="396"/>
      <c r="E582" s="396"/>
      <c r="F582" s="758"/>
      <c r="G582" s="759"/>
      <c r="H582" s="553"/>
      <c r="I582" s="14"/>
      <c r="K582" s="168"/>
      <c r="BP582" s="12"/>
    </row>
    <row r="583" spans="1:68" s="17" customFormat="1">
      <c r="A583" s="4"/>
      <c r="B583" s="4"/>
      <c r="C583" s="4"/>
      <c r="D583" s="396"/>
      <c r="E583" s="396"/>
      <c r="F583" s="758"/>
      <c r="G583" s="759"/>
      <c r="H583" s="553"/>
      <c r="I583" s="14"/>
      <c r="K583" s="168"/>
      <c r="BP583" s="12"/>
    </row>
    <row r="584" spans="1:68" s="17" customFormat="1">
      <c r="A584" s="4"/>
      <c r="B584" s="4"/>
      <c r="C584" s="4"/>
      <c r="D584" s="396"/>
      <c r="E584" s="396"/>
      <c r="F584" s="758"/>
      <c r="G584" s="759"/>
      <c r="H584" s="553"/>
      <c r="I584" s="14"/>
      <c r="K584" s="168"/>
      <c r="BP584" s="12"/>
    </row>
    <row r="585" spans="1:68" s="17" customFormat="1">
      <c r="A585" s="4"/>
      <c r="B585" s="4"/>
      <c r="C585" s="4"/>
      <c r="D585" s="396"/>
      <c r="E585" s="396"/>
      <c r="F585" s="758"/>
      <c r="G585" s="759"/>
      <c r="H585" s="553"/>
      <c r="I585" s="14"/>
      <c r="K585" s="168"/>
      <c r="BP585" s="12"/>
    </row>
    <row r="586" spans="1:68" s="17" customFormat="1">
      <c r="A586" s="4"/>
      <c r="B586" s="4"/>
      <c r="C586" s="4"/>
      <c r="D586" s="396"/>
      <c r="E586" s="396"/>
      <c r="F586" s="758"/>
      <c r="G586" s="759"/>
      <c r="H586" s="553"/>
      <c r="I586" s="14"/>
      <c r="K586" s="168"/>
      <c r="BP586" s="12"/>
    </row>
    <row r="587" spans="1:68" s="17" customFormat="1">
      <c r="A587" s="4"/>
      <c r="B587" s="4"/>
      <c r="C587" s="4"/>
      <c r="D587" s="396"/>
      <c r="E587" s="396"/>
      <c r="F587" s="758"/>
      <c r="G587" s="759"/>
      <c r="H587" s="553"/>
      <c r="I587" s="14"/>
      <c r="K587" s="168"/>
      <c r="BP587" s="12"/>
    </row>
    <row r="588" spans="1:68">
      <c r="F588" s="758"/>
      <c r="G588" s="759"/>
    </row>
    <row r="589" spans="1:68">
      <c r="F589" s="758"/>
      <c r="G589" s="759"/>
    </row>
    <row r="590" spans="1:68">
      <c r="F590" s="758"/>
      <c r="G590" s="759"/>
    </row>
    <row r="591" spans="1:68">
      <c r="F591" s="758"/>
      <c r="G591" s="759"/>
    </row>
    <row r="592" spans="1:68">
      <c r="F592" s="758"/>
      <c r="G592" s="759"/>
    </row>
    <row r="593" spans="6:7">
      <c r="F593" s="758"/>
      <c r="G593" s="759"/>
    </row>
    <row r="594" spans="6:7">
      <c r="F594" s="758"/>
      <c r="G594" s="759"/>
    </row>
    <row r="595" spans="6:7">
      <c r="F595" s="758"/>
      <c r="G595" s="759"/>
    </row>
    <row r="596" spans="6:7">
      <c r="F596" s="758"/>
      <c r="G596" s="759"/>
    </row>
    <row r="597" spans="6:7">
      <c r="F597" s="758"/>
      <c r="G597" s="759"/>
    </row>
    <row r="598" spans="6:7">
      <c r="F598" s="758"/>
      <c r="G598" s="759"/>
    </row>
    <row r="599" spans="6:7">
      <c r="F599" s="758"/>
      <c r="G599" s="759"/>
    </row>
    <row r="600" spans="6:7">
      <c r="F600" s="758"/>
      <c r="G600" s="759"/>
    </row>
    <row r="601" spans="6:7">
      <c r="F601" s="758"/>
      <c r="G601" s="759"/>
    </row>
    <row r="602" spans="6:7">
      <c r="F602" s="758"/>
      <c r="G602" s="759"/>
    </row>
    <row r="603" spans="6:7">
      <c r="F603" s="758"/>
      <c r="G603" s="759"/>
    </row>
    <row r="604" spans="6:7">
      <c r="F604" s="758"/>
      <c r="G604" s="759"/>
    </row>
    <row r="605" spans="6:7">
      <c r="F605" s="758"/>
      <c r="G605" s="759"/>
    </row>
    <row r="606" spans="6:7">
      <c r="F606" s="758"/>
      <c r="G606" s="759"/>
    </row>
    <row r="607" spans="6:7">
      <c r="F607" s="758"/>
      <c r="G607" s="759"/>
    </row>
    <row r="608" spans="6:7">
      <c r="F608" s="758"/>
      <c r="G608" s="759"/>
    </row>
    <row r="609" spans="6:7">
      <c r="F609" s="758"/>
      <c r="G609" s="759"/>
    </row>
    <row r="610" spans="6:7">
      <c r="F610" s="758"/>
      <c r="G610" s="759"/>
    </row>
    <row r="611" spans="6:7">
      <c r="F611" s="758"/>
      <c r="G611" s="759"/>
    </row>
    <row r="612" spans="6:7">
      <c r="F612" s="758"/>
      <c r="G612" s="759"/>
    </row>
    <row r="613" spans="6:7">
      <c r="F613" s="758"/>
      <c r="G613" s="759"/>
    </row>
    <row r="614" spans="6:7">
      <c r="F614" s="758"/>
      <c r="G614" s="759"/>
    </row>
    <row r="615" spans="6:7">
      <c r="F615" s="758"/>
      <c r="G615" s="759"/>
    </row>
    <row r="616" spans="6:7">
      <c r="F616" s="758"/>
      <c r="G616" s="759"/>
    </row>
    <row r="617" spans="6:7">
      <c r="F617" s="758"/>
      <c r="G617" s="759"/>
    </row>
    <row r="618" spans="6:7">
      <c r="F618" s="758"/>
      <c r="G618" s="759"/>
    </row>
    <row r="619" spans="6:7">
      <c r="F619" s="758"/>
      <c r="G619" s="759"/>
    </row>
    <row r="620" spans="6:7">
      <c r="F620" s="758"/>
      <c r="G620" s="759"/>
    </row>
    <row r="621" spans="6:7">
      <c r="F621" s="758"/>
      <c r="G621" s="759"/>
    </row>
    <row r="622" spans="6:7">
      <c r="F622" s="758"/>
      <c r="G622" s="759"/>
    </row>
    <row r="623" spans="6:7">
      <c r="F623" s="758"/>
      <c r="G623" s="759"/>
    </row>
    <row r="624" spans="6:7">
      <c r="F624" s="758"/>
      <c r="G624" s="759"/>
    </row>
    <row r="625" spans="6:7">
      <c r="F625" s="758"/>
      <c r="G625" s="759"/>
    </row>
    <row r="626" spans="6:7">
      <c r="F626" s="758"/>
      <c r="G626" s="759"/>
    </row>
    <row r="627" spans="6:7">
      <c r="F627" s="758"/>
      <c r="G627" s="759"/>
    </row>
    <row r="628" spans="6:7">
      <c r="F628" s="758"/>
      <c r="G628" s="759"/>
    </row>
    <row r="629" spans="6:7">
      <c r="F629" s="758"/>
      <c r="G629" s="759"/>
    </row>
    <row r="630" spans="6:7">
      <c r="F630" s="758"/>
      <c r="G630" s="759"/>
    </row>
    <row r="631" spans="6:7">
      <c r="F631" s="758"/>
      <c r="G631" s="759"/>
    </row>
    <row r="632" spans="6:7">
      <c r="F632" s="758"/>
      <c r="G632" s="759"/>
    </row>
    <row r="633" spans="6:7">
      <c r="F633" s="758"/>
      <c r="G633" s="759"/>
    </row>
    <row r="634" spans="6:7">
      <c r="F634" s="758"/>
      <c r="G634" s="759"/>
    </row>
    <row r="635" spans="6:7">
      <c r="F635" s="758"/>
      <c r="G635" s="759"/>
    </row>
    <row r="636" spans="6:7">
      <c r="F636" s="758"/>
      <c r="G636" s="759"/>
    </row>
    <row r="637" spans="6:7">
      <c r="F637" s="758"/>
      <c r="G637" s="759"/>
    </row>
    <row r="638" spans="6:7">
      <c r="F638" s="758"/>
      <c r="G638" s="759"/>
    </row>
    <row r="639" spans="6:7">
      <c r="F639" s="758"/>
      <c r="G639" s="759"/>
    </row>
    <row r="640" spans="6:7">
      <c r="F640" s="758"/>
      <c r="G640" s="759"/>
    </row>
    <row r="641" spans="6:7">
      <c r="F641" s="758"/>
      <c r="G641" s="759"/>
    </row>
    <row r="642" spans="6:7">
      <c r="F642" s="758"/>
      <c r="G642" s="759"/>
    </row>
    <row r="643" spans="6:7">
      <c r="F643" s="758"/>
      <c r="G643" s="759"/>
    </row>
    <row r="644" spans="6:7">
      <c r="F644" s="758"/>
      <c r="G644" s="759"/>
    </row>
    <row r="645" spans="6:7">
      <c r="F645" s="758"/>
      <c r="G645" s="759"/>
    </row>
    <row r="646" spans="6:7">
      <c r="F646" s="758"/>
      <c r="G646" s="759"/>
    </row>
    <row r="647" spans="6:7">
      <c r="F647" s="758"/>
      <c r="G647" s="759"/>
    </row>
    <row r="648" spans="6:7">
      <c r="F648" s="758"/>
      <c r="G648" s="759"/>
    </row>
    <row r="649" spans="6:7">
      <c r="F649" s="758"/>
      <c r="G649" s="759"/>
    </row>
    <row r="650" spans="6:7">
      <c r="F650" s="758"/>
      <c r="G650" s="759"/>
    </row>
    <row r="651" spans="6:7">
      <c r="F651" s="758"/>
      <c r="G651" s="759"/>
    </row>
    <row r="652" spans="6:7">
      <c r="F652" s="758"/>
      <c r="G652" s="759"/>
    </row>
    <row r="653" spans="6:7">
      <c r="F653" s="758"/>
      <c r="G653" s="759"/>
    </row>
    <row r="654" spans="6:7">
      <c r="F654" s="758"/>
      <c r="G654" s="759"/>
    </row>
    <row r="655" spans="6:7">
      <c r="F655" s="758"/>
      <c r="G655" s="759"/>
    </row>
    <row r="656" spans="6:7">
      <c r="F656" s="758"/>
      <c r="G656" s="759"/>
    </row>
    <row r="657" spans="6:7">
      <c r="F657" s="758"/>
      <c r="G657" s="759"/>
    </row>
    <row r="658" spans="6:7">
      <c r="F658" s="758"/>
      <c r="G658" s="759"/>
    </row>
    <row r="659" spans="6:7">
      <c r="F659" s="758"/>
      <c r="G659" s="759"/>
    </row>
    <row r="660" spans="6:7">
      <c r="F660" s="758"/>
      <c r="G660" s="759"/>
    </row>
    <row r="661" spans="6:7">
      <c r="F661" s="758"/>
      <c r="G661" s="759"/>
    </row>
    <row r="662" spans="6:7">
      <c r="F662" s="758"/>
      <c r="G662" s="759"/>
    </row>
    <row r="663" spans="6:7">
      <c r="F663" s="758"/>
      <c r="G663" s="759"/>
    </row>
    <row r="664" spans="6:7">
      <c r="F664" s="758"/>
      <c r="G664" s="759"/>
    </row>
    <row r="665" spans="6:7">
      <c r="F665" s="758"/>
      <c r="G665" s="759"/>
    </row>
    <row r="666" spans="6:7">
      <c r="F666" s="758"/>
      <c r="G666" s="759"/>
    </row>
    <row r="667" spans="6:7">
      <c r="F667" s="758"/>
      <c r="G667" s="759"/>
    </row>
    <row r="668" spans="6:7">
      <c r="F668" s="758"/>
      <c r="G668" s="759"/>
    </row>
    <row r="669" spans="6:7">
      <c r="F669" s="758"/>
      <c r="G669" s="759"/>
    </row>
    <row r="670" spans="6:7">
      <c r="F670" s="758"/>
      <c r="G670" s="759"/>
    </row>
    <row r="671" spans="6:7">
      <c r="F671" s="758"/>
      <c r="G671" s="759"/>
    </row>
    <row r="672" spans="6:7">
      <c r="F672" s="758"/>
      <c r="G672" s="759"/>
    </row>
    <row r="673" spans="6:7">
      <c r="F673" s="758"/>
      <c r="G673" s="759"/>
    </row>
    <row r="674" spans="6:7">
      <c r="F674" s="758"/>
      <c r="G674" s="759"/>
    </row>
    <row r="675" spans="6:7">
      <c r="F675" s="758"/>
      <c r="G675" s="759"/>
    </row>
    <row r="676" spans="6:7">
      <c r="F676" s="758"/>
      <c r="G676" s="759"/>
    </row>
    <row r="677" spans="6:7">
      <c r="F677" s="758"/>
      <c r="G677" s="759"/>
    </row>
    <row r="678" spans="6:7">
      <c r="F678" s="758"/>
      <c r="G678" s="759"/>
    </row>
    <row r="679" spans="6:7">
      <c r="F679" s="758"/>
      <c r="G679" s="759"/>
    </row>
    <row r="680" spans="6:7">
      <c r="F680" s="758"/>
      <c r="G680" s="759"/>
    </row>
    <row r="681" spans="6:7">
      <c r="F681" s="758"/>
      <c r="G681" s="759"/>
    </row>
    <row r="682" spans="6:7">
      <c r="F682" s="758"/>
      <c r="G682" s="759"/>
    </row>
    <row r="683" spans="6:7">
      <c r="F683" s="758"/>
      <c r="G683" s="759"/>
    </row>
    <row r="684" spans="6:7">
      <c r="F684" s="758"/>
      <c r="G684" s="759"/>
    </row>
    <row r="685" spans="6:7">
      <c r="F685" s="758"/>
      <c r="G685" s="759"/>
    </row>
    <row r="686" spans="6:7">
      <c r="F686" s="758"/>
      <c r="G686" s="759"/>
    </row>
    <row r="687" spans="6:7">
      <c r="F687" s="758"/>
      <c r="G687" s="759"/>
    </row>
    <row r="688" spans="6:7">
      <c r="F688" s="758"/>
      <c r="G688" s="759"/>
    </row>
    <row r="689" spans="6:7">
      <c r="F689" s="758"/>
      <c r="G689" s="759"/>
    </row>
    <row r="690" spans="6:7">
      <c r="F690" s="758"/>
      <c r="G690" s="759"/>
    </row>
    <row r="691" spans="6:7">
      <c r="F691" s="758"/>
      <c r="G691" s="759"/>
    </row>
    <row r="692" spans="6:7">
      <c r="F692" s="758"/>
      <c r="G692" s="759"/>
    </row>
    <row r="693" spans="6:7">
      <c r="F693" s="758"/>
      <c r="G693" s="759"/>
    </row>
    <row r="694" spans="6:7">
      <c r="F694" s="758"/>
      <c r="G694" s="759"/>
    </row>
    <row r="695" spans="6:7">
      <c r="F695" s="758"/>
      <c r="G695" s="759"/>
    </row>
    <row r="696" spans="6:7">
      <c r="F696" s="758"/>
      <c r="G696" s="759"/>
    </row>
    <row r="697" spans="6:7">
      <c r="F697" s="758"/>
      <c r="G697" s="759"/>
    </row>
    <row r="698" spans="6:7">
      <c r="F698" s="758"/>
      <c r="G698" s="759"/>
    </row>
    <row r="699" spans="6:7">
      <c r="F699" s="758"/>
      <c r="G699" s="759"/>
    </row>
    <row r="700" spans="6:7">
      <c r="F700" s="758"/>
      <c r="G700" s="759"/>
    </row>
    <row r="701" spans="6:7">
      <c r="F701" s="758"/>
      <c r="G701" s="759"/>
    </row>
    <row r="702" spans="6:7">
      <c r="F702" s="758"/>
      <c r="G702" s="759"/>
    </row>
    <row r="703" spans="6:7">
      <c r="F703" s="758"/>
      <c r="G703" s="759"/>
    </row>
    <row r="704" spans="6:7">
      <c r="F704" s="758"/>
      <c r="G704" s="759"/>
    </row>
    <row r="705" spans="6:7">
      <c r="F705" s="758"/>
      <c r="G705" s="759"/>
    </row>
    <row r="706" spans="6:7">
      <c r="F706" s="758"/>
      <c r="G706" s="759"/>
    </row>
    <row r="707" spans="6:7">
      <c r="F707" s="758"/>
      <c r="G707" s="759"/>
    </row>
    <row r="708" spans="6:7">
      <c r="F708" s="758"/>
      <c r="G708" s="759"/>
    </row>
    <row r="709" spans="6:7">
      <c r="F709" s="758"/>
      <c r="G709" s="759"/>
    </row>
    <row r="710" spans="6:7">
      <c r="F710" s="758"/>
      <c r="G710" s="759"/>
    </row>
    <row r="711" spans="6:7">
      <c r="F711" s="758"/>
      <c r="G711" s="759"/>
    </row>
    <row r="712" spans="6:7">
      <c r="F712" s="758"/>
      <c r="G712" s="759"/>
    </row>
    <row r="713" spans="6:7">
      <c r="F713" s="758"/>
      <c r="G713" s="759"/>
    </row>
    <row r="714" spans="6:7">
      <c r="F714" s="758"/>
      <c r="G714" s="759"/>
    </row>
    <row r="715" spans="6:7">
      <c r="F715" s="758"/>
      <c r="G715" s="759"/>
    </row>
    <row r="716" spans="6:7">
      <c r="F716" s="758"/>
      <c r="G716" s="759"/>
    </row>
    <row r="717" spans="6:7">
      <c r="F717" s="758"/>
      <c r="G717" s="759"/>
    </row>
    <row r="718" spans="6:7">
      <c r="F718" s="758"/>
      <c r="G718" s="759"/>
    </row>
    <row r="719" spans="6:7">
      <c r="F719" s="758"/>
      <c r="G719" s="759"/>
    </row>
    <row r="720" spans="6:7">
      <c r="F720" s="758"/>
      <c r="G720" s="759"/>
    </row>
    <row r="721" spans="6:7">
      <c r="F721" s="758"/>
      <c r="G721" s="759"/>
    </row>
    <row r="722" spans="6:7">
      <c r="F722" s="758"/>
      <c r="G722" s="759"/>
    </row>
    <row r="723" spans="6:7">
      <c r="F723" s="758"/>
      <c r="G723" s="759"/>
    </row>
    <row r="724" spans="6:7">
      <c r="F724" s="758"/>
      <c r="G724" s="759"/>
    </row>
    <row r="725" spans="6:7">
      <c r="F725" s="758"/>
      <c r="G725" s="759"/>
    </row>
    <row r="726" spans="6:7">
      <c r="F726" s="758"/>
      <c r="G726" s="759"/>
    </row>
    <row r="727" spans="6:7">
      <c r="F727" s="758"/>
      <c r="G727" s="759"/>
    </row>
    <row r="728" spans="6:7">
      <c r="F728" s="758"/>
      <c r="G728" s="759"/>
    </row>
    <row r="729" spans="6:7">
      <c r="F729" s="758"/>
      <c r="G729" s="759"/>
    </row>
    <row r="730" spans="6:7">
      <c r="F730" s="758"/>
      <c r="G730" s="759"/>
    </row>
    <row r="731" spans="6:7">
      <c r="F731" s="758"/>
      <c r="G731" s="759"/>
    </row>
    <row r="732" spans="6:7">
      <c r="F732" s="758"/>
      <c r="G732" s="759"/>
    </row>
    <row r="733" spans="6:7">
      <c r="F733" s="758"/>
      <c r="G733" s="759"/>
    </row>
    <row r="734" spans="6:7">
      <c r="F734" s="758"/>
      <c r="G734" s="759"/>
    </row>
    <row r="735" spans="6:7">
      <c r="F735" s="758"/>
      <c r="G735" s="759"/>
    </row>
    <row r="736" spans="6:7">
      <c r="F736" s="758"/>
      <c r="G736" s="759"/>
    </row>
    <row r="737" spans="6:7">
      <c r="F737" s="758"/>
      <c r="G737" s="759"/>
    </row>
    <row r="738" spans="6:7">
      <c r="F738" s="758"/>
      <c r="G738" s="759"/>
    </row>
    <row r="739" spans="6:7">
      <c r="F739" s="758"/>
      <c r="G739" s="759"/>
    </row>
    <row r="740" spans="6:7">
      <c r="F740" s="758"/>
      <c r="G740" s="759"/>
    </row>
    <row r="741" spans="6:7">
      <c r="F741" s="758"/>
      <c r="G741" s="759"/>
    </row>
    <row r="742" spans="6:7">
      <c r="F742" s="758"/>
      <c r="G742" s="759"/>
    </row>
    <row r="743" spans="6:7">
      <c r="F743" s="758"/>
      <c r="G743" s="759"/>
    </row>
    <row r="744" spans="6:7">
      <c r="F744" s="758"/>
      <c r="G744" s="759"/>
    </row>
    <row r="745" spans="6:7">
      <c r="F745" s="758"/>
      <c r="G745" s="759"/>
    </row>
    <row r="746" spans="6:7">
      <c r="F746" s="758"/>
      <c r="G746" s="759"/>
    </row>
    <row r="747" spans="6:7">
      <c r="F747" s="758"/>
      <c r="G747" s="759"/>
    </row>
    <row r="748" spans="6:7">
      <c r="F748" s="758"/>
      <c r="G748" s="759"/>
    </row>
    <row r="749" spans="6:7">
      <c r="F749" s="758"/>
      <c r="G749" s="759"/>
    </row>
    <row r="750" spans="6:7">
      <c r="F750" s="758"/>
      <c r="G750" s="759"/>
    </row>
    <row r="751" spans="6:7">
      <c r="F751" s="758"/>
      <c r="G751" s="759"/>
    </row>
    <row r="752" spans="6:7">
      <c r="F752" s="758"/>
      <c r="G752" s="759"/>
    </row>
    <row r="753" spans="6:7">
      <c r="F753" s="758"/>
      <c r="G753" s="759"/>
    </row>
    <row r="754" spans="6:7">
      <c r="F754" s="758"/>
      <c r="G754" s="759"/>
    </row>
    <row r="755" spans="6:7">
      <c r="F755" s="758"/>
      <c r="G755" s="759"/>
    </row>
    <row r="756" spans="6:7">
      <c r="F756" s="758"/>
      <c r="G756" s="759"/>
    </row>
    <row r="757" spans="6:7">
      <c r="F757" s="758"/>
      <c r="G757" s="759"/>
    </row>
    <row r="758" spans="6:7">
      <c r="F758" s="758"/>
      <c r="G758" s="759"/>
    </row>
    <row r="759" spans="6:7">
      <c r="F759" s="758"/>
      <c r="G759" s="759"/>
    </row>
    <row r="760" spans="6:7">
      <c r="F760" s="758"/>
      <c r="G760" s="759"/>
    </row>
    <row r="761" spans="6:7">
      <c r="F761" s="758"/>
      <c r="G761" s="759"/>
    </row>
    <row r="762" spans="6:7">
      <c r="F762" s="758"/>
      <c r="G762" s="759"/>
    </row>
    <row r="763" spans="6:7">
      <c r="F763" s="758"/>
      <c r="G763" s="759"/>
    </row>
    <row r="764" spans="6:7">
      <c r="F764" s="758"/>
      <c r="G764" s="759"/>
    </row>
    <row r="765" spans="6:7">
      <c r="F765" s="758"/>
      <c r="G765" s="759"/>
    </row>
    <row r="766" spans="6:7">
      <c r="F766" s="758"/>
      <c r="G766" s="759"/>
    </row>
    <row r="767" spans="6:7">
      <c r="F767" s="758"/>
      <c r="G767" s="759"/>
    </row>
    <row r="768" spans="6:7">
      <c r="F768" s="758"/>
      <c r="G768" s="759"/>
    </row>
    <row r="769" spans="6:7">
      <c r="F769" s="758"/>
      <c r="G769" s="759"/>
    </row>
    <row r="770" spans="6:7">
      <c r="F770" s="758"/>
      <c r="G770" s="759"/>
    </row>
    <row r="771" spans="6:7">
      <c r="F771" s="758"/>
      <c r="G771" s="759"/>
    </row>
    <row r="772" spans="6:7">
      <c r="F772" s="758"/>
      <c r="G772" s="759"/>
    </row>
    <row r="773" spans="6:7">
      <c r="F773" s="758"/>
      <c r="G773" s="759"/>
    </row>
    <row r="774" spans="6:7">
      <c r="F774" s="758"/>
      <c r="G774" s="759"/>
    </row>
    <row r="775" spans="6:7">
      <c r="F775" s="758"/>
      <c r="G775" s="759"/>
    </row>
    <row r="776" spans="6:7">
      <c r="F776" s="758"/>
      <c r="G776" s="759"/>
    </row>
    <row r="777" spans="6:7">
      <c r="F777" s="758"/>
      <c r="G777" s="759"/>
    </row>
    <row r="778" spans="6:7">
      <c r="F778" s="758"/>
      <c r="G778" s="759"/>
    </row>
    <row r="779" spans="6:7">
      <c r="F779" s="758"/>
      <c r="G779" s="759"/>
    </row>
    <row r="780" spans="6:7">
      <c r="F780" s="758"/>
      <c r="G780" s="759"/>
    </row>
    <row r="781" spans="6:7">
      <c r="F781" s="758"/>
      <c r="G781" s="759"/>
    </row>
    <row r="782" spans="6:7">
      <c r="F782" s="758"/>
      <c r="G782" s="759"/>
    </row>
    <row r="783" spans="6:7">
      <c r="F783" s="758"/>
      <c r="G783" s="759"/>
    </row>
    <row r="784" spans="6:7">
      <c r="F784" s="758"/>
      <c r="G784" s="759"/>
    </row>
    <row r="785" spans="6:7">
      <c r="F785" s="758"/>
      <c r="G785" s="759"/>
    </row>
    <row r="786" spans="6:7">
      <c r="F786" s="758"/>
      <c r="G786" s="759"/>
    </row>
    <row r="787" spans="6:7">
      <c r="F787" s="758"/>
      <c r="G787" s="759"/>
    </row>
    <row r="788" spans="6:7">
      <c r="F788" s="758"/>
      <c r="G788" s="759"/>
    </row>
    <row r="789" spans="6:7">
      <c r="F789" s="758"/>
      <c r="G789" s="759"/>
    </row>
    <row r="790" spans="6:7">
      <c r="F790" s="758"/>
      <c r="G790" s="759"/>
    </row>
    <row r="791" spans="6:7">
      <c r="F791" s="758"/>
      <c r="G791" s="759"/>
    </row>
    <row r="792" spans="6:7">
      <c r="F792" s="758"/>
      <c r="G792" s="759"/>
    </row>
    <row r="793" spans="6:7">
      <c r="F793" s="758"/>
      <c r="G793" s="759"/>
    </row>
    <row r="794" spans="6:7">
      <c r="F794" s="758"/>
      <c r="G794" s="759"/>
    </row>
    <row r="795" spans="6:7">
      <c r="F795" s="758"/>
      <c r="G795" s="759"/>
    </row>
    <row r="796" spans="6:7">
      <c r="F796" s="758"/>
      <c r="G796" s="759"/>
    </row>
    <row r="797" spans="6:7">
      <c r="F797" s="758"/>
      <c r="G797" s="759"/>
    </row>
    <row r="798" spans="6:7">
      <c r="F798" s="758"/>
      <c r="G798" s="759"/>
    </row>
    <row r="799" spans="6:7">
      <c r="F799" s="758"/>
      <c r="G799" s="759"/>
    </row>
    <row r="800" spans="6:7">
      <c r="F800" s="758"/>
      <c r="G800" s="759"/>
    </row>
    <row r="801" spans="6:7">
      <c r="F801" s="758"/>
      <c r="G801" s="759"/>
    </row>
    <row r="802" spans="6:7">
      <c r="F802" s="758"/>
      <c r="G802" s="759"/>
    </row>
    <row r="803" spans="6:7">
      <c r="F803" s="758"/>
      <c r="G803" s="759"/>
    </row>
    <row r="804" spans="6:7">
      <c r="F804" s="758"/>
      <c r="G804" s="759"/>
    </row>
    <row r="805" spans="6:7">
      <c r="F805" s="758"/>
      <c r="G805" s="759"/>
    </row>
    <row r="806" spans="6:7">
      <c r="F806" s="758"/>
      <c r="G806" s="759"/>
    </row>
    <row r="807" spans="6:7">
      <c r="F807" s="758"/>
      <c r="G807" s="759"/>
    </row>
    <row r="808" spans="6:7">
      <c r="F808" s="758"/>
      <c r="G808" s="759"/>
    </row>
    <row r="809" spans="6:7">
      <c r="F809" s="758"/>
      <c r="G809" s="759"/>
    </row>
    <row r="810" spans="6:7">
      <c r="F810" s="758"/>
      <c r="G810" s="759"/>
    </row>
    <row r="811" spans="6:7">
      <c r="F811" s="758"/>
      <c r="G811" s="759"/>
    </row>
    <row r="812" spans="6:7">
      <c r="F812" s="758"/>
      <c r="G812" s="759"/>
    </row>
    <row r="813" spans="6:7">
      <c r="F813" s="758"/>
      <c r="G813" s="759"/>
    </row>
    <row r="814" spans="6:7">
      <c r="F814" s="758"/>
      <c r="G814" s="759"/>
    </row>
    <row r="815" spans="6:7">
      <c r="F815" s="758"/>
      <c r="G815" s="759"/>
    </row>
    <row r="816" spans="6:7">
      <c r="F816" s="758"/>
      <c r="G816" s="759"/>
    </row>
    <row r="817" spans="6:7">
      <c r="F817" s="758"/>
      <c r="G817" s="759"/>
    </row>
    <row r="818" spans="6:7">
      <c r="F818" s="758"/>
      <c r="G818" s="759"/>
    </row>
    <row r="819" spans="6:7">
      <c r="F819" s="758"/>
      <c r="G819" s="759"/>
    </row>
    <row r="820" spans="6:7">
      <c r="F820" s="758"/>
      <c r="G820" s="759"/>
    </row>
    <row r="821" spans="6:7">
      <c r="F821" s="758"/>
      <c r="G821" s="759"/>
    </row>
    <row r="822" spans="6:7">
      <c r="F822" s="758"/>
      <c r="G822" s="759"/>
    </row>
    <row r="823" spans="6:7">
      <c r="F823" s="758"/>
      <c r="G823" s="759"/>
    </row>
    <row r="824" spans="6:7">
      <c r="F824" s="758"/>
      <c r="G824" s="759"/>
    </row>
    <row r="825" spans="6:7">
      <c r="F825" s="758"/>
      <c r="G825" s="759"/>
    </row>
    <row r="826" spans="6:7">
      <c r="F826" s="758"/>
      <c r="G826" s="759"/>
    </row>
    <row r="827" spans="6:7">
      <c r="F827" s="758"/>
      <c r="G827" s="759"/>
    </row>
    <row r="828" spans="6:7">
      <c r="F828" s="758"/>
      <c r="G828" s="759"/>
    </row>
    <row r="829" spans="6:7">
      <c r="F829" s="758"/>
      <c r="G829" s="759"/>
    </row>
    <row r="830" spans="6:7">
      <c r="F830" s="758"/>
      <c r="G830" s="759"/>
    </row>
    <row r="831" spans="6:7">
      <c r="F831" s="758"/>
      <c r="G831" s="759"/>
    </row>
    <row r="832" spans="6:7">
      <c r="F832" s="758"/>
      <c r="G832" s="759"/>
    </row>
    <row r="833" spans="6:7">
      <c r="F833" s="758"/>
      <c r="G833" s="759"/>
    </row>
    <row r="834" spans="6:7">
      <c r="F834" s="758"/>
      <c r="G834" s="759"/>
    </row>
    <row r="835" spans="6:7">
      <c r="F835" s="758"/>
      <c r="G835" s="759"/>
    </row>
    <row r="836" spans="6:7">
      <c r="F836" s="758"/>
      <c r="G836" s="759"/>
    </row>
    <row r="837" spans="6:7">
      <c r="F837" s="758"/>
      <c r="G837" s="759"/>
    </row>
    <row r="838" spans="6:7">
      <c r="F838" s="758"/>
      <c r="G838" s="759"/>
    </row>
    <row r="839" spans="6:7">
      <c r="F839" s="758"/>
      <c r="G839" s="759"/>
    </row>
    <row r="840" spans="6:7">
      <c r="F840" s="758"/>
      <c r="G840" s="759"/>
    </row>
    <row r="841" spans="6:7">
      <c r="F841" s="758"/>
      <c r="G841" s="759"/>
    </row>
    <row r="842" spans="6:7">
      <c r="F842" s="758"/>
      <c r="G842" s="759"/>
    </row>
    <row r="843" spans="6:7">
      <c r="F843" s="758"/>
      <c r="G843" s="759"/>
    </row>
    <row r="844" spans="6:7">
      <c r="F844" s="758"/>
      <c r="G844" s="759"/>
    </row>
    <row r="845" spans="6:7">
      <c r="F845" s="758"/>
      <c r="G845" s="759"/>
    </row>
    <row r="846" spans="6:7">
      <c r="F846" s="758"/>
      <c r="G846" s="759"/>
    </row>
    <row r="847" spans="6:7">
      <c r="F847" s="758"/>
      <c r="G847" s="759"/>
    </row>
    <row r="848" spans="6:7">
      <c r="F848" s="758"/>
      <c r="G848" s="759"/>
    </row>
    <row r="849" spans="6:7">
      <c r="F849" s="758"/>
      <c r="G849" s="759"/>
    </row>
    <row r="850" spans="6:7">
      <c r="F850" s="758"/>
      <c r="G850" s="759"/>
    </row>
    <row r="851" spans="6:7">
      <c r="F851" s="758"/>
      <c r="G851" s="759"/>
    </row>
    <row r="852" spans="6:7">
      <c r="F852" s="758"/>
      <c r="G852" s="759"/>
    </row>
    <row r="853" spans="6:7">
      <c r="F853" s="758"/>
      <c r="G853" s="759"/>
    </row>
    <row r="854" spans="6:7">
      <c r="F854" s="758"/>
      <c r="G854" s="759"/>
    </row>
    <row r="855" spans="6:7">
      <c r="F855" s="758"/>
      <c r="G855" s="759"/>
    </row>
    <row r="856" spans="6:7">
      <c r="F856" s="758"/>
      <c r="G856" s="759"/>
    </row>
    <row r="857" spans="6:7">
      <c r="F857" s="758"/>
      <c r="G857" s="759"/>
    </row>
    <row r="858" spans="6:7">
      <c r="F858" s="758"/>
      <c r="G858" s="759"/>
    </row>
    <row r="859" spans="6:7">
      <c r="F859" s="758"/>
      <c r="G859" s="759"/>
    </row>
    <row r="860" spans="6:7">
      <c r="F860" s="758"/>
      <c r="G860" s="759"/>
    </row>
    <row r="861" spans="6:7">
      <c r="F861" s="758"/>
      <c r="G861" s="759"/>
    </row>
    <row r="862" spans="6:7">
      <c r="F862" s="758"/>
      <c r="G862" s="759"/>
    </row>
    <row r="863" spans="6:7">
      <c r="F863" s="758"/>
      <c r="G863" s="759"/>
    </row>
    <row r="864" spans="6:7">
      <c r="F864" s="758"/>
      <c r="G864" s="759"/>
    </row>
    <row r="865" spans="6:7">
      <c r="F865" s="758"/>
      <c r="G865" s="759"/>
    </row>
    <row r="866" spans="6:7">
      <c r="F866" s="758"/>
      <c r="G866" s="759"/>
    </row>
    <row r="867" spans="6:7">
      <c r="F867" s="758"/>
      <c r="G867" s="759"/>
    </row>
    <row r="868" spans="6:7">
      <c r="F868" s="758"/>
      <c r="G868" s="759"/>
    </row>
    <row r="869" spans="6:7">
      <c r="F869" s="758"/>
      <c r="G869" s="759"/>
    </row>
    <row r="870" spans="6:7">
      <c r="F870" s="758"/>
      <c r="G870" s="759"/>
    </row>
    <row r="871" spans="6:7">
      <c r="F871" s="758"/>
      <c r="G871" s="759"/>
    </row>
  </sheetData>
  <sheetProtection password="C74A" sheet="1" objects="1" scenarios="1" formatCells="0" formatColumns="0" formatRows="0"/>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87">
    <mergeCell ref="C206:E206"/>
    <mergeCell ref="B28:B34"/>
    <mergeCell ref="H28:H34"/>
    <mergeCell ref="B53:B59"/>
    <mergeCell ref="H112:H118"/>
    <mergeCell ref="D204:F204"/>
    <mergeCell ref="B90:B92"/>
    <mergeCell ref="H53:H59"/>
    <mergeCell ref="H60:H64"/>
    <mergeCell ref="H93:H97"/>
    <mergeCell ref="H76:H84"/>
    <mergeCell ref="A206:B207"/>
    <mergeCell ref="C207:E207"/>
    <mergeCell ref="H155:H158"/>
    <mergeCell ref="H151:H154"/>
    <mergeCell ref="H159:H162"/>
    <mergeCell ref="D205:H205"/>
    <mergeCell ref="D202:F202"/>
    <mergeCell ref="D203:F203"/>
    <mergeCell ref="A151:A154"/>
    <mergeCell ref="A131:A136"/>
    <mergeCell ref="A163:A166"/>
    <mergeCell ref="A159:A162"/>
    <mergeCell ref="A93:A97"/>
    <mergeCell ref="B173:B175"/>
    <mergeCell ref="H167:H172"/>
    <mergeCell ref="H183:H187"/>
    <mergeCell ref="A176:A182"/>
    <mergeCell ref="A173:A175"/>
    <mergeCell ref="B183:B187"/>
    <mergeCell ref="A167:A172"/>
    <mergeCell ref="B167:B172"/>
    <mergeCell ref="B137:B143"/>
    <mergeCell ref="H137:H143"/>
    <mergeCell ref="D201:F201"/>
    <mergeCell ref="H85:H89"/>
    <mergeCell ref="B85:B89"/>
    <mergeCell ref="A60:A64"/>
    <mergeCell ref="A44:A48"/>
    <mergeCell ref="H144:H150"/>
    <mergeCell ref="H119:H124"/>
    <mergeCell ref="H125:H130"/>
    <mergeCell ref="A98:A101"/>
    <mergeCell ref="B98:B101"/>
    <mergeCell ref="B102:B105"/>
    <mergeCell ref="A102:A105"/>
    <mergeCell ref="H102:H105"/>
    <mergeCell ref="H98:H101"/>
    <mergeCell ref="A125:A130"/>
    <mergeCell ref="A66:A70"/>
    <mergeCell ref="B71:B75"/>
    <mergeCell ref="A71:A75"/>
    <mergeCell ref="H71:H75"/>
    <mergeCell ref="A155:A158"/>
    <mergeCell ref="B155:B158"/>
    <mergeCell ref="H163:H166"/>
    <mergeCell ref="B163:B166"/>
    <mergeCell ref="B151:B154"/>
    <mergeCell ref="A112:A118"/>
    <mergeCell ref="A3:A10"/>
    <mergeCell ref="D197:F197"/>
    <mergeCell ref="D198:F198"/>
    <mergeCell ref="D199:F199"/>
    <mergeCell ref="D200:F200"/>
    <mergeCell ref="H25:H27"/>
    <mergeCell ref="A36:A43"/>
    <mergeCell ref="A183:A187"/>
    <mergeCell ref="B106:B111"/>
    <mergeCell ref="A49:A52"/>
    <mergeCell ref="A119:A124"/>
    <mergeCell ref="A90:A92"/>
    <mergeCell ref="A144:A150"/>
    <mergeCell ref="A106:A111"/>
    <mergeCell ref="A137:A143"/>
    <mergeCell ref="A85:A89"/>
    <mergeCell ref="H173:H175"/>
    <mergeCell ref="B176:B182"/>
    <mergeCell ref="H176:H182"/>
    <mergeCell ref="B144:B150"/>
    <mergeCell ref="A76:A84"/>
    <mergeCell ref="B159:B162"/>
    <mergeCell ref="D196:H196"/>
    <mergeCell ref="B66:B70"/>
    <mergeCell ref="H66:H70"/>
    <mergeCell ref="B131:B136"/>
    <mergeCell ref="B49:B52"/>
    <mergeCell ref="B119:B124"/>
    <mergeCell ref="H36:H43"/>
    <mergeCell ref="B36:B43"/>
    <mergeCell ref="B60:B64"/>
    <mergeCell ref="B112:B118"/>
    <mergeCell ref="B44:B48"/>
    <mergeCell ref="H131:H136"/>
    <mergeCell ref="H106:H111"/>
    <mergeCell ref="H90:H92"/>
    <mergeCell ref="B93:B97"/>
    <mergeCell ref="B76:B84"/>
    <mergeCell ref="B125:B130"/>
    <mergeCell ref="A53:A59"/>
    <mergeCell ref="A28:A34"/>
    <mergeCell ref="A11:A18"/>
    <mergeCell ref="B11:B18"/>
    <mergeCell ref="H44:H48"/>
    <mergeCell ref="A25:A27"/>
    <mergeCell ref="H49:H52"/>
    <mergeCell ref="H11:H18"/>
    <mergeCell ref="B25:B27"/>
    <mergeCell ref="E1:I1"/>
    <mergeCell ref="I3:I10"/>
    <mergeCell ref="I11:I18"/>
    <mergeCell ref="I19:I24"/>
    <mergeCell ref="I25:I27"/>
    <mergeCell ref="I28:I34"/>
    <mergeCell ref="I36:I43"/>
    <mergeCell ref="I44:I48"/>
    <mergeCell ref="A19:A24"/>
    <mergeCell ref="B3:B10"/>
    <mergeCell ref="B19:B24"/>
    <mergeCell ref="H19:H24"/>
    <mergeCell ref="H3:H10"/>
    <mergeCell ref="A1:B1"/>
    <mergeCell ref="I49:I52"/>
    <mergeCell ref="I53:I59"/>
    <mergeCell ref="I60:I64"/>
    <mergeCell ref="I66:I70"/>
    <mergeCell ref="I71:I75"/>
    <mergeCell ref="I76:I84"/>
    <mergeCell ref="I85:I89"/>
    <mergeCell ref="I90:I92"/>
    <mergeCell ref="I93:I97"/>
    <mergeCell ref="I98:I101"/>
    <mergeCell ref="I102:I105"/>
    <mergeCell ref="I106:I111"/>
    <mergeCell ref="I112:I118"/>
    <mergeCell ref="I131:I136"/>
    <mergeCell ref="I119:I124"/>
    <mergeCell ref="I125:I130"/>
    <mergeCell ref="I137:I143"/>
    <mergeCell ref="I144:I150"/>
    <mergeCell ref="I151:I154"/>
    <mergeCell ref="I155:I158"/>
    <mergeCell ref="I159:I162"/>
    <mergeCell ref="I163:I166"/>
    <mergeCell ref="I167:I172"/>
    <mergeCell ref="I173:I175"/>
    <mergeCell ref="I176:I182"/>
    <mergeCell ref="I183:I187"/>
    <mergeCell ref="H206:I206"/>
    <mergeCell ref="H207:I207"/>
    <mergeCell ref="H209:I209"/>
    <mergeCell ref="H210:I210"/>
    <mergeCell ref="H211:I211"/>
    <mergeCell ref="H212:I212"/>
    <mergeCell ref="H213:I213"/>
    <mergeCell ref="H214:I214"/>
    <mergeCell ref="H215:I215"/>
    <mergeCell ref="H216:I216"/>
    <mergeCell ref="H217:I217"/>
    <mergeCell ref="H218:I218"/>
    <mergeCell ref="H219:I219"/>
    <mergeCell ref="H220:I220"/>
    <mergeCell ref="H221:I221"/>
    <mergeCell ref="H222:I222"/>
    <mergeCell ref="H223:I223"/>
    <mergeCell ref="H224:I224"/>
    <mergeCell ref="H225:I225"/>
    <mergeCell ref="H226:I226"/>
    <mergeCell ref="H227:I227"/>
    <mergeCell ref="H228:I228"/>
    <mergeCell ref="H229:I229"/>
    <mergeCell ref="H230:I230"/>
    <mergeCell ref="H231:I231"/>
    <mergeCell ref="H232:I232"/>
    <mergeCell ref="H233:I233"/>
    <mergeCell ref="H234:I234"/>
    <mergeCell ref="H235:I235"/>
    <mergeCell ref="H245:I245"/>
    <mergeCell ref="H246:I246"/>
    <mergeCell ref="H236:I236"/>
    <mergeCell ref="H237:I237"/>
    <mergeCell ref="H238:I238"/>
    <mergeCell ref="H239:I239"/>
    <mergeCell ref="H240:I240"/>
    <mergeCell ref="H241:I241"/>
    <mergeCell ref="H242:I242"/>
    <mergeCell ref="H243:I243"/>
    <mergeCell ref="H244:I244"/>
  </mergeCells>
  <phoneticPr fontId="2" type="noConversion"/>
  <pageMargins left="0.75" right="0.75" top="1" bottom="1" header="0.5" footer="0.5"/>
  <pageSetup orientation="portrait" r:id="rId2"/>
  <headerFooter alignWithMargins="0"/>
  <ignoredErrors>
    <ignoredError sqref="G85 G76 G90 G119" formulaRange="1"/>
  </ignoredErrors>
</worksheet>
</file>

<file path=xl/worksheets/sheet18.xml><?xml version="1.0" encoding="utf-8"?>
<worksheet xmlns="http://schemas.openxmlformats.org/spreadsheetml/2006/main" xmlns:r="http://schemas.openxmlformats.org/officeDocument/2006/relationships">
  <sheetPr codeName="Sheet17"/>
  <dimension ref="A1:AO688"/>
  <sheetViews>
    <sheetView zoomScaleNormal="100" workbookViewId="0">
      <selection activeCell="C10" sqref="C10"/>
    </sheetView>
  </sheetViews>
  <sheetFormatPr defaultColWidth="9.33203125" defaultRowHeight="13.8"/>
  <cols>
    <col min="1" max="1" width="5.77734375" style="7" customWidth="1"/>
    <col min="2" max="2" width="18.77734375" style="7" customWidth="1"/>
    <col min="3" max="3" width="69.77734375" style="7" customWidth="1"/>
    <col min="4" max="6" width="6.77734375" style="647" customWidth="1"/>
    <col min="7" max="7" width="9.77734375" style="648" customWidth="1"/>
    <col min="8" max="8" width="69.77734375" style="24" customWidth="1"/>
    <col min="9" max="9" width="11.77734375" style="23" customWidth="1"/>
    <col min="10" max="41" width="9.33203125" style="4"/>
    <col min="42" max="16384" width="9.33203125" style="7"/>
  </cols>
  <sheetData>
    <row r="1" spans="1:41" s="130" customFormat="1" ht="69" customHeight="1" thickBot="1">
      <c r="A1" s="2470" t="s">
        <v>1761</v>
      </c>
      <c r="B1" s="2683"/>
      <c r="C1" s="124" t="s">
        <v>1254</v>
      </c>
      <c r="D1" s="154" t="s">
        <v>1255</v>
      </c>
      <c r="E1" s="2477"/>
      <c r="F1" s="2478"/>
      <c r="G1" s="2478"/>
      <c r="H1" s="2478"/>
      <c r="I1" s="2478"/>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row>
    <row r="2" spans="1:41" s="138" customFormat="1" ht="36" customHeight="1" thickBot="1">
      <c r="A2" s="1555" t="s">
        <v>168</v>
      </c>
      <c r="B2" s="1555" t="s">
        <v>1357</v>
      </c>
      <c r="C2" s="1596" t="s">
        <v>1354</v>
      </c>
      <c r="D2" s="1555" t="s">
        <v>64</v>
      </c>
      <c r="E2" s="1668" t="s">
        <v>1383</v>
      </c>
      <c r="F2" s="1669" t="s">
        <v>1384</v>
      </c>
      <c r="G2" s="1670" t="s">
        <v>1293</v>
      </c>
      <c r="H2" s="1555" t="s">
        <v>1294</v>
      </c>
      <c r="I2" s="1648" t="s">
        <v>2622</v>
      </c>
      <c r="J2" s="187"/>
      <c r="K2" s="187"/>
      <c r="L2" s="187"/>
      <c r="M2" s="187"/>
      <c r="N2" s="187"/>
      <c r="O2" s="187"/>
      <c r="P2" s="187"/>
      <c r="Q2" s="187"/>
      <c r="R2" s="187"/>
      <c r="S2" s="187"/>
      <c r="T2" s="187"/>
      <c r="U2" s="187"/>
      <c r="V2" s="187"/>
      <c r="W2" s="187"/>
      <c r="X2" s="187"/>
      <c r="Y2" s="187"/>
      <c r="Z2" s="187"/>
      <c r="AA2" s="187"/>
      <c r="AB2" s="187"/>
      <c r="AC2" s="187"/>
      <c r="AD2" s="187"/>
      <c r="AE2" s="187"/>
      <c r="AF2" s="187"/>
      <c r="AG2" s="187"/>
      <c r="AH2" s="187"/>
      <c r="AI2" s="187"/>
      <c r="AJ2" s="187"/>
      <c r="AK2" s="187"/>
      <c r="AL2" s="187"/>
      <c r="AM2" s="187"/>
      <c r="AN2" s="187"/>
      <c r="AO2" s="187"/>
    </row>
    <row r="3" spans="1:41" ht="21" customHeight="1" thickBot="1">
      <c r="A3" s="2687" t="str">
        <f>OF!A11</f>
        <v>OF2</v>
      </c>
      <c r="B3" s="2687" t="str">
        <f>OF!B11</f>
        <v>Wetland + Water Total Area</v>
      </c>
      <c r="C3" s="1132" t="str">
        <f>OF!C11</f>
        <v>The total area of the AA including ponded water within or adjoining it is:</v>
      </c>
      <c r="D3" s="1361"/>
      <c r="E3" s="365"/>
      <c r="F3" s="383"/>
      <c r="G3" s="537">
        <f>MAX(F4:F9)/MAX(E4:E9)</f>
        <v>0</v>
      </c>
      <c r="H3" s="2684" t="s">
        <v>1838</v>
      </c>
      <c r="I3" s="2148" t="s">
        <v>1585</v>
      </c>
    </row>
    <row r="4" spans="1:41" ht="15" customHeight="1">
      <c r="A4" s="2688"/>
      <c r="B4" s="2688"/>
      <c r="C4" s="1780" t="str">
        <f>OF!C5</f>
        <v>&lt;0.01 hectare (about 10 m x 10 m)</v>
      </c>
      <c r="D4" s="1133">
        <f>OF!D5</f>
        <v>0</v>
      </c>
      <c r="E4" s="360">
        <v>0</v>
      </c>
      <c r="F4" s="385">
        <f t="shared" ref="F4:F9" si="0">D4*E4</f>
        <v>0</v>
      </c>
      <c r="G4" s="360"/>
      <c r="H4" s="2685"/>
      <c r="I4" s="2146"/>
    </row>
    <row r="5" spans="1:41" ht="15" customHeight="1">
      <c r="A5" s="2688"/>
      <c r="B5" s="2688"/>
      <c r="C5" s="1778" t="str">
        <f>OF!C6</f>
        <v>0.01 - 0.1 hectare</v>
      </c>
      <c r="D5" s="1133">
        <f>OF!D6</f>
        <v>0</v>
      </c>
      <c r="E5" s="360">
        <v>1</v>
      </c>
      <c r="F5" s="385">
        <f t="shared" si="0"/>
        <v>0</v>
      </c>
      <c r="G5" s="360"/>
      <c r="H5" s="2685"/>
      <c r="I5" s="2146"/>
    </row>
    <row r="6" spans="1:41" ht="15" customHeight="1">
      <c r="A6" s="2688"/>
      <c r="B6" s="2688"/>
      <c r="C6" s="1778" t="str">
        <f>OF!C7</f>
        <v>0.1 - 1 hectare</v>
      </c>
      <c r="D6" s="1133">
        <f>OF!D7</f>
        <v>0</v>
      </c>
      <c r="E6" s="360">
        <v>2</v>
      </c>
      <c r="F6" s="385">
        <f t="shared" si="0"/>
        <v>0</v>
      </c>
      <c r="G6" s="360"/>
      <c r="H6" s="2685"/>
      <c r="I6" s="2146"/>
    </row>
    <row r="7" spans="1:41" ht="15" customHeight="1">
      <c r="A7" s="2688"/>
      <c r="B7" s="2688"/>
      <c r="C7" s="1778" t="str">
        <f>OF!C8</f>
        <v>1 to 10 hectares</v>
      </c>
      <c r="D7" s="1133">
        <f>OF!D8</f>
        <v>0</v>
      </c>
      <c r="E7" s="360">
        <v>4</v>
      </c>
      <c r="F7" s="385">
        <f t="shared" si="0"/>
        <v>0</v>
      </c>
      <c r="G7" s="360"/>
      <c r="H7" s="2685"/>
      <c r="I7" s="2146"/>
    </row>
    <row r="8" spans="1:41" ht="15" customHeight="1">
      <c r="A8" s="2688"/>
      <c r="B8" s="2688"/>
      <c r="C8" s="1778" t="str">
        <f>OF!C9</f>
        <v>10 to 100 hectares</v>
      </c>
      <c r="D8" s="1133">
        <f>OF!D9</f>
        <v>0</v>
      </c>
      <c r="E8" s="360">
        <v>5</v>
      </c>
      <c r="F8" s="385">
        <f t="shared" si="0"/>
        <v>0</v>
      </c>
      <c r="G8" s="360"/>
      <c r="H8" s="2685"/>
      <c r="I8" s="2146"/>
    </row>
    <row r="9" spans="1:41" ht="15" customHeight="1" thickBot="1">
      <c r="A9" s="2689"/>
      <c r="B9" s="2689"/>
      <c r="C9" s="1779" t="str">
        <f>OF!C10</f>
        <v>&gt;100 hectares</v>
      </c>
      <c r="D9" s="1777">
        <f>OF!D10</f>
        <v>0</v>
      </c>
      <c r="E9" s="375">
        <v>6</v>
      </c>
      <c r="F9" s="389">
        <f t="shared" si="0"/>
        <v>0</v>
      </c>
      <c r="G9" s="375"/>
      <c r="H9" s="2686"/>
      <c r="I9" s="2149"/>
    </row>
    <row r="10" spans="1:41" ht="21" customHeight="1" thickBot="1">
      <c r="A10" s="2201" t="str">
        <f>OF!A59</f>
        <v>OF12</v>
      </c>
      <c r="B10" s="2211" t="str">
        <f>OF!B59</f>
        <v>Distance to Ponded Water</v>
      </c>
      <c r="C10" s="448" t="str">
        <f>OF!C59</f>
        <v>The distance from the AA edge to the closest (but separate) pond or lake is:</v>
      </c>
      <c r="D10" s="360"/>
      <c r="E10" s="360"/>
      <c r="F10" s="382"/>
      <c r="G10" s="538" t="str">
        <f>IF((FenMarsh=1),MAX(F11:F17)/MAX(E11:E17),"")</f>
        <v/>
      </c>
      <c r="H10" s="2211" t="s">
        <v>1981</v>
      </c>
      <c r="I10" s="2146" t="s">
        <v>294</v>
      </c>
    </row>
    <row r="11" spans="1:41" ht="27" customHeight="1">
      <c r="A11" s="2183"/>
      <c r="B11" s="2208"/>
      <c r="C11" s="440" t="str">
        <f>OF!C60</f>
        <v xml:space="preserve">&lt;50 m, and not separated by any width of roads, stretches of open water, row crops, lawn, bare ground, or impervious surface. </v>
      </c>
      <c r="D11" s="255">
        <f>OF!D60</f>
        <v>0</v>
      </c>
      <c r="E11" s="361">
        <v>6</v>
      </c>
      <c r="F11" s="385">
        <f t="shared" ref="F11:F17" si="1">D11*E11</f>
        <v>0</v>
      </c>
      <c r="G11" s="629"/>
      <c r="H11" s="2211"/>
      <c r="I11" s="2146"/>
    </row>
    <row r="12" spans="1:41" ht="15" customHeight="1">
      <c r="A12" s="2183"/>
      <c r="B12" s="2208"/>
      <c r="C12" s="440" t="str">
        <f>OF!C61</f>
        <v>&lt;50 m, but completely separated by those features.</v>
      </c>
      <c r="D12" s="255">
        <f>OF!D61</f>
        <v>0</v>
      </c>
      <c r="E12" s="361">
        <v>5</v>
      </c>
      <c r="F12" s="385">
        <f t="shared" si="1"/>
        <v>0</v>
      </c>
      <c r="G12" s="630"/>
      <c r="H12" s="2211"/>
      <c r="I12" s="2146"/>
    </row>
    <row r="13" spans="1:41" ht="15" customHeight="1">
      <c r="A13" s="2183"/>
      <c r="B13" s="2208"/>
      <c r="C13" s="440" t="str">
        <f>OF!C62</f>
        <v>50-500 m, and not separated.</v>
      </c>
      <c r="D13" s="255">
        <f>OF!D62</f>
        <v>0</v>
      </c>
      <c r="E13" s="361">
        <v>4</v>
      </c>
      <c r="F13" s="385">
        <f t="shared" si="1"/>
        <v>0</v>
      </c>
      <c r="G13" s="630"/>
      <c r="H13" s="2211"/>
      <c r="I13" s="2146"/>
    </row>
    <row r="14" spans="1:41" ht="15" customHeight="1">
      <c r="A14" s="2183"/>
      <c r="B14" s="2208"/>
      <c r="C14" s="440" t="str">
        <f>OF!C63</f>
        <v>50-500 m, but separated by those features.</v>
      </c>
      <c r="D14" s="255">
        <f>OF!D63</f>
        <v>0</v>
      </c>
      <c r="E14" s="361">
        <v>3</v>
      </c>
      <c r="F14" s="385">
        <f t="shared" si="1"/>
        <v>0</v>
      </c>
      <c r="G14" s="630"/>
      <c r="H14" s="2211"/>
      <c r="I14" s="2146"/>
    </row>
    <row r="15" spans="1:41" ht="15" customHeight="1">
      <c r="A15" s="2183"/>
      <c r="B15" s="2208"/>
      <c r="C15" s="440" t="str">
        <f>OF!C64</f>
        <v>0.5 - 1 km, and not separated.</v>
      </c>
      <c r="D15" s="255">
        <f>OF!D64</f>
        <v>0</v>
      </c>
      <c r="E15" s="361">
        <v>2</v>
      </c>
      <c r="F15" s="385">
        <f t="shared" si="1"/>
        <v>0</v>
      </c>
      <c r="G15" s="630"/>
      <c r="H15" s="2211"/>
      <c r="I15" s="2146"/>
    </row>
    <row r="16" spans="1:41" ht="15" customHeight="1">
      <c r="A16" s="2183"/>
      <c r="B16" s="2208"/>
      <c r="C16" s="440" t="str">
        <f>OF!C65</f>
        <v>0.5 - 1 km, but separated by those features.</v>
      </c>
      <c r="D16" s="255">
        <f>OF!D65</f>
        <v>0</v>
      </c>
      <c r="E16" s="361">
        <v>1</v>
      </c>
      <c r="F16" s="385">
        <f t="shared" si="1"/>
        <v>0</v>
      </c>
      <c r="G16" s="630"/>
      <c r="H16" s="2211"/>
      <c r="I16" s="2146"/>
    </row>
    <row r="17" spans="1:9" ht="15" customHeight="1" thickBot="1">
      <c r="A17" s="2184"/>
      <c r="B17" s="2210"/>
      <c r="C17" s="627" t="str">
        <f>OF!C66</f>
        <v>none of the above (the closest patches or corridors that large are &gt;1 km away).</v>
      </c>
      <c r="D17" s="655">
        <f>OF!D66</f>
        <v>0</v>
      </c>
      <c r="E17" s="362">
        <v>0</v>
      </c>
      <c r="F17" s="389">
        <f t="shared" si="1"/>
        <v>0</v>
      </c>
      <c r="G17" s="631"/>
      <c r="H17" s="2420"/>
      <c r="I17" s="2149"/>
    </row>
    <row r="18" spans="1:9" ht="30" customHeight="1" thickBot="1">
      <c r="A18" s="2592" t="str">
        <f>OF!A67</f>
        <v>OF13</v>
      </c>
      <c r="B18" s="2211" t="str">
        <f>OF!B67</f>
        <v>Distance to Lake</v>
      </c>
      <c r="C18" s="448" t="str">
        <f>OF!C67</f>
        <v>The distance from the AA edge to the closest (but separate) lake (a non-tidal body of water that is ponded during most of the year and is larger than 8 hectares) during most of a normal year is:</v>
      </c>
      <c r="D18" s="360"/>
      <c r="E18" s="360"/>
      <c r="F18" s="382"/>
      <c r="G18" s="538" t="str">
        <f>IF((FenMarsh=1),MAX(F19:F24)/MAX(E19:E24),"")</f>
        <v/>
      </c>
      <c r="H18" s="2211" t="s">
        <v>1839</v>
      </c>
      <c r="I18" s="2148" t="s">
        <v>295</v>
      </c>
    </row>
    <row r="19" spans="1:9" ht="15" customHeight="1">
      <c r="A19" s="2522"/>
      <c r="B19" s="2208"/>
      <c r="C19" s="440" t="str">
        <f>OF!C68</f>
        <v>&lt;100 m</v>
      </c>
      <c r="D19" s="255">
        <f>OF!D68</f>
        <v>0</v>
      </c>
      <c r="E19" s="361">
        <v>5</v>
      </c>
      <c r="F19" s="385">
        <f t="shared" ref="F19:F24" si="2">D19*E19</f>
        <v>0</v>
      </c>
      <c r="G19" s="629"/>
      <c r="H19" s="2211"/>
      <c r="I19" s="2146"/>
    </row>
    <row r="20" spans="1:9" ht="15" customHeight="1">
      <c r="A20" s="2522"/>
      <c r="B20" s="2208"/>
      <c r="C20" s="440" t="str">
        <f>OF!C69</f>
        <v>100 m - 1 km</v>
      </c>
      <c r="D20" s="255">
        <f>OF!D69</f>
        <v>0</v>
      </c>
      <c r="E20" s="361">
        <v>4</v>
      </c>
      <c r="F20" s="385">
        <f t="shared" si="2"/>
        <v>0</v>
      </c>
      <c r="G20" s="630"/>
      <c r="H20" s="2211"/>
      <c r="I20" s="2146"/>
    </row>
    <row r="21" spans="1:9" ht="15" customHeight="1">
      <c r="A21" s="2522"/>
      <c r="B21" s="2208"/>
      <c r="C21" s="440" t="str">
        <f>OF!C70</f>
        <v>1 -2 km</v>
      </c>
      <c r="D21" s="255">
        <f>OF!D70</f>
        <v>0</v>
      </c>
      <c r="E21" s="361">
        <v>3</v>
      </c>
      <c r="F21" s="385">
        <f t="shared" si="2"/>
        <v>0</v>
      </c>
      <c r="G21" s="639"/>
      <c r="H21" s="2211"/>
      <c r="I21" s="2146"/>
    </row>
    <row r="22" spans="1:9" ht="15" customHeight="1">
      <c r="A22" s="2522"/>
      <c r="B22" s="2208"/>
      <c r="C22" s="440" t="str">
        <f>OF!C71</f>
        <v>2-5 km</v>
      </c>
      <c r="D22" s="255">
        <f>OF!D71</f>
        <v>0</v>
      </c>
      <c r="E22" s="364">
        <v>2</v>
      </c>
      <c r="F22" s="387">
        <f t="shared" si="2"/>
        <v>0</v>
      </c>
      <c r="G22" s="639"/>
      <c r="H22" s="2211"/>
      <c r="I22" s="2146"/>
    </row>
    <row r="23" spans="1:9" ht="15" customHeight="1">
      <c r="A23" s="2522"/>
      <c r="B23" s="2208"/>
      <c r="C23" s="440" t="str">
        <f>OF!C72</f>
        <v>5-10 km</v>
      </c>
      <c r="D23" s="255">
        <f>OF!D72</f>
        <v>0</v>
      </c>
      <c r="E23" s="364">
        <v>1</v>
      </c>
      <c r="F23" s="385">
        <f t="shared" si="2"/>
        <v>0</v>
      </c>
      <c r="G23" s="639"/>
      <c r="H23" s="2211"/>
      <c r="I23" s="2146"/>
    </row>
    <row r="24" spans="1:9" ht="15" customHeight="1" thickBot="1">
      <c r="A24" s="2522"/>
      <c r="B24" s="2208"/>
      <c r="C24" s="440" t="str">
        <f>OF!C73</f>
        <v>&gt;10 km</v>
      </c>
      <c r="D24" s="255">
        <f>OF!D73</f>
        <v>0</v>
      </c>
      <c r="E24" s="364">
        <v>0</v>
      </c>
      <c r="F24" s="387">
        <f t="shared" si="2"/>
        <v>0</v>
      </c>
      <c r="G24" s="639"/>
      <c r="H24" s="2211"/>
      <c r="I24" s="2149"/>
    </row>
    <row r="25" spans="1:9" ht="21" customHeight="1" thickBot="1">
      <c r="A25" s="2316" t="str">
        <f>OF!A74</f>
        <v>OF14</v>
      </c>
      <c r="B25" s="2218" t="str">
        <f>OF!B74</f>
        <v>Tidal Proximity</v>
      </c>
      <c r="C25" s="439" t="str">
        <f>OF!C74</f>
        <v>The distance from the AA edge to the closest tidal water body (regardless of its salinity) is:</v>
      </c>
      <c r="D25" s="365"/>
      <c r="E25" s="365"/>
      <c r="F25" s="383"/>
      <c r="G25" s="537">
        <f>IF((D31=1),"",(MAX(F26:F31)/MAX(E26:E31)))</f>
        <v>0</v>
      </c>
      <c r="H25" s="2218" t="s">
        <v>2910</v>
      </c>
      <c r="I25" s="2148" t="s">
        <v>296</v>
      </c>
    </row>
    <row r="26" spans="1:9" ht="15" customHeight="1">
      <c r="A26" s="2183"/>
      <c r="B26" s="2208"/>
      <c r="C26" s="440" t="str">
        <f>OF!C75</f>
        <v>&lt;100 m</v>
      </c>
      <c r="D26" s="255">
        <f>OF!D75</f>
        <v>0</v>
      </c>
      <c r="E26" s="361">
        <v>9</v>
      </c>
      <c r="F26" s="385">
        <f t="shared" ref="F26:F31" si="3">D26*E26</f>
        <v>0</v>
      </c>
      <c r="G26" s="629"/>
      <c r="H26" s="2211"/>
      <c r="I26" s="2146"/>
    </row>
    <row r="27" spans="1:9" ht="15" customHeight="1">
      <c r="A27" s="2183"/>
      <c r="B27" s="2208"/>
      <c r="C27" s="440" t="str">
        <f>OF!C76</f>
        <v>100 m - 1 km</v>
      </c>
      <c r="D27" s="255">
        <f>OF!D76</f>
        <v>0</v>
      </c>
      <c r="E27" s="361">
        <v>7</v>
      </c>
      <c r="F27" s="385">
        <f t="shared" si="3"/>
        <v>0</v>
      </c>
      <c r="G27" s="630"/>
      <c r="H27" s="2211"/>
      <c r="I27" s="2146"/>
    </row>
    <row r="28" spans="1:9" ht="15" customHeight="1">
      <c r="A28" s="2183"/>
      <c r="B28" s="2208"/>
      <c r="C28" s="440" t="str">
        <f>OF!C77</f>
        <v>1 - 5 km</v>
      </c>
      <c r="D28" s="255">
        <f>OF!D77</f>
        <v>0</v>
      </c>
      <c r="E28" s="361">
        <v>6</v>
      </c>
      <c r="F28" s="385">
        <f t="shared" si="3"/>
        <v>0</v>
      </c>
      <c r="G28" s="630"/>
      <c r="H28" s="2211"/>
      <c r="I28" s="2146"/>
    </row>
    <row r="29" spans="1:9" ht="15" customHeight="1">
      <c r="A29" s="2183"/>
      <c r="B29" s="2208"/>
      <c r="C29" s="440" t="str">
        <f>OF!C78</f>
        <v>5-10 km</v>
      </c>
      <c r="D29" s="255">
        <f>OF!D78</f>
        <v>0</v>
      </c>
      <c r="E29" s="361">
        <v>4</v>
      </c>
      <c r="F29" s="385">
        <f t="shared" si="3"/>
        <v>0</v>
      </c>
      <c r="G29" s="630"/>
      <c r="H29" s="2211"/>
      <c r="I29" s="2146"/>
    </row>
    <row r="30" spans="1:9" ht="15" customHeight="1">
      <c r="A30" s="2183"/>
      <c r="B30" s="2208"/>
      <c r="C30" s="440" t="str">
        <f>OF!C79</f>
        <v>10-40 km</v>
      </c>
      <c r="D30" s="255">
        <f>OF!D79</f>
        <v>0</v>
      </c>
      <c r="E30" s="364">
        <v>2</v>
      </c>
      <c r="F30" s="387">
        <f t="shared" si="3"/>
        <v>0</v>
      </c>
      <c r="G30" s="639"/>
      <c r="H30" s="2211"/>
      <c r="I30" s="2146"/>
    </row>
    <row r="31" spans="1:9" ht="15" customHeight="1" thickBot="1">
      <c r="A31" s="2184"/>
      <c r="B31" s="2210"/>
      <c r="C31" s="627" t="str">
        <f>OF!C80</f>
        <v>&gt;40 km</v>
      </c>
      <c r="D31" s="655">
        <f>OF!D80</f>
        <v>0</v>
      </c>
      <c r="E31" s="362">
        <v>0</v>
      </c>
      <c r="F31" s="389">
        <f t="shared" si="3"/>
        <v>0</v>
      </c>
      <c r="G31" s="631"/>
      <c r="H31" s="2420"/>
      <c r="I31" s="2149"/>
    </row>
    <row r="32" spans="1:9" ht="45" customHeight="1" thickBot="1">
      <c r="A32" s="2361" t="str">
        <f>OF!A95</f>
        <v>OF21</v>
      </c>
      <c r="B32" s="2146" t="str">
        <f>OF!B95</f>
        <v xml:space="preserve">Degraded Water Upstream </v>
      </c>
      <c r="C32" s="658" t="str">
        <f>OF!C95</f>
        <v xml:space="preserve">Sampling indicates a problem with concentrations of metals, hydrocarbons, nutrients, or other substances (excluding bacteria, high temperatures) being present at levels harmful to aquatic life or humans, and:  </v>
      </c>
      <c r="D32" s="360"/>
      <c r="E32" s="391"/>
      <c r="F32" s="702"/>
      <c r="G32" s="538">
        <f>IF((D36=1),"", IF((D35=1),1, IF((D34=1),0.2, 0)))</f>
        <v>0</v>
      </c>
      <c r="H32" s="2211" t="s">
        <v>1840</v>
      </c>
      <c r="I32" s="2146" t="s">
        <v>298</v>
      </c>
    </row>
    <row r="33" spans="1:9" ht="15" customHeight="1">
      <c r="A33" s="2361"/>
      <c r="B33" s="2146"/>
      <c r="C33" s="656" t="str">
        <f>OF!C96</f>
        <v>The condition is present within the AA.</v>
      </c>
      <c r="D33" s="354">
        <f>OF!D96</f>
        <v>0</v>
      </c>
      <c r="E33" s="385"/>
      <c r="F33" s="385"/>
      <c r="G33" s="629"/>
      <c r="H33" s="2211"/>
      <c r="I33" s="2146"/>
    </row>
    <row r="34" spans="1:9" ht="27" customHeight="1">
      <c r="A34" s="2361"/>
      <c r="B34" s="2146"/>
      <c r="C34" s="437" t="str">
        <f>OF!C97</f>
        <v>The condition is present in waters within 1 km that flow into the AA, but has not been documented in the AA itself.</v>
      </c>
      <c r="D34" s="254">
        <f>OF!D97</f>
        <v>0</v>
      </c>
      <c r="E34" s="385"/>
      <c r="F34" s="385"/>
      <c r="G34" s="630"/>
      <c r="H34" s="2211"/>
      <c r="I34" s="2146"/>
    </row>
    <row r="35" spans="1:9" ht="27" customHeight="1">
      <c r="A35" s="2361"/>
      <c r="B35" s="2146"/>
      <c r="C35" s="437" t="str">
        <f>OF!C98</f>
        <v>Sampling during both low water periods and times with high runoff (storms, snowmelt) indicates no problems in either the AA or inflowing waters.</v>
      </c>
      <c r="D35" s="254">
        <f>OF!D98</f>
        <v>0</v>
      </c>
      <c r="E35" s="385"/>
      <c r="F35" s="385"/>
      <c r="G35" s="630"/>
      <c r="H35" s="2211"/>
      <c r="I35" s="2146"/>
    </row>
    <row r="36" spans="1:9" ht="27" customHeight="1" thickBot="1">
      <c r="A36" s="2361"/>
      <c r="B36" s="2146"/>
      <c r="C36" s="437" t="str">
        <f>OF!C99</f>
        <v>Data are insufficient (no or inadequate sampling within 1 km, or condition exists only at &gt;1 km upstream). This is the situation for nearly all NB wetlands.</v>
      </c>
      <c r="D36" s="254">
        <f>OF!D99</f>
        <v>0</v>
      </c>
      <c r="E36" s="387"/>
      <c r="F36" s="387"/>
      <c r="G36" s="639"/>
      <c r="H36" s="2211"/>
      <c r="I36" s="2149"/>
    </row>
    <row r="37" spans="1:9" ht="30" customHeight="1" thickBot="1">
      <c r="A37" s="2343" t="str">
        <f>OF!A129</f>
        <v>OF28</v>
      </c>
      <c r="B37" s="2340" t="str">
        <f>OF!B129</f>
        <v>Growing Degree Days</v>
      </c>
      <c r="C37" s="411" t="str">
        <f>OF!C129</f>
        <v>According to Figure A-1 in Appendix A of the Manual, the mean annual Growing Degree Days (GDD) in the vicinity of the AA is approximately:</v>
      </c>
      <c r="D37" s="365"/>
      <c r="E37" s="576"/>
      <c r="F37" s="583"/>
      <c r="G37" s="577">
        <f>MAX(F38:F43)/MAX(E38:E43)</f>
        <v>0</v>
      </c>
      <c r="H37" s="2148" t="s">
        <v>1132</v>
      </c>
      <c r="I37" s="2148" t="s">
        <v>1147</v>
      </c>
    </row>
    <row r="38" spans="1:9" ht="15" customHeight="1">
      <c r="A38" s="2329"/>
      <c r="B38" s="2341"/>
      <c r="C38" s="170" t="str">
        <f>OF!C130</f>
        <v>800-1000 days</v>
      </c>
      <c r="D38" s="261">
        <f>OF!D130</f>
        <v>0</v>
      </c>
      <c r="E38" s="369">
        <v>0</v>
      </c>
      <c r="F38" s="370">
        <f t="shared" ref="F38:F43" si="4">D38*E38</f>
        <v>0</v>
      </c>
      <c r="G38" s="578"/>
      <c r="H38" s="2146"/>
      <c r="I38" s="2146"/>
    </row>
    <row r="39" spans="1:9" ht="15" customHeight="1">
      <c r="A39" s="2329"/>
      <c r="B39" s="2341"/>
      <c r="C39" s="82" t="str">
        <f>OF!C131</f>
        <v>1000-1200</v>
      </c>
      <c r="D39" s="245">
        <f>OF!D131</f>
        <v>0</v>
      </c>
      <c r="E39" s="369">
        <v>1</v>
      </c>
      <c r="F39" s="370">
        <f t="shared" si="4"/>
        <v>0</v>
      </c>
      <c r="G39" s="578"/>
      <c r="H39" s="2146"/>
      <c r="I39" s="2146"/>
    </row>
    <row r="40" spans="1:9" ht="15" customHeight="1">
      <c r="A40" s="2329"/>
      <c r="B40" s="2341"/>
      <c r="C40" s="82" t="str">
        <f>OF!C132</f>
        <v>1200-1400</v>
      </c>
      <c r="D40" s="245">
        <f>OF!D132</f>
        <v>0</v>
      </c>
      <c r="E40" s="369">
        <v>2</v>
      </c>
      <c r="F40" s="370">
        <f t="shared" si="4"/>
        <v>0</v>
      </c>
      <c r="G40" s="578"/>
      <c r="H40" s="2146"/>
      <c r="I40" s="2146"/>
    </row>
    <row r="41" spans="1:9" ht="15" customHeight="1">
      <c r="A41" s="2329"/>
      <c r="B41" s="2341"/>
      <c r="C41" s="82" t="str">
        <f>OF!C133</f>
        <v>1400-1600</v>
      </c>
      <c r="D41" s="245">
        <f>OF!D133</f>
        <v>0</v>
      </c>
      <c r="E41" s="369">
        <v>3</v>
      </c>
      <c r="F41" s="370">
        <f t="shared" si="4"/>
        <v>0</v>
      </c>
      <c r="G41" s="578"/>
      <c r="H41" s="2146"/>
      <c r="I41" s="2146"/>
    </row>
    <row r="42" spans="1:9" ht="15" customHeight="1">
      <c r="A42" s="2329"/>
      <c r="B42" s="2341"/>
      <c r="C42" s="82" t="str">
        <f>OF!C134</f>
        <v>1600-1800</v>
      </c>
      <c r="D42" s="245">
        <f>OF!D134</f>
        <v>0</v>
      </c>
      <c r="E42" s="369">
        <v>4</v>
      </c>
      <c r="F42" s="370">
        <f t="shared" si="4"/>
        <v>0</v>
      </c>
      <c r="G42" s="579"/>
      <c r="H42" s="2146"/>
      <c r="I42" s="2146"/>
    </row>
    <row r="43" spans="1:9" ht="15" customHeight="1" thickBot="1">
      <c r="A43" s="2330"/>
      <c r="B43" s="2342"/>
      <c r="C43" s="438" t="str">
        <f>OF!C135</f>
        <v>&gt;1800 days</v>
      </c>
      <c r="D43" s="246">
        <f>OF!D135</f>
        <v>0</v>
      </c>
      <c r="E43" s="580">
        <v>5</v>
      </c>
      <c r="F43" s="581">
        <f t="shared" si="4"/>
        <v>0</v>
      </c>
      <c r="G43" s="582"/>
      <c r="H43" s="2149"/>
      <c r="I43" s="2149"/>
    </row>
    <row r="44" spans="1:9" ht="30" customHeight="1" thickBot="1">
      <c r="A44" s="2668" t="str">
        <f>OF!A136</f>
        <v>OF29</v>
      </c>
      <c r="B44" s="2321" t="str">
        <f>OF!B136</f>
        <v>Fish Access or Use</v>
      </c>
      <c r="C44" s="448" t="str">
        <f>OF!C136</f>
        <v>According to agency biologists and/or your own observations, the AA: [mark just the first choice that is true]:</v>
      </c>
      <c r="D44" s="365"/>
      <c r="E44" s="360"/>
      <c r="F44" s="382"/>
      <c r="G44" s="538">
        <f>IF((NoPonded=1),"", IF((D48=1),"",1))</f>
        <v>1</v>
      </c>
      <c r="H44" s="2146" t="s">
        <v>1575</v>
      </c>
      <c r="I44" s="2148" t="s">
        <v>297</v>
      </c>
    </row>
    <row r="45" spans="1:9" ht="15" customHeight="1">
      <c r="A45" s="2668"/>
      <c r="B45" s="2319"/>
      <c r="C45" s="440" t="str">
        <f>OF!C137</f>
        <v xml:space="preserve">is known to support Atlantic salmon rearing and/or spawning.  In NB, consult Figure A-2 in Appendix A of the Manual, or local fishery biologists. </v>
      </c>
      <c r="D45" s="255">
        <f>OF!D137</f>
        <v>0</v>
      </c>
      <c r="E45" s="361">
        <v>1</v>
      </c>
      <c r="F45" s="385">
        <f>D45*E45</f>
        <v>0</v>
      </c>
      <c r="G45" s="629"/>
      <c r="H45" s="2146"/>
      <c r="I45" s="2146"/>
    </row>
    <row r="46" spans="1:9" ht="27" customHeight="1">
      <c r="A46" s="2668"/>
      <c r="B46" s="2319"/>
      <c r="C46" s="651" t="str">
        <f>OF!C138</f>
        <v xml:space="preserve">is connected to nearby waters containing Atlantic salmon and is probably salmon-accessible during some conditions, but anadromous salmon have not been documented in the AA. </v>
      </c>
      <c r="D46" s="78">
        <f>OF!D138</f>
        <v>0</v>
      </c>
      <c r="E46" s="361">
        <v>1</v>
      </c>
      <c r="F46" s="385">
        <f>D46*E46</f>
        <v>0</v>
      </c>
      <c r="G46" s="630"/>
      <c r="H46" s="2146"/>
      <c r="I46" s="2146"/>
    </row>
    <row r="47" spans="1:9" ht="27" customHeight="1">
      <c r="A47" s="2668"/>
      <c r="B47" s="2319"/>
      <c r="C47" s="651" t="str">
        <f>OF!C139</f>
        <v>is not connected to nearby salmon waters, but is known or likely to have other fish at least seasonally.  In NB: includes but not limited to:  http://www2.gnb.ca/content/gnb/en/departments/natural_resources/fish/content/StockedWaters.html</v>
      </c>
      <c r="D47" s="78">
        <f>OF!D139</f>
        <v>0</v>
      </c>
      <c r="E47" s="361">
        <v>1</v>
      </c>
      <c r="F47" s="385">
        <f>D47*E47</f>
        <v>0</v>
      </c>
      <c r="G47" s="630"/>
      <c r="H47" s="2146"/>
      <c r="I47" s="2146"/>
    </row>
    <row r="48" spans="1:9" ht="15" customHeight="1" thickBot="1">
      <c r="A48" s="2668"/>
      <c r="B48" s="2319"/>
      <c r="C48" s="651" t="str">
        <f>OF!C140</f>
        <v xml:space="preserve">is known or likely to be fishless (e.g., too small, dry, and/or not accessible even temporarily). </v>
      </c>
      <c r="D48" s="78">
        <f>OF!D140</f>
        <v>0</v>
      </c>
      <c r="E48" s="361">
        <v>0</v>
      </c>
      <c r="F48" s="385">
        <f>D48*E48</f>
        <v>0</v>
      </c>
      <c r="G48" s="630"/>
      <c r="H48" s="2146"/>
      <c r="I48" s="2149"/>
    </row>
    <row r="49" spans="1:41" s="8" customFormat="1" ht="21" customHeight="1" thickBot="1">
      <c r="A49" s="2148" t="str">
        <f>F!A4</f>
        <v>F1</v>
      </c>
      <c r="B49" s="2148" t="str">
        <f>F!B4</f>
        <v>Wetland Type</v>
      </c>
      <c r="C49" s="136" t="str">
        <f>F!C4</f>
        <v>The vegetated part of the Assessment Area (AA) is mostly a (select ONE):</v>
      </c>
      <c r="D49" s="365"/>
      <c r="E49" s="499"/>
      <c r="F49" s="383"/>
      <c r="G49" s="500">
        <f>MAX(F50:F53)/MAX(E50:E53)</f>
        <v>0</v>
      </c>
      <c r="H49" s="2148" t="s">
        <v>1118</v>
      </c>
      <c r="I49" s="2148" t="s">
        <v>302</v>
      </c>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row>
    <row r="50" spans="1:41" s="8" customFormat="1" ht="57" customHeight="1">
      <c r="A50" s="2146"/>
      <c r="B50" s="2146"/>
      <c r="C50" s="1072"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50" s="354">
        <f>F!D5</f>
        <v>0</v>
      </c>
      <c r="E50" s="391">
        <v>0</v>
      </c>
      <c r="F50" s="385">
        <f>D50*E50</f>
        <v>0</v>
      </c>
      <c r="G50" s="501"/>
      <c r="H50" s="2146"/>
      <c r="I50" s="2146"/>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row>
    <row r="51" spans="1:41" s="8" customFormat="1" ht="57" customHeight="1">
      <c r="A51" s="2146"/>
      <c r="B51" s="2146"/>
      <c r="C51" s="659"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51" s="254">
        <f>F!D6</f>
        <v>0</v>
      </c>
      <c r="E51" s="391">
        <v>1</v>
      </c>
      <c r="F51" s="385">
        <f>D51*E51</f>
        <v>0</v>
      </c>
      <c r="G51" s="501"/>
      <c r="H51" s="2146"/>
      <c r="I51" s="2146"/>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row>
    <row r="52" spans="1:41" s="8" customFormat="1" ht="69" customHeight="1">
      <c r="A52" s="2146"/>
      <c r="B52" s="2146"/>
      <c r="C52" s="659"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52" s="254">
        <f>F!D7</f>
        <v>0</v>
      </c>
      <c r="E52" s="391">
        <v>2</v>
      </c>
      <c r="F52" s="385">
        <f>D52*E52</f>
        <v>0</v>
      </c>
      <c r="G52" s="501"/>
      <c r="H52" s="2146"/>
      <c r="I52" s="2146"/>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row>
    <row r="53" spans="1:41" s="8" customFormat="1" ht="69" customHeight="1" thickBot="1">
      <c r="A53" s="2149"/>
      <c r="B53" s="2149"/>
      <c r="C53" s="659"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53" s="254">
        <f>F!D8</f>
        <v>0</v>
      </c>
      <c r="E53" s="698">
        <v>3</v>
      </c>
      <c r="F53" s="387">
        <f>D53*E53</f>
        <v>0</v>
      </c>
      <c r="G53" s="697"/>
      <c r="H53" s="2149"/>
      <c r="I53" s="2149"/>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row>
    <row r="54" spans="1:41" s="8" customFormat="1" ht="60" customHeight="1" thickBot="1">
      <c r="A54" s="2491" t="str">
        <f>F!A9</f>
        <v>F2</v>
      </c>
      <c r="B54" s="2148" t="str">
        <f>F!B9</f>
        <v xml:space="preserve">Wetland Types - Adjoining or Subordinate </v>
      </c>
      <c r="C54" s="81" t="str">
        <f>F!C9</f>
        <v>Mark all other vegetated wetland types you can see (from ground or in aerial imagery) that adjoin the AA or are within it, but only if visible during your visit or from aerial imagery, AND either they are larger than 1 hectare OR comprise more than 1% of contiguous wetland. Do not mark the predominant type again.</v>
      </c>
      <c r="D54" s="499"/>
      <c r="E54" s="499"/>
      <c r="F54" s="499"/>
      <c r="G54" s="665">
        <f>SUM(D55:D58)/4</f>
        <v>0</v>
      </c>
      <c r="H54" s="2491" t="s">
        <v>2117</v>
      </c>
      <c r="I54" s="2148" t="s">
        <v>2118</v>
      </c>
      <c r="J54" s="553"/>
      <c r="K54" s="553"/>
      <c r="L54" s="553"/>
      <c r="M54" s="553"/>
      <c r="N54" s="553"/>
      <c r="O54" s="553"/>
      <c r="P54" s="553"/>
      <c r="Q54" s="553"/>
      <c r="R54" s="553"/>
      <c r="S54" s="553"/>
      <c r="T54" s="553"/>
      <c r="U54" s="553"/>
      <c r="V54" s="553"/>
      <c r="W54" s="553"/>
      <c r="X54" s="553"/>
      <c r="Y54" s="553"/>
      <c r="Z54" s="553"/>
      <c r="AA54" s="553"/>
      <c r="AB54" s="553"/>
      <c r="AC54" s="553"/>
      <c r="AD54" s="553"/>
      <c r="AE54" s="553"/>
      <c r="AF54" s="553"/>
      <c r="AG54" s="553"/>
      <c r="AH54" s="553"/>
      <c r="AI54" s="553"/>
      <c r="AJ54" s="553"/>
      <c r="AK54" s="553"/>
      <c r="AL54" s="553"/>
      <c r="AM54" s="553"/>
      <c r="AN54" s="553"/>
      <c r="AO54" s="553"/>
    </row>
    <row r="55" spans="1:41" s="8" customFormat="1" ht="15" customHeight="1">
      <c r="A55" s="2492"/>
      <c r="B55" s="2146"/>
      <c r="C55" s="1411" t="str">
        <f>F!C10</f>
        <v>Swamp (with or without vernal pools)</v>
      </c>
      <c r="D55" s="247">
        <f>F!D10</f>
        <v>0</v>
      </c>
      <c r="E55" s="385"/>
      <c r="F55" s="385"/>
      <c r="G55" s="1379"/>
      <c r="H55" s="2492"/>
      <c r="I55" s="2146"/>
      <c r="J55" s="553"/>
      <c r="K55" s="553"/>
      <c r="L55" s="553"/>
      <c r="M55" s="553"/>
      <c r="N55" s="553"/>
      <c r="O55" s="553"/>
      <c r="P55" s="553"/>
      <c r="Q55" s="553"/>
      <c r="R55" s="553"/>
      <c r="S55" s="553"/>
      <c r="T55" s="553"/>
      <c r="U55" s="553"/>
      <c r="V55" s="553"/>
      <c r="W55" s="553"/>
      <c r="X55" s="553"/>
      <c r="Y55" s="553"/>
      <c r="Z55" s="553"/>
      <c r="AA55" s="553"/>
      <c r="AB55" s="553"/>
      <c r="AC55" s="553"/>
      <c r="AD55" s="553"/>
      <c r="AE55" s="553"/>
      <c r="AF55" s="553"/>
      <c r="AG55" s="553"/>
      <c r="AH55" s="553"/>
      <c r="AI55" s="553"/>
      <c r="AJ55" s="553"/>
      <c r="AK55" s="553"/>
      <c r="AL55" s="553"/>
      <c r="AM55" s="553"/>
      <c r="AN55" s="553"/>
      <c r="AO55" s="553"/>
    </row>
    <row r="56" spans="1:41" s="8" customFormat="1" ht="15" customHeight="1">
      <c r="A56" s="2492"/>
      <c r="B56" s="2146"/>
      <c r="C56" s="1412" t="str">
        <f>F!C11</f>
        <v>Bog</v>
      </c>
      <c r="D56" s="247">
        <f>F!D11</f>
        <v>0</v>
      </c>
      <c r="E56" s="385"/>
      <c r="F56" s="385"/>
      <c r="G56" s="1379"/>
      <c r="H56" s="2492"/>
      <c r="I56" s="2146"/>
      <c r="J56" s="553"/>
      <c r="K56" s="553"/>
      <c r="L56" s="553"/>
      <c r="M56" s="553"/>
      <c r="N56" s="553"/>
      <c r="O56" s="553"/>
      <c r="P56" s="553"/>
      <c r="Q56" s="553"/>
      <c r="R56" s="553"/>
      <c r="S56" s="553"/>
      <c r="T56" s="553"/>
      <c r="U56" s="553"/>
      <c r="V56" s="553"/>
      <c r="W56" s="553"/>
      <c r="X56" s="553"/>
      <c r="Y56" s="553"/>
      <c r="Z56" s="553"/>
      <c r="AA56" s="553"/>
      <c r="AB56" s="553"/>
      <c r="AC56" s="553"/>
      <c r="AD56" s="553"/>
      <c r="AE56" s="553"/>
      <c r="AF56" s="553"/>
      <c r="AG56" s="553"/>
      <c r="AH56" s="553"/>
      <c r="AI56" s="553"/>
      <c r="AJ56" s="553"/>
      <c r="AK56" s="553"/>
      <c r="AL56" s="553"/>
      <c r="AM56" s="553"/>
      <c r="AN56" s="553"/>
      <c r="AO56" s="553"/>
    </row>
    <row r="57" spans="1:41" s="8" customFormat="1" ht="15" customHeight="1">
      <c r="A57" s="2492"/>
      <c r="B57" s="2146"/>
      <c r="C57" s="1412" t="str">
        <f>F!C12</f>
        <v>Fen</v>
      </c>
      <c r="D57" s="247">
        <f>F!D12</f>
        <v>0</v>
      </c>
      <c r="E57" s="385"/>
      <c r="F57" s="385"/>
      <c r="G57" s="1379"/>
      <c r="H57" s="2492"/>
      <c r="I57" s="2146"/>
      <c r="J57" s="553"/>
      <c r="K57" s="553"/>
      <c r="L57" s="553"/>
      <c r="M57" s="553"/>
      <c r="N57" s="553"/>
      <c r="O57" s="553"/>
      <c r="P57" s="553"/>
      <c r="Q57" s="553"/>
      <c r="R57" s="553"/>
      <c r="S57" s="553"/>
      <c r="T57" s="553"/>
      <c r="U57" s="553"/>
      <c r="V57" s="553"/>
      <c r="W57" s="553"/>
      <c r="X57" s="553"/>
      <c r="Y57" s="553"/>
      <c r="Z57" s="553"/>
      <c r="AA57" s="553"/>
      <c r="AB57" s="553"/>
      <c r="AC57" s="553"/>
      <c r="AD57" s="553"/>
      <c r="AE57" s="553"/>
      <c r="AF57" s="553"/>
      <c r="AG57" s="553"/>
      <c r="AH57" s="553"/>
      <c r="AI57" s="553"/>
      <c r="AJ57" s="553"/>
      <c r="AK57" s="553"/>
      <c r="AL57" s="553"/>
      <c r="AM57" s="553"/>
      <c r="AN57" s="553"/>
      <c r="AO57" s="553"/>
    </row>
    <row r="58" spans="1:41" s="8" customFormat="1" ht="15" customHeight="1" thickBot="1">
      <c r="A58" s="2493"/>
      <c r="B58" s="2149"/>
      <c r="C58" s="1410" t="str">
        <f>F!C13</f>
        <v>Marsh</v>
      </c>
      <c r="D58" s="248">
        <f>F!D13</f>
        <v>0</v>
      </c>
      <c r="E58" s="389"/>
      <c r="F58" s="389"/>
      <c r="G58" s="1380"/>
      <c r="H58" s="2493"/>
      <c r="I58" s="2149"/>
      <c r="J58" s="553"/>
      <c r="K58" s="553"/>
      <c r="L58" s="553"/>
      <c r="M58" s="553"/>
      <c r="N58" s="553"/>
      <c r="O58" s="553"/>
      <c r="P58" s="553"/>
      <c r="Q58" s="553"/>
      <c r="R58" s="553"/>
      <c r="S58" s="553"/>
      <c r="T58" s="553"/>
      <c r="U58" s="553"/>
      <c r="V58" s="553"/>
      <c r="W58" s="553"/>
      <c r="X58" s="553"/>
      <c r="Y58" s="553"/>
      <c r="Z58" s="553"/>
      <c r="AA58" s="553"/>
      <c r="AB58" s="553"/>
      <c r="AC58" s="553"/>
      <c r="AD58" s="553"/>
      <c r="AE58" s="553"/>
      <c r="AF58" s="553"/>
      <c r="AG58" s="553"/>
      <c r="AH58" s="553"/>
      <c r="AI58" s="553"/>
      <c r="AJ58" s="553"/>
      <c r="AK58" s="553"/>
      <c r="AL58" s="553"/>
      <c r="AM58" s="553"/>
      <c r="AN58" s="553"/>
      <c r="AO58" s="553"/>
    </row>
    <row r="59" spans="1:41" ht="45" customHeight="1" thickBot="1">
      <c r="A59" s="2316" t="str">
        <f>F!A77</f>
        <v>F15</v>
      </c>
      <c r="B59" s="2218" t="str">
        <f>F!B77</f>
        <v xml:space="preserve">Shorebird Feeding Habitats </v>
      </c>
      <c r="C59" s="448" t="str">
        <f>F!C77</f>
        <v>During any 2 consecutive weeks of the growing season, the extent of mudflats, bare unshaded saturated areas not covered by thatch, and unshaded waters shallower than 6 cm is:  [include also any area that directly adjoins the AA].</v>
      </c>
      <c r="D59" s="360"/>
      <c r="E59" s="360"/>
      <c r="F59" s="382"/>
      <c r="G59" s="538">
        <f>MAX(F60:F63)/MAX(E60:E63)</f>
        <v>0</v>
      </c>
      <c r="H59" s="2218" t="s">
        <v>1903</v>
      </c>
      <c r="I59" s="2148" t="s">
        <v>290</v>
      </c>
    </row>
    <row r="60" spans="1:41" ht="15" customHeight="1">
      <c r="A60" s="2183"/>
      <c r="B60" s="2208"/>
      <c r="C60" s="440" t="str">
        <f>F!C78</f>
        <v>none, or &lt;100 sq. m.</v>
      </c>
      <c r="D60" s="255">
        <f>F!D78</f>
        <v>0</v>
      </c>
      <c r="E60" s="361">
        <v>0</v>
      </c>
      <c r="F60" s="385">
        <f>D60*E60</f>
        <v>0</v>
      </c>
      <c r="G60" s="629"/>
      <c r="H60" s="2211"/>
      <c r="I60" s="2146"/>
    </row>
    <row r="61" spans="1:41" ht="15" customHeight="1">
      <c r="A61" s="2183"/>
      <c r="B61" s="2208"/>
      <c r="C61" s="651" t="str">
        <f>F!C79</f>
        <v>100-1000 sq. m.</v>
      </c>
      <c r="D61" s="78">
        <f>F!D79</f>
        <v>0</v>
      </c>
      <c r="E61" s="361">
        <v>2</v>
      </c>
      <c r="F61" s="385">
        <f>D61*E61</f>
        <v>0</v>
      </c>
      <c r="G61" s="630"/>
      <c r="H61" s="2211"/>
      <c r="I61" s="2146"/>
    </row>
    <row r="62" spans="1:41" ht="15" customHeight="1">
      <c r="A62" s="2183"/>
      <c r="B62" s="2208"/>
      <c r="C62" s="651" t="str">
        <f>F!C80</f>
        <v>1000 – 10,000 sq. m.</v>
      </c>
      <c r="D62" s="78">
        <f>F!D80</f>
        <v>0</v>
      </c>
      <c r="E62" s="361">
        <v>3</v>
      </c>
      <c r="F62" s="385">
        <f>D62*E62</f>
        <v>0</v>
      </c>
      <c r="G62" s="630"/>
      <c r="H62" s="2211"/>
      <c r="I62" s="2146"/>
    </row>
    <row r="63" spans="1:41" ht="15" customHeight="1" thickBot="1">
      <c r="A63" s="2184"/>
      <c r="B63" s="2210"/>
      <c r="C63" s="441" t="str">
        <f>F!C81</f>
        <v xml:space="preserve">&gt;10,000 sq. m. </v>
      </c>
      <c r="D63" s="193">
        <f>F!D81</f>
        <v>0</v>
      </c>
      <c r="E63" s="362">
        <v>4</v>
      </c>
      <c r="F63" s="389">
        <f>D63*E63</f>
        <v>0</v>
      </c>
      <c r="G63" s="631"/>
      <c r="H63" s="2420"/>
      <c r="I63" s="2149"/>
    </row>
    <row r="64" spans="1:41" ht="30" customHeight="1" thickBot="1">
      <c r="A64" s="2316" t="str">
        <f>F!A82</f>
        <v>F16</v>
      </c>
      <c r="B64" s="2218" t="str">
        <f>F!B82</f>
        <v>Herbaceous % of Vegetated Wetland</v>
      </c>
      <c r="C64" s="439" t="str">
        <f>F!C82</f>
        <v>In aerial ("ducks eye") view, the maximum annual cover of herbaceous vegetation (excluding moss) is:</v>
      </c>
      <c r="D64" s="365"/>
      <c r="E64" s="365"/>
      <c r="F64" s="383"/>
      <c r="G64" s="537">
        <f>MAX(F65:F69)/MAX(E65:E69)</f>
        <v>0</v>
      </c>
      <c r="H64" s="2218" t="s">
        <v>1605</v>
      </c>
      <c r="I64" s="2148" t="s">
        <v>289</v>
      </c>
    </row>
    <row r="65" spans="1:9" ht="27" customHeight="1">
      <c r="A65" s="2183"/>
      <c r="B65" s="2208"/>
      <c r="C65" s="440" t="str">
        <f>F!C83</f>
        <v>&lt;5% of the vegetated part of the AA or &lt;0.01 hectare (whichever is less). Mark "1" here and SKIP to F20 (Invasive Plant Cover).</v>
      </c>
      <c r="D65" s="255">
        <f>F!D83</f>
        <v>0</v>
      </c>
      <c r="E65" s="361">
        <v>0</v>
      </c>
      <c r="F65" s="385">
        <f>D65*E65</f>
        <v>0</v>
      </c>
      <c r="G65" s="629"/>
      <c r="H65" s="2211"/>
      <c r="I65" s="2146"/>
    </row>
    <row r="66" spans="1:9" ht="15" customHeight="1">
      <c r="A66" s="2183"/>
      <c r="B66" s="2208"/>
      <c r="C66" s="1077" t="str">
        <f>F!C84</f>
        <v>5-25% of the vegetated part of the AA.</v>
      </c>
      <c r="D66" s="78">
        <f>F!D84</f>
        <v>0</v>
      </c>
      <c r="E66" s="361">
        <v>2</v>
      </c>
      <c r="F66" s="385">
        <f>D66*E66</f>
        <v>0</v>
      </c>
      <c r="G66" s="630"/>
      <c r="H66" s="2211"/>
      <c r="I66" s="2146"/>
    </row>
    <row r="67" spans="1:9" ht="15" customHeight="1">
      <c r="A67" s="2183"/>
      <c r="B67" s="2208"/>
      <c r="C67" s="1077" t="str">
        <f>F!C85</f>
        <v>25-50% of the vegetated part of the AA.</v>
      </c>
      <c r="D67" s="78">
        <f>F!D85</f>
        <v>0</v>
      </c>
      <c r="E67" s="361">
        <v>3</v>
      </c>
      <c r="F67" s="385">
        <f>D67*E67</f>
        <v>0</v>
      </c>
      <c r="G67" s="630"/>
      <c r="H67" s="2211"/>
      <c r="I67" s="2146"/>
    </row>
    <row r="68" spans="1:9" ht="15" customHeight="1">
      <c r="A68" s="2183"/>
      <c r="B68" s="2208"/>
      <c r="C68" s="1077" t="str">
        <f>F!C86</f>
        <v>50-95% of the vegetated part of the AA.</v>
      </c>
      <c r="D68" s="78">
        <f>F!D86</f>
        <v>0</v>
      </c>
      <c r="E68" s="361">
        <v>4</v>
      </c>
      <c r="F68" s="385">
        <f>D68*E68</f>
        <v>0</v>
      </c>
      <c r="G68" s="630"/>
      <c r="H68" s="2211"/>
      <c r="I68" s="2146"/>
    </row>
    <row r="69" spans="1:9" ht="15" customHeight="1" thickBot="1">
      <c r="A69" s="2184"/>
      <c r="B69" s="2210"/>
      <c r="C69" s="441" t="str">
        <f>F!C87</f>
        <v>&gt;95% of the vegetated part of the AA.</v>
      </c>
      <c r="D69" s="193">
        <f>F!D87</f>
        <v>0</v>
      </c>
      <c r="E69" s="362">
        <v>5</v>
      </c>
      <c r="F69" s="389">
        <f>D69*E69</f>
        <v>0</v>
      </c>
      <c r="G69" s="631"/>
      <c r="H69" s="2420"/>
      <c r="I69" s="2149"/>
    </row>
    <row r="70" spans="1:9" s="2" customFormat="1" ht="60" customHeight="1" thickBot="1">
      <c r="A70" s="653" t="str">
        <f>F!A113</f>
        <v>F22</v>
      </c>
      <c r="B70" s="652" t="str">
        <f>F!B113</f>
        <v>Fringe Wetland</v>
      </c>
      <c r="C70" s="4" t="str">
        <f>F!C113</f>
        <v xml:space="preserve">If both are true, enter "1" and continue. If false, leave the 0 and continue: (a) Open water that adjoins the vegetated AA in a lake, stream, or river during annual low water condition is much wider than the vegetated AA, and (b) the maximum dimension of the lake, stream, or river (measured parallel with flow, if any) is greater than 1 km. </v>
      </c>
      <c r="D70" s="257">
        <f>F!D113</f>
        <v>0</v>
      </c>
      <c r="E70" s="380"/>
      <c r="F70" s="698"/>
      <c r="G70" s="397" t="str">
        <f>IF((D70=0),"",1)</f>
        <v/>
      </c>
      <c r="H70" s="1393" t="s">
        <v>2053</v>
      </c>
      <c r="I70" s="81" t="s">
        <v>280</v>
      </c>
    </row>
    <row r="71" spans="1:9" ht="33" customHeight="1" thickBot="1">
      <c r="A71" s="703" t="str">
        <f>F!A114</f>
        <v>F23</v>
      </c>
      <c r="B71" s="123" t="str">
        <f>F!B114</f>
        <v>Lacustrine Wetland</v>
      </c>
      <c r="C71" s="536" t="str">
        <f>F!C114</f>
        <v>The vegetated part of the AA borders a lake, i.e., a body of non-tidal standing open water whose size exceeds 8 hectares during most of a normal year.</v>
      </c>
      <c r="D71" s="296">
        <f>F!D114</f>
        <v>0</v>
      </c>
      <c r="E71" s="384"/>
      <c r="F71" s="384"/>
      <c r="G71" s="537">
        <f>D71</f>
        <v>0</v>
      </c>
      <c r="H71" s="81" t="s">
        <v>602</v>
      </c>
      <c r="I71" s="81" t="s">
        <v>2087</v>
      </c>
    </row>
    <row r="72" spans="1:9" s="2" customFormat="1" ht="30" customHeight="1" thickBot="1">
      <c r="A72" s="2181" t="str">
        <f>F!A115</f>
        <v>F24</v>
      </c>
      <c r="B72" s="2148" t="str">
        <f>F!B115</f>
        <v>% of AA Without Surface Water</v>
      </c>
      <c r="C72" s="439" t="str">
        <f>F!C115</f>
        <v>The percentage of the AA that never contains surface water during an average year (that is, except perhaps for a few hours after snowmelt or rainstorms), but which is still a wetland, is:</v>
      </c>
      <c r="D72" s="365"/>
      <c r="E72" s="376"/>
      <c r="F72" s="499"/>
      <c r="G72" s="537">
        <f>MAX(F73:F78)/MAX(E73:E78)</f>
        <v>0</v>
      </c>
      <c r="H72" s="2148" t="s">
        <v>111</v>
      </c>
      <c r="I72" s="2148" t="s">
        <v>795</v>
      </c>
    </row>
    <row r="73" spans="1:9" s="2" customFormat="1" ht="27" customHeight="1">
      <c r="A73" s="2180"/>
      <c r="B73" s="2146"/>
      <c r="C73" s="740" t="str">
        <f>F!C116</f>
        <v xml:space="preserve">&lt;1% AND &lt;0.01 hectare (about 10 m on a side) never has surface water. In other words, all or nearly all of the AA is covered by water permanently or at least seasonally.  </v>
      </c>
      <c r="D73" s="302">
        <f>F!D116</f>
        <v>0</v>
      </c>
      <c r="E73" s="361">
        <v>4</v>
      </c>
      <c r="F73" s="385">
        <f t="shared" ref="F73:F78" si="5">D73*E73</f>
        <v>0</v>
      </c>
      <c r="G73" s="629"/>
      <c r="H73" s="2146"/>
      <c r="I73" s="2146"/>
    </row>
    <row r="74" spans="1:9" s="2" customFormat="1" ht="15" customHeight="1">
      <c r="A74" s="2180"/>
      <c r="B74" s="2146"/>
      <c r="C74" s="740" t="str">
        <f>F!C117</f>
        <v>1-25% of the AA,  or &lt;1% but &gt;0.01 ha, never contains surface water.</v>
      </c>
      <c r="D74" s="302">
        <f>F!D117</f>
        <v>0</v>
      </c>
      <c r="E74" s="361">
        <v>5</v>
      </c>
      <c r="F74" s="385">
        <f t="shared" si="5"/>
        <v>0</v>
      </c>
      <c r="G74" s="629"/>
      <c r="H74" s="2146"/>
      <c r="I74" s="2146"/>
    </row>
    <row r="75" spans="1:9" s="2" customFormat="1" ht="15" customHeight="1">
      <c r="A75" s="2180"/>
      <c r="B75" s="2146"/>
      <c r="C75" s="740" t="str">
        <f>F!C118</f>
        <v>25-50% of the AA never contains surface water.</v>
      </c>
      <c r="D75" s="302">
        <f>F!D118</f>
        <v>0</v>
      </c>
      <c r="E75" s="361">
        <v>3</v>
      </c>
      <c r="F75" s="385">
        <f t="shared" si="5"/>
        <v>0</v>
      </c>
      <c r="G75" s="629"/>
      <c r="H75" s="2146"/>
      <c r="I75" s="2146"/>
    </row>
    <row r="76" spans="1:9" s="2" customFormat="1" ht="15" customHeight="1">
      <c r="A76" s="2180"/>
      <c r="B76" s="2146"/>
      <c r="C76" s="740" t="str">
        <f>F!C119</f>
        <v>50-75% of the AA never contains surface water.</v>
      </c>
      <c r="D76" s="302">
        <f>F!D119</f>
        <v>0</v>
      </c>
      <c r="E76" s="361">
        <v>2</v>
      </c>
      <c r="F76" s="385">
        <f t="shared" si="5"/>
        <v>0</v>
      </c>
      <c r="G76" s="629"/>
      <c r="H76" s="2146"/>
      <c r="I76" s="2146"/>
    </row>
    <row r="77" spans="1:9" s="2" customFormat="1" ht="15" customHeight="1">
      <c r="A77" s="2180"/>
      <c r="B77" s="2146"/>
      <c r="C77" s="740" t="str">
        <f>F!C120</f>
        <v>75-99% of the AA never contains surface water.</v>
      </c>
      <c r="D77" s="302">
        <f>F!D120</f>
        <v>0</v>
      </c>
      <c r="E77" s="361">
        <v>1</v>
      </c>
      <c r="F77" s="385">
        <f t="shared" si="5"/>
        <v>0</v>
      </c>
      <c r="G77" s="629"/>
      <c r="H77" s="2146"/>
      <c r="I77" s="2146"/>
    </row>
    <row r="78" spans="1:9" s="2" customFormat="1" ht="27" customHeight="1" thickBot="1">
      <c r="A78" s="2187"/>
      <c r="B78" s="2149"/>
      <c r="C78" s="1222" t="str">
        <f>F!C121</f>
        <v>100%. True for many bogs, meadow marshes, swamps that lack vernal pools.  Enter "1" and SKIP to F42 (Channel Connection).</v>
      </c>
      <c r="D78" s="1786">
        <f>F!D121</f>
        <v>0</v>
      </c>
      <c r="E78" s="362">
        <v>0</v>
      </c>
      <c r="F78" s="389">
        <f t="shared" si="5"/>
        <v>0</v>
      </c>
      <c r="G78" s="712"/>
      <c r="H78" s="2149"/>
      <c r="I78" s="2149"/>
    </row>
    <row r="79" spans="1:9" ht="45" customHeight="1" thickBot="1">
      <c r="A79" s="2151" t="str">
        <f>F!A122</f>
        <v>F25</v>
      </c>
      <c r="B79" s="2146" t="str">
        <f>F!B122</f>
        <v>% of AA with Persistent Surface Water</v>
      </c>
      <c r="C79" s="1118"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9" s="360"/>
      <c r="E79" s="360"/>
      <c r="F79" s="382"/>
      <c r="G79" s="538">
        <f>IF((AllSat1&gt;0),"",MAX(F80:F84)/MAX(E80:E84))</f>
        <v>0</v>
      </c>
      <c r="H79" s="2211" t="s">
        <v>2055</v>
      </c>
      <c r="I79" s="2146" t="s">
        <v>282</v>
      </c>
    </row>
    <row r="80" spans="1:9" ht="27" customHeight="1">
      <c r="A80" s="2151"/>
      <c r="B80" s="2146"/>
      <c r="C80" s="437" t="str">
        <f>F!C123</f>
        <v>none. The AA dries up completely (no water in channels either) or never has surface water during most years.</v>
      </c>
      <c r="D80" s="254">
        <f>F!D123</f>
        <v>0</v>
      </c>
      <c r="E80" s="360">
        <v>0</v>
      </c>
      <c r="F80" s="385">
        <f>D80*E80</f>
        <v>0</v>
      </c>
      <c r="G80" s="630"/>
      <c r="H80" s="2211"/>
      <c r="I80" s="2146"/>
    </row>
    <row r="81" spans="1:9" ht="15" customHeight="1">
      <c r="A81" s="2151"/>
      <c r="B81" s="2146"/>
      <c r="C81" s="437" t="str">
        <f>F!C124</f>
        <v>1-20% of the AA.</v>
      </c>
      <c r="D81" s="254">
        <f>F!D124</f>
        <v>0</v>
      </c>
      <c r="E81" s="361">
        <v>1</v>
      </c>
      <c r="F81" s="385">
        <f>D81*E81</f>
        <v>0</v>
      </c>
      <c r="G81" s="630"/>
      <c r="H81" s="2211"/>
      <c r="I81" s="2146"/>
    </row>
    <row r="82" spans="1:9" ht="15" customHeight="1">
      <c r="A82" s="2151"/>
      <c r="B82" s="2146"/>
      <c r="C82" s="437" t="str">
        <f>F!C125</f>
        <v>20-50% of the AA.</v>
      </c>
      <c r="D82" s="254">
        <f>F!D125</f>
        <v>0</v>
      </c>
      <c r="E82" s="361">
        <v>2</v>
      </c>
      <c r="F82" s="385">
        <f>D82*E82</f>
        <v>0</v>
      </c>
      <c r="G82" s="630"/>
      <c r="H82" s="2211"/>
      <c r="I82" s="2146"/>
    </row>
    <row r="83" spans="1:9" ht="15" customHeight="1">
      <c r="A83" s="2151"/>
      <c r="B83" s="2146"/>
      <c r="C83" s="437" t="str">
        <f>F!C126</f>
        <v>50-95% of the AA.</v>
      </c>
      <c r="D83" s="254">
        <f>F!D126</f>
        <v>0</v>
      </c>
      <c r="E83" s="361">
        <v>3</v>
      </c>
      <c r="F83" s="385">
        <f>D83*E83</f>
        <v>0</v>
      </c>
      <c r="G83" s="630"/>
      <c r="H83" s="2211"/>
      <c r="I83" s="2146"/>
    </row>
    <row r="84" spans="1:9" ht="15" customHeight="1" thickBot="1">
      <c r="A84" s="2152"/>
      <c r="B84" s="2149"/>
      <c r="C84" s="194" t="str">
        <f>F!C127</f>
        <v>&gt;95% of the AA. True for many fringe wetlands.</v>
      </c>
      <c r="D84" s="248">
        <f>F!D127</f>
        <v>0</v>
      </c>
      <c r="E84" s="362">
        <v>2</v>
      </c>
      <c r="F84" s="389">
        <f>D84*E84</f>
        <v>0</v>
      </c>
      <c r="G84" s="631"/>
      <c r="H84" s="2420"/>
      <c r="I84" s="2149"/>
    </row>
    <row r="85" spans="1:9" s="2" customFormat="1" ht="30" customHeight="1" thickBot="1">
      <c r="A85" s="2388" t="str">
        <f>F!A134</f>
        <v>F27</v>
      </c>
      <c r="B85" s="2213" t="str">
        <f>F!B134</f>
        <v>% of AA that is Flooded Only Seasonally</v>
      </c>
      <c r="C85" s="448" t="str">
        <f>F!C134</f>
        <v>The percentage of the AA that is covered by unfrozen surface water only during the wettest time of the year during most years is:</v>
      </c>
      <c r="D85" s="360"/>
      <c r="E85" s="360"/>
      <c r="F85" s="382"/>
      <c r="G85" s="538">
        <f>IF((AllSat1&gt;0),"",MAX(F86:F90)/MAX(E86:E90))</f>
        <v>0</v>
      </c>
      <c r="H85" s="2211" t="s">
        <v>2056</v>
      </c>
      <c r="I85" s="2148" t="s">
        <v>281</v>
      </c>
    </row>
    <row r="86" spans="1:9" s="2" customFormat="1" ht="15" customHeight="1">
      <c r="A86" s="2388"/>
      <c r="B86" s="2213"/>
      <c r="C86" s="490" t="str">
        <f>F!C135</f>
        <v xml:space="preserve">None, or &lt;0.01 hectare and &lt;1% of the AA. </v>
      </c>
      <c r="D86" s="654">
        <f>F!D135</f>
        <v>0</v>
      </c>
      <c r="E86" s="361">
        <v>3</v>
      </c>
      <c r="F86" s="385">
        <f>D86*E86</f>
        <v>0</v>
      </c>
      <c r="G86" s="629"/>
      <c r="H86" s="2208"/>
      <c r="I86" s="2146"/>
    </row>
    <row r="87" spans="1:9" s="2" customFormat="1" ht="15" customHeight="1">
      <c r="A87" s="2388"/>
      <c r="B87" s="2213"/>
      <c r="C87" s="447" t="str">
        <f>F!C136</f>
        <v>1-20% of the AA, or &lt;1% but &gt;0.01 ha.</v>
      </c>
      <c r="D87" s="549">
        <f>F!D136</f>
        <v>0</v>
      </c>
      <c r="E87" s="361">
        <v>4</v>
      </c>
      <c r="F87" s="385">
        <f>D87*E87</f>
        <v>0</v>
      </c>
      <c r="G87" s="630"/>
      <c r="H87" s="2208"/>
      <c r="I87" s="2146"/>
    </row>
    <row r="88" spans="1:9" s="2" customFormat="1" ht="15" customHeight="1">
      <c r="A88" s="2388"/>
      <c r="B88" s="2213"/>
      <c r="C88" s="447" t="str">
        <f>F!C137</f>
        <v>20-50% of the AA.</v>
      </c>
      <c r="D88" s="549">
        <f>F!D137</f>
        <v>0</v>
      </c>
      <c r="E88" s="361">
        <v>3</v>
      </c>
      <c r="F88" s="385">
        <f>D88*E88</f>
        <v>0</v>
      </c>
      <c r="G88" s="630"/>
      <c r="H88" s="2208"/>
      <c r="I88" s="2146"/>
    </row>
    <row r="89" spans="1:9" s="2" customFormat="1" ht="15" customHeight="1">
      <c r="A89" s="2388"/>
      <c r="B89" s="2213"/>
      <c r="C89" s="447" t="str">
        <f>F!C138</f>
        <v>50-95% of the AA.</v>
      </c>
      <c r="D89" s="549">
        <f>F!D138</f>
        <v>0</v>
      </c>
      <c r="E89" s="361">
        <v>2</v>
      </c>
      <c r="F89" s="385">
        <f>D89*E89</f>
        <v>0</v>
      </c>
      <c r="G89" s="630"/>
      <c r="H89" s="2208"/>
      <c r="I89" s="2146"/>
    </row>
    <row r="90" spans="1:9" s="2" customFormat="1" ht="15" customHeight="1" thickBot="1">
      <c r="A90" s="2388"/>
      <c r="B90" s="2213"/>
      <c r="C90" s="447" t="str">
        <f>F!C139</f>
        <v xml:space="preserve">&gt;95% of the AA. </v>
      </c>
      <c r="D90" s="549">
        <f>F!D139</f>
        <v>0</v>
      </c>
      <c r="E90" s="364">
        <v>1</v>
      </c>
      <c r="F90" s="387">
        <f>D90*E90</f>
        <v>0</v>
      </c>
      <c r="G90" s="639"/>
      <c r="H90" s="2208"/>
      <c r="I90" s="2149"/>
    </row>
    <row r="91" spans="1:9" ht="30" customHeight="1" thickBot="1">
      <c r="A91" s="2316" t="str">
        <f>F!A147</f>
        <v>F29</v>
      </c>
      <c r="B91" s="2218" t="str">
        <f>F!B147</f>
        <v>Predominant Depth Class</v>
      </c>
      <c r="C91" s="439" t="str">
        <f>F!C147</f>
        <v>During most of the time when surface water is present during the growing season, its depth, averaged over the entire inundated part of the AA, is:</v>
      </c>
      <c r="D91" s="365"/>
      <c r="E91" s="365"/>
      <c r="F91" s="383"/>
      <c r="G91" s="537">
        <f>IF((AllSat1&gt;0),"",IF((TooSmall=1),"",MAX(F92:F96)/MAX(E92:E96)))</f>
        <v>0</v>
      </c>
      <c r="H91" s="2218" t="s">
        <v>1402</v>
      </c>
      <c r="I91" s="2148" t="s">
        <v>286</v>
      </c>
    </row>
    <row r="92" spans="1:9" ht="15" customHeight="1">
      <c r="A92" s="2183"/>
      <c r="B92" s="2208"/>
      <c r="C92" s="440" t="str">
        <f>F!C148</f>
        <v>&lt;10 cm deep (but &gt;0).</v>
      </c>
      <c r="D92" s="255">
        <f>F!D148</f>
        <v>0</v>
      </c>
      <c r="E92" s="96">
        <v>1</v>
      </c>
      <c r="F92" s="385">
        <f t="shared" ref="F92:F100" si="6">D92*E92</f>
        <v>0</v>
      </c>
      <c r="G92" s="629"/>
      <c r="H92" s="2211"/>
      <c r="I92" s="2146"/>
    </row>
    <row r="93" spans="1:9" ht="15" customHeight="1">
      <c r="A93" s="2183"/>
      <c r="B93" s="2208"/>
      <c r="C93" s="651" t="str">
        <f>F!C149</f>
        <v>10 - 50 cm deep.</v>
      </c>
      <c r="D93" s="78">
        <f>F!D149</f>
        <v>0</v>
      </c>
      <c r="E93" s="767">
        <v>3</v>
      </c>
      <c r="F93" s="385">
        <f t="shared" si="6"/>
        <v>0</v>
      </c>
      <c r="G93" s="630"/>
      <c r="H93" s="2211"/>
      <c r="I93" s="2146"/>
    </row>
    <row r="94" spans="1:9" ht="15" customHeight="1">
      <c r="A94" s="2183"/>
      <c r="B94" s="2208"/>
      <c r="C94" s="651" t="str">
        <f>F!C150</f>
        <v>0.5 - 1 m deep.</v>
      </c>
      <c r="D94" s="78">
        <f>F!D150</f>
        <v>0</v>
      </c>
      <c r="E94" s="767">
        <v>7</v>
      </c>
      <c r="F94" s="385">
        <f t="shared" si="6"/>
        <v>0</v>
      </c>
      <c r="G94" s="630"/>
      <c r="H94" s="2211"/>
      <c r="I94" s="2146"/>
    </row>
    <row r="95" spans="1:9" ht="15" customHeight="1">
      <c r="A95" s="2183"/>
      <c r="B95" s="2208"/>
      <c r="C95" s="651" t="str">
        <f>F!C151</f>
        <v>1 - 2 m deep.</v>
      </c>
      <c r="D95" s="78">
        <f>F!D151</f>
        <v>0</v>
      </c>
      <c r="E95" s="767">
        <v>5</v>
      </c>
      <c r="F95" s="385">
        <f t="shared" si="6"/>
        <v>0</v>
      </c>
      <c r="G95" s="630"/>
      <c r="H95" s="2211"/>
      <c r="I95" s="2146"/>
    </row>
    <row r="96" spans="1:9" ht="15" customHeight="1" thickBot="1">
      <c r="A96" s="2184"/>
      <c r="B96" s="2210"/>
      <c r="C96" s="441" t="str">
        <f>F!C152</f>
        <v>&gt;2 m deep. True for many fringe wetlands.</v>
      </c>
      <c r="D96" s="193">
        <f>F!D152</f>
        <v>0</v>
      </c>
      <c r="E96" s="768">
        <v>2</v>
      </c>
      <c r="F96" s="389">
        <f t="shared" si="6"/>
        <v>0</v>
      </c>
      <c r="G96" s="631"/>
      <c r="H96" s="2420"/>
      <c r="I96" s="2149"/>
    </row>
    <row r="97" spans="1:9" ht="21" customHeight="1" thickBot="1">
      <c r="A97" s="2316" t="str">
        <f>F!A153</f>
        <v>F30</v>
      </c>
      <c r="B97" s="2218" t="str">
        <f>F!B153</f>
        <v>Depth Classes - Evenness of Proportions</v>
      </c>
      <c r="C97" s="439" t="str">
        <f>F!C153</f>
        <v>When present, surface water in most of the AA usually consists of (select one):</v>
      </c>
      <c r="D97" s="365"/>
      <c r="E97" s="365"/>
      <c r="F97" s="1175"/>
      <c r="G97" s="537">
        <f>IF((AllSat1&gt;0),"",IF((TooSmall=1),"",MAX(F98:F100)/MAX(E98:E100)))</f>
        <v>0</v>
      </c>
      <c r="H97" s="2218" t="s">
        <v>1403</v>
      </c>
      <c r="I97" s="2148" t="s">
        <v>287</v>
      </c>
    </row>
    <row r="98" spans="1:9" ht="27" customHeight="1">
      <c r="A98" s="2201"/>
      <c r="B98" s="2211"/>
      <c r="C98" s="440" t="str">
        <f>F!C154</f>
        <v xml:space="preserve">One depth class that comprises &gt;90% of the AA’s inundated area (use the classes in the question above). </v>
      </c>
      <c r="D98" s="255">
        <f>F!D154</f>
        <v>0</v>
      </c>
      <c r="E98" s="361">
        <v>0</v>
      </c>
      <c r="F98" s="769">
        <f>D97*E97</f>
        <v>0</v>
      </c>
      <c r="G98" s="629"/>
      <c r="H98" s="2211"/>
      <c r="I98" s="2146"/>
    </row>
    <row r="99" spans="1:9" ht="15" customHeight="1">
      <c r="A99" s="2201"/>
      <c r="B99" s="2211"/>
      <c r="C99" s="1077" t="str">
        <f>F!C155</f>
        <v>One depth class that comprises 50-90% of the AA's inundated area.</v>
      </c>
      <c r="D99" s="78">
        <f>F!D155</f>
        <v>0</v>
      </c>
      <c r="E99" s="637">
        <v>1</v>
      </c>
      <c r="F99" s="385">
        <f t="shared" si="6"/>
        <v>0</v>
      </c>
      <c r="G99" s="630"/>
      <c r="H99" s="2211"/>
      <c r="I99" s="2146"/>
    </row>
    <row r="100" spans="1:9" ht="15" customHeight="1" thickBot="1">
      <c r="A100" s="2317"/>
      <c r="B100" s="2420"/>
      <c r="C100" s="441" t="str">
        <f>F!C156</f>
        <v>Neither of above. There are 3 or more depth classes and none occupy &gt;50%.</v>
      </c>
      <c r="D100" s="193">
        <f>F!D156</f>
        <v>0</v>
      </c>
      <c r="E100" s="640">
        <v>2</v>
      </c>
      <c r="F100" s="389">
        <f t="shared" si="6"/>
        <v>0</v>
      </c>
      <c r="G100" s="631"/>
      <c r="H100" s="2420"/>
      <c r="I100" s="2149"/>
    </row>
    <row r="101" spans="1:9" s="2" customFormat="1" ht="30" customHeight="1" thickBot="1">
      <c r="A101" s="2662" t="str">
        <f>F!A157</f>
        <v>F31</v>
      </c>
      <c r="B101" s="2218" t="str">
        <f>F!B157</f>
        <v>% of Water That Is Ponded (not Flowing)</v>
      </c>
      <c r="C101" s="439" t="str">
        <f>F!C157</f>
        <v>During most times when surface water is present, the percentage that is ponded (stagnant, or flows so slowly that fine sediment is not held in suspension) is:</v>
      </c>
      <c r="D101" s="365"/>
      <c r="E101" s="365"/>
      <c r="F101" s="383"/>
      <c r="G101" s="537">
        <f>IF((AllSat1&gt;0),"", MAX(F102:F106)/MAX(E102:E106))</f>
        <v>0</v>
      </c>
      <c r="H101" s="2218" t="s">
        <v>2054</v>
      </c>
      <c r="I101" s="2148" t="s">
        <v>284</v>
      </c>
    </row>
    <row r="102" spans="1:9" s="2" customFormat="1" ht="27" customHeight="1">
      <c r="A102" s="2201"/>
      <c r="B102" s="2211"/>
      <c r="C102" s="440" t="str">
        <f>F!C158</f>
        <v>&lt;5% of the water, or it occupies &lt;100 sq.m cumulatively. Nearly all the surface water is flowing. SKIP to F34.</v>
      </c>
      <c r="D102" s="649">
        <f>F!D158</f>
        <v>0</v>
      </c>
      <c r="E102" s="361">
        <v>0</v>
      </c>
      <c r="F102" s="385">
        <f>D102*E102</f>
        <v>0</v>
      </c>
      <c r="G102" s="629"/>
      <c r="H102" s="2211"/>
      <c r="I102" s="2146"/>
    </row>
    <row r="103" spans="1:9" s="2" customFormat="1" ht="15" customHeight="1">
      <c r="A103" s="2201"/>
      <c r="B103" s="2211"/>
      <c r="C103" s="651" t="str">
        <f>F!C159</f>
        <v>5-30% of the water.</v>
      </c>
      <c r="D103" s="650">
        <f>F!D159</f>
        <v>0</v>
      </c>
      <c r="E103" s="361">
        <v>3</v>
      </c>
      <c r="F103" s="385">
        <f>D103*E103</f>
        <v>0</v>
      </c>
      <c r="G103" s="630"/>
      <c r="H103" s="2211"/>
      <c r="I103" s="2146"/>
    </row>
    <row r="104" spans="1:9" s="2" customFormat="1" ht="15" customHeight="1">
      <c r="A104" s="2201"/>
      <c r="B104" s="2211"/>
      <c r="C104" s="651" t="str">
        <f>F!C160</f>
        <v>30-70% of the water.</v>
      </c>
      <c r="D104" s="650">
        <f>F!D160</f>
        <v>0</v>
      </c>
      <c r="E104" s="361">
        <v>4</v>
      </c>
      <c r="F104" s="385">
        <f>D104*E104</f>
        <v>0</v>
      </c>
      <c r="G104" s="639"/>
      <c r="H104" s="2211"/>
      <c r="I104" s="2146"/>
    </row>
    <row r="105" spans="1:9" s="2" customFormat="1" ht="15" customHeight="1">
      <c r="A105" s="2201"/>
      <c r="B105" s="2211"/>
      <c r="C105" s="651" t="str">
        <f>F!C161</f>
        <v>70-95% of the water.</v>
      </c>
      <c r="D105" s="650">
        <f>F!D161</f>
        <v>0</v>
      </c>
      <c r="E105" s="361">
        <v>5</v>
      </c>
      <c r="F105" s="385">
        <f>D105*E105</f>
        <v>0</v>
      </c>
      <c r="G105" s="639"/>
      <c r="H105" s="2211"/>
      <c r="I105" s="2146"/>
    </row>
    <row r="106" spans="1:9" s="2" customFormat="1" ht="15" customHeight="1" thickBot="1">
      <c r="A106" s="2317"/>
      <c r="B106" s="2420"/>
      <c r="C106" s="441" t="str">
        <f>F!C162</f>
        <v>&gt;95% of the water.</v>
      </c>
      <c r="D106" s="1128">
        <f>F!D162</f>
        <v>0</v>
      </c>
      <c r="E106" s="362">
        <v>5</v>
      </c>
      <c r="F106" s="389">
        <f>D106*E106</f>
        <v>0</v>
      </c>
      <c r="G106" s="631"/>
      <c r="H106" s="2420"/>
      <c r="I106" s="2149"/>
    </row>
    <row r="107" spans="1:9" ht="30" customHeight="1" thickBot="1">
      <c r="A107" s="2388" t="str">
        <f>F!A164</f>
        <v>F33</v>
      </c>
      <c r="B107" s="2213" t="str">
        <f>F!B164</f>
        <v xml:space="preserve">% of Ponded Water that is Open </v>
      </c>
      <c r="C107" s="123" t="str">
        <f>F!C164</f>
        <v>In ducks-eye aerial view, the percentage of the ponded water that is open (lacking emergent vegetation during most of the growing season, and unhidden by a forest or shrub canopy) is:</v>
      </c>
      <c r="D107" s="379"/>
      <c r="E107" s="360"/>
      <c r="F107" s="382"/>
      <c r="G107" s="538">
        <f>IF((AllSat1&gt;0),"",IF((NoPonded=1),"",IF((TooSmall=1),"",MAX(F108:F113)/MAX(E108:E113))))</f>
        <v>0</v>
      </c>
      <c r="H107" s="2211" t="s">
        <v>2058</v>
      </c>
      <c r="I107" s="2148" t="s">
        <v>283</v>
      </c>
    </row>
    <row r="108" spans="1:9" ht="27" customHeight="1">
      <c r="A108" s="2388"/>
      <c r="B108" s="2213"/>
      <c r="C108" s="1503" t="str">
        <f>F!C165</f>
        <v>None, or &lt;1% of the AA and largest pool occupies &lt;0.01 hectares. Enter "1" and SKIP to F41 (Floating Algae &amp; Duckweed).</v>
      </c>
      <c r="D108" s="549">
        <f>F!D165</f>
        <v>0</v>
      </c>
      <c r="E108" s="361">
        <v>1</v>
      </c>
      <c r="F108" s="385">
        <f t="shared" ref="F108:F113" si="7">D108*E108</f>
        <v>0</v>
      </c>
      <c r="G108" s="629"/>
      <c r="H108" s="2211"/>
      <c r="I108" s="2146"/>
    </row>
    <row r="109" spans="1:9" ht="15" customHeight="1">
      <c r="A109" s="2388"/>
      <c r="B109" s="2213"/>
      <c r="C109" s="1182" t="str">
        <f>F!C166</f>
        <v>1-4% of the ponded water. Enter "1" and SKIP to F40 (Floating Algae &amp; Duckweed).</v>
      </c>
      <c r="D109" s="549">
        <f>F!D166</f>
        <v>0</v>
      </c>
      <c r="E109" s="361">
        <v>2</v>
      </c>
      <c r="F109" s="385">
        <f t="shared" si="7"/>
        <v>0</v>
      </c>
      <c r="G109" s="630"/>
      <c r="H109" s="2211"/>
      <c r="I109" s="2146"/>
    </row>
    <row r="110" spans="1:9" ht="15" customHeight="1">
      <c r="A110" s="2388"/>
      <c r="B110" s="2213"/>
      <c r="C110" s="1454" t="str">
        <f>F!C167</f>
        <v>5-30% of the ponded water.</v>
      </c>
      <c r="D110" s="78">
        <f>F!D167</f>
        <v>0</v>
      </c>
      <c r="E110" s="361">
        <v>5</v>
      </c>
      <c r="F110" s="385">
        <f t="shared" si="7"/>
        <v>0</v>
      </c>
      <c r="G110" s="630"/>
      <c r="H110" s="2211"/>
      <c r="I110" s="2146"/>
    </row>
    <row r="111" spans="1:9" ht="15" customHeight="1">
      <c r="A111" s="2388"/>
      <c r="B111" s="2213"/>
      <c r="C111" s="490" t="str">
        <f>F!C168</f>
        <v>30-70% of the ponded water.</v>
      </c>
      <c r="D111" s="654">
        <f>F!D168</f>
        <v>0</v>
      </c>
      <c r="E111" s="361">
        <v>7</v>
      </c>
      <c r="F111" s="385">
        <f t="shared" si="7"/>
        <v>0</v>
      </c>
      <c r="G111" s="630"/>
      <c r="H111" s="2211"/>
      <c r="I111" s="2146"/>
    </row>
    <row r="112" spans="1:9" ht="15" customHeight="1">
      <c r="A112" s="2388"/>
      <c r="B112" s="2213"/>
      <c r="C112" s="1470" t="str">
        <f>F!C169</f>
        <v>70-99% of the ponded water.</v>
      </c>
      <c r="D112" s="549">
        <f>F!D169</f>
        <v>0</v>
      </c>
      <c r="E112" s="361">
        <v>4</v>
      </c>
      <c r="F112" s="385">
        <f t="shared" si="7"/>
        <v>0</v>
      </c>
      <c r="G112" s="639"/>
      <c r="H112" s="2211"/>
      <c r="I112" s="2146"/>
    </row>
    <row r="113" spans="1:9" ht="15" customHeight="1" thickBot="1">
      <c r="A113" s="2690"/>
      <c r="B113" s="2377"/>
      <c r="C113" s="1184" t="str">
        <f>F!C170</f>
        <v xml:space="preserve">100% of the ponded water. </v>
      </c>
      <c r="D113" s="193">
        <f>F!D170</f>
        <v>0</v>
      </c>
      <c r="E113" s="380">
        <v>3</v>
      </c>
      <c r="F113" s="387">
        <f t="shared" si="7"/>
        <v>0</v>
      </c>
      <c r="G113" s="639"/>
      <c r="H113" s="2211"/>
      <c r="I113" s="2149"/>
    </row>
    <row r="114" spans="1:9" ht="30" customHeight="1" thickBot="1">
      <c r="A114" s="2155" t="str">
        <f>F!A189</f>
        <v>F37</v>
      </c>
      <c r="B114" s="2593" t="str">
        <f>F!B189</f>
        <v>Interspersion of Robust Emergents &amp; Open Water</v>
      </c>
      <c r="C114" s="436" t="str">
        <f>F!C189</f>
        <v>During most of the part of the growing season when water is present, the spatial pattern of robust herbaceous vegetation (e.g., cattail, tall bulrush, buckbean) is mostly:</v>
      </c>
      <c r="D114" s="365"/>
      <c r="E114" s="365"/>
      <c r="F114" s="383"/>
      <c r="G114" s="537">
        <f>IF((AllSat1&gt;0),"",IF((TooSmall=1),"",IF((NoPonded=1),"",IF((NoOpenPonded+NoOpenPonded1&gt;0),"",IF((AllOpenPond=1),"",MAX(F115:F117)/MAX(E115:E117))))))</f>
        <v>0</v>
      </c>
      <c r="H114" s="2148" t="s">
        <v>2059</v>
      </c>
      <c r="I114" s="2148" t="s">
        <v>288</v>
      </c>
    </row>
    <row r="115" spans="1:9" ht="15" customHeight="1">
      <c r="A115" s="2151"/>
      <c r="B115" s="2146"/>
      <c r="C115" s="30" t="str">
        <f>F!C190</f>
        <v>Scattered. More than 30% of such vegetation forms small islands or corridors surrounded by water.</v>
      </c>
      <c r="D115" s="256">
        <f>F!D190</f>
        <v>0</v>
      </c>
      <c r="E115" s="361">
        <v>3</v>
      </c>
      <c r="F115" s="385">
        <f>D115*E115</f>
        <v>0</v>
      </c>
      <c r="G115" s="769"/>
      <c r="H115" s="2146"/>
      <c r="I115" s="2146"/>
    </row>
    <row r="116" spans="1:9" ht="15" customHeight="1">
      <c r="A116" s="2151"/>
      <c r="B116" s="2146"/>
      <c r="C116" s="6" t="str">
        <f>F!C191</f>
        <v>Intermediate.</v>
      </c>
      <c r="D116" s="247">
        <f>F!D191</f>
        <v>0</v>
      </c>
      <c r="E116" s="361">
        <v>2</v>
      </c>
      <c r="F116" s="385">
        <f>D116*E116</f>
        <v>0</v>
      </c>
      <c r="G116" s="769"/>
      <c r="H116" s="2146"/>
      <c r="I116" s="2146"/>
    </row>
    <row r="117" spans="1:9" ht="27.6" customHeight="1" thickBot="1">
      <c r="A117" s="2152"/>
      <c r="B117" s="2149"/>
      <c r="C117" s="194" t="str">
        <f>F!C192</f>
        <v>Clumped. More than 70% of such vegetation is in bands along the wetland perimeter or is clumped at one or a few sides of the surface water area.</v>
      </c>
      <c r="D117" s="248">
        <f>F!D192</f>
        <v>0</v>
      </c>
      <c r="E117" s="362">
        <v>1</v>
      </c>
      <c r="F117" s="389">
        <f>D117*E117</f>
        <v>0</v>
      </c>
      <c r="G117" s="770"/>
      <c r="H117" s="2149"/>
      <c r="I117" s="2149"/>
    </row>
    <row r="118" spans="1:9" s="2" customFormat="1" ht="60" customHeight="1" thickBot="1">
      <c r="A118" s="198" t="str">
        <f>F!A199</f>
        <v>F41</v>
      </c>
      <c r="B118" s="5" t="str">
        <f>F!B199</f>
        <v xml:space="preserve">Floating Algae &amp; Duckweed </v>
      </c>
      <c r="C118" s="204" t="str">
        <f>F!C199</f>
        <v>At some time of the year, mats of algae and/or duckweed are likely to cover &gt;50% of the AA's otherwise-unshaded water surface, or blanket &gt;50% of the underwater substrate. If true, enter "1" in next column. If untrue or uncertain, enter "0".</v>
      </c>
      <c r="D118" s="289">
        <f>F!D199</f>
        <v>0</v>
      </c>
      <c r="E118" s="384"/>
      <c r="F118" s="395"/>
      <c r="G118" s="537" t="str">
        <f>IF((AllSat1&gt;0),"",IF((TooSmall=1),"",IF((NoPonded=1),"",IF((D118=0),"",1))))</f>
        <v/>
      </c>
      <c r="H118" s="5" t="s">
        <v>2060</v>
      </c>
      <c r="I118" s="81" t="s">
        <v>1203</v>
      </c>
    </row>
    <row r="119" spans="1:9" ht="21" customHeight="1" thickBot="1">
      <c r="A119" s="2150" t="str">
        <f>F!A227</f>
        <v>F49</v>
      </c>
      <c r="B119" s="2148" t="str">
        <f>F!B227</f>
        <v>Beaver Probability</v>
      </c>
      <c r="C119" s="436" t="str">
        <f>F!C227</f>
        <v>Use of the AA by beaver during the past 5 years is (select most applicable ONE):</v>
      </c>
      <c r="D119" s="365"/>
      <c r="E119" s="365"/>
      <c r="F119" s="383"/>
      <c r="G119" s="537">
        <f>IF((AllSat1&gt;0),"", MAX(F120:F122)/MAX(E120:E122))</f>
        <v>0</v>
      </c>
      <c r="H119" s="2514" t="s">
        <v>2061</v>
      </c>
      <c r="I119" s="2148" t="s">
        <v>301</v>
      </c>
    </row>
    <row r="120" spans="1:9" ht="27" customHeight="1">
      <c r="A120" s="2151"/>
      <c r="B120" s="2146"/>
      <c r="C120" s="30" t="str">
        <f>F!C228</f>
        <v>evident from direct observation or presence of gnawed limbs, dams, tracks, dens, lodges, or extensive stands of water-killed trees (snags).</v>
      </c>
      <c r="D120" s="256">
        <f>F!D228</f>
        <v>0</v>
      </c>
      <c r="E120" s="360">
        <v>3</v>
      </c>
      <c r="F120" s="385">
        <f>D120*E120</f>
        <v>0</v>
      </c>
      <c r="G120" s="629"/>
      <c r="H120" s="2159"/>
      <c r="I120" s="2146"/>
    </row>
    <row r="121" spans="1:9" ht="57" customHeight="1">
      <c r="A121" s="2151"/>
      <c r="B121" s="2146"/>
      <c r="C121" s="6"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21" s="247">
        <f>F!D229</f>
        <v>0</v>
      </c>
      <c r="E121" s="360">
        <v>2</v>
      </c>
      <c r="F121" s="385">
        <f>D121*E121</f>
        <v>0</v>
      </c>
      <c r="G121" s="630"/>
      <c r="H121" s="2159"/>
      <c r="I121" s="2146"/>
    </row>
    <row r="122" spans="1:9" ht="27" customHeight="1" thickBot="1">
      <c r="A122" s="2151"/>
      <c r="B122" s="2146"/>
      <c r="C122" s="437" t="str">
        <f>F!C230</f>
        <v xml:space="preserve">unlikely because site characteristics above are deficient, and/or this is a settled area or other area where beaver are routinely removed. </v>
      </c>
      <c r="D122" s="254">
        <f>F!D230</f>
        <v>0</v>
      </c>
      <c r="E122" s="380">
        <v>0</v>
      </c>
      <c r="F122" s="387">
        <f>D122*E122</f>
        <v>0</v>
      </c>
      <c r="G122" s="639"/>
      <c r="H122" s="2160"/>
      <c r="I122" s="2149"/>
    </row>
    <row r="123" spans="1:9" ht="21" customHeight="1" thickBot="1">
      <c r="A123" s="2218" t="str">
        <f>F!A235</f>
        <v>F51</v>
      </c>
      <c r="B123" s="2218" t="str">
        <f>F!B235</f>
        <v>Internal Gradient</v>
      </c>
      <c r="C123" s="439" t="str">
        <f>F!C235</f>
        <v>The gradient along most of the flow path within the AA is:</v>
      </c>
      <c r="D123" s="636"/>
      <c r="E123" s="365"/>
      <c r="F123" s="383"/>
      <c r="G123" s="537">
        <f>MAX(F124:F127)/MAX(E124:E127)</f>
        <v>0</v>
      </c>
      <c r="H123" s="2218" t="s">
        <v>11</v>
      </c>
      <c r="I123" s="2148" t="s">
        <v>291</v>
      </c>
    </row>
    <row r="124" spans="1:9" ht="15" customHeight="1">
      <c r="A124" s="2208"/>
      <c r="B124" s="2208"/>
      <c r="C124" s="1660" t="str">
        <f>F!C236</f>
        <v>&lt;2% or the AA has no surface water outlet (not even seasonally)</v>
      </c>
      <c r="D124" s="78">
        <f>F!D236</f>
        <v>0</v>
      </c>
      <c r="E124" s="377">
        <v>4</v>
      </c>
      <c r="F124" s="385">
        <f>D124*E124</f>
        <v>0</v>
      </c>
      <c r="G124" s="515"/>
      <c r="H124" s="2211"/>
      <c r="I124" s="2146"/>
    </row>
    <row r="125" spans="1:9" ht="15" customHeight="1">
      <c r="A125" s="2208"/>
      <c r="B125" s="2208"/>
      <c r="C125" s="1454" t="str">
        <f>F!C237</f>
        <v>2-5%</v>
      </c>
      <c r="D125" s="78">
        <f>F!D237</f>
        <v>0</v>
      </c>
      <c r="E125" s="377">
        <v>2</v>
      </c>
      <c r="F125" s="385">
        <f>D125*E125</f>
        <v>0</v>
      </c>
      <c r="G125" s="509"/>
      <c r="H125" s="2211"/>
      <c r="I125" s="2146"/>
    </row>
    <row r="126" spans="1:9" ht="15" customHeight="1">
      <c r="A126" s="2208"/>
      <c r="B126" s="2208"/>
      <c r="C126" s="1471" t="str">
        <f>F!C238</f>
        <v>6-10%</v>
      </c>
      <c r="D126" s="78">
        <f>F!D238</f>
        <v>0</v>
      </c>
      <c r="E126" s="377">
        <v>1</v>
      </c>
      <c r="F126" s="385">
        <f>D126*E126</f>
        <v>0</v>
      </c>
      <c r="G126" s="509"/>
      <c r="H126" s="2211"/>
      <c r="I126" s="2146"/>
    </row>
    <row r="127" spans="1:9" ht="15" customHeight="1" thickBot="1">
      <c r="A127" s="2210"/>
      <c r="B127" s="2210"/>
      <c r="C127" s="1184" t="str">
        <f>F!C239</f>
        <v>&gt;10%</v>
      </c>
      <c r="D127" s="193">
        <f>F!D239</f>
        <v>0</v>
      </c>
      <c r="E127" s="378">
        <v>0</v>
      </c>
      <c r="F127" s="389">
        <f>D127*E127</f>
        <v>0</v>
      </c>
      <c r="G127" s="521"/>
      <c r="H127" s="2420"/>
      <c r="I127" s="2149"/>
    </row>
    <row r="128" spans="1:9" ht="60" customHeight="1" thickBot="1">
      <c r="A128" s="2218" t="str">
        <f>F!A280</f>
        <v>F61</v>
      </c>
      <c r="B128" s="2218" t="str">
        <f>F!B280</f>
        <v xml:space="preserve">Unvisited Core Area </v>
      </c>
      <c r="C128" s="439"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28" s="636"/>
      <c r="E128" s="499"/>
      <c r="F128" s="383"/>
      <c r="G128" s="537">
        <f>MAX(F129:F134)/MAX(E129:E134)</f>
        <v>0</v>
      </c>
      <c r="H128" s="2218" t="s">
        <v>1841</v>
      </c>
      <c r="I128" s="2148" t="s">
        <v>292</v>
      </c>
    </row>
    <row r="129" spans="1:41" ht="15" customHeight="1">
      <c r="A129" s="2211"/>
      <c r="B129" s="2211"/>
      <c r="C129" s="1503" t="str">
        <f>F!C281</f>
        <v>&lt;5% and no inhabited building is within 100 m of the AA.</v>
      </c>
      <c r="D129" s="78">
        <f>F!D281</f>
        <v>0</v>
      </c>
      <c r="E129" s="385">
        <v>1</v>
      </c>
      <c r="F129" s="385">
        <f t="shared" ref="F129:F134" si="8">D129*E129</f>
        <v>0</v>
      </c>
      <c r="G129" s="501"/>
      <c r="H129" s="2211"/>
      <c r="I129" s="2146"/>
    </row>
    <row r="130" spans="1:41" ht="15" customHeight="1">
      <c r="A130" s="2211"/>
      <c r="B130" s="2211"/>
      <c r="C130" s="1077" t="str">
        <f>F!C282</f>
        <v>&lt;5% and inhabited building is within 100 m of the AA.</v>
      </c>
      <c r="D130" s="78">
        <f>F!D282</f>
        <v>0</v>
      </c>
      <c r="E130" s="385">
        <v>0</v>
      </c>
      <c r="F130" s="385">
        <f t="shared" si="8"/>
        <v>0</v>
      </c>
      <c r="G130" s="502"/>
      <c r="H130" s="2211"/>
      <c r="I130" s="2146"/>
    </row>
    <row r="131" spans="1:41" ht="15" customHeight="1">
      <c r="A131" s="2211"/>
      <c r="B131" s="2211"/>
      <c r="C131" s="1077" t="str">
        <f>F!C283</f>
        <v>5-50% and no inhabited building is within 100 m of the AA.</v>
      </c>
      <c r="D131" s="78">
        <f>F!D283</f>
        <v>0</v>
      </c>
      <c r="E131" s="385">
        <v>3</v>
      </c>
      <c r="F131" s="385">
        <f t="shared" si="8"/>
        <v>0</v>
      </c>
      <c r="G131" s="502"/>
      <c r="H131" s="2211"/>
      <c r="I131" s="2146"/>
    </row>
    <row r="132" spans="1:41" ht="15" customHeight="1">
      <c r="A132" s="2211"/>
      <c r="B132" s="2211"/>
      <c r="C132" s="1077" t="str">
        <f>F!C284</f>
        <v>5-50% and inhabited building is within 100 m of the AA.</v>
      </c>
      <c r="D132" s="78">
        <f>F!D284</f>
        <v>0</v>
      </c>
      <c r="E132" s="385">
        <v>2</v>
      </c>
      <c r="F132" s="385">
        <f t="shared" si="8"/>
        <v>0</v>
      </c>
      <c r="G132" s="502"/>
      <c r="H132" s="2211"/>
      <c r="I132" s="2146"/>
    </row>
    <row r="133" spans="1:41" ht="15" customHeight="1">
      <c r="A133" s="2211"/>
      <c r="B133" s="2211"/>
      <c r="C133" s="1077" t="str">
        <f>F!C285</f>
        <v>50-95%</v>
      </c>
      <c r="D133" s="78">
        <f>F!D285</f>
        <v>0</v>
      </c>
      <c r="E133" s="385">
        <v>4</v>
      </c>
      <c r="F133" s="385">
        <f t="shared" si="8"/>
        <v>0</v>
      </c>
      <c r="G133" s="502"/>
      <c r="H133" s="2211"/>
      <c r="I133" s="2146"/>
    </row>
    <row r="134" spans="1:41" ht="15" customHeight="1" thickBot="1">
      <c r="A134" s="2420"/>
      <c r="B134" s="2420"/>
      <c r="C134" s="1222" t="str">
        <f>F!C286</f>
        <v>&gt;95% of the AA</v>
      </c>
      <c r="D134" s="1658">
        <f>F!D286</f>
        <v>0</v>
      </c>
      <c r="E134" s="389">
        <v>5</v>
      </c>
      <c r="F134" s="389">
        <f t="shared" si="8"/>
        <v>0</v>
      </c>
      <c r="G134" s="503"/>
      <c r="H134" s="2420"/>
      <c r="I134" s="2149"/>
    </row>
    <row r="135" spans="1:41" ht="60" customHeight="1" thickBot="1">
      <c r="A135" s="2211" t="str">
        <f>F!A287</f>
        <v>F62</v>
      </c>
      <c r="B135" s="2211" t="str">
        <f>F!B287</f>
        <v>Frequently Visited Area</v>
      </c>
      <c r="C135" s="439"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135" s="1371"/>
      <c r="E135" s="391"/>
      <c r="F135" s="382"/>
      <c r="G135" s="538">
        <f>MAX(F136:F139)/MAX(E136:E139)</f>
        <v>0</v>
      </c>
      <c r="H135" s="2211" t="s">
        <v>166</v>
      </c>
      <c r="I135" s="2148" t="s">
        <v>293</v>
      </c>
    </row>
    <row r="136" spans="1:41" ht="15" customHeight="1">
      <c r="A136" s="2211"/>
      <c r="B136" s="2211"/>
      <c r="C136" s="1660" t="str">
        <f>F!C288</f>
        <v>&lt;5%. If F61 was answered "&gt;95%" (mostly never visited), SKIP to F65.</v>
      </c>
      <c r="D136" s="78">
        <f>F!D288</f>
        <v>0</v>
      </c>
      <c r="E136" s="1162">
        <v>2</v>
      </c>
      <c r="F136" s="385">
        <f>D136*E136</f>
        <v>0</v>
      </c>
      <c r="G136" s="501"/>
      <c r="H136" s="2211"/>
      <c r="I136" s="2146"/>
    </row>
    <row r="137" spans="1:41" ht="15" customHeight="1">
      <c r="A137" s="2211"/>
      <c r="B137" s="2211"/>
      <c r="C137" s="1454" t="str">
        <f>F!C289</f>
        <v>5-50%</v>
      </c>
      <c r="D137" s="654">
        <f>F!D289</f>
        <v>0</v>
      </c>
      <c r="E137" s="1162">
        <v>1</v>
      </c>
      <c r="F137" s="385">
        <f>D137*E137</f>
        <v>0</v>
      </c>
      <c r="G137" s="502"/>
      <c r="H137" s="2211"/>
      <c r="I137" s="2146"/>
    </row>
    <row r="138" spans="1:41" ht="15" customHeight="1">
      <c r="A138" s="2211"/>
      <c r="B138" s="2211"/>
      <c r="C138" s="1471" t="str">
        <f>F!C290</f>
        <v>50-95%</v>
      </c>
      <c r="D138" s="549">
        <f>F!D290</f>
        <v>0</v>
      </c>
      <c r="E138" s="1162">
        <v>0</v>
      </c>
      <c r="F138" s="385">
        <f>D138*E138</f>
        <v>0</v>
      </c>
      <c r="G138" s="502"/>
      <c r="H138" s="2211"/>
      <c r="I138" s="2146"/>
    </row>
    <row r="139" spans="1:41" ht="15" customHeight="1" thickBot="1">
      <c r="A139" s="2211"/>
      <c r="B139" s="2211"/>
      <c r="C139" s="1184" t="str">
        <f>F!C291</f>
        <v>&gt;95% of the AA.</v>
      </c>
      <c r="D139" s="193">
        <f>F!D291</f>
        <v>0</v>
      </c>
      <c r="E139" s="1252">
        <v>0</v>
      </c>
      <c r="F139" s="387">
        <f>D139*E139</f>
        <v>0</v>
      </c>
      <c r="G139" s="511"/>
      <c r="H139" s="2211"/>
      <c r="I139" s="2149"/>
    </row>
    <row r="140" spans="1:41" ht="60" customHeight="1" thickBot="1">
      <c r="A140" s="439" t="str">
        <f>F!A293</f>
        <v>F64</v>
      </c>
      <c r="B140" s="439" t="str">
        <f>F!B293</f>
        <v>BMP - Wildlife Protection</v>
      </c>
      <c r="C140" s="536" t="str">
        <f>F!C293</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40" s="236">
        <f>F!D293</f>
        <v>0</v>
      </c>
      <c r="E140" s="701"/>
      <c r="F140" s="395"/>
      <c r="G140" s="537">
        <f>IF((D134+D136&gt;1),"", D140)</f>
        <v>0</v>
      </c>
      <c r="H140" s="5" t="s">
        <v>1279</v>
      </c>
      <c r="I140" s="81" t="s">
        <v>1212</v>
      </c>
    </row>
    <row r="141" spans="1:41" s="138" customFormat="1" ht="36" customHeight="1" thickBot="1">
      <c r="A141" s="1581" t="s">
        <v>168</v>
      </c>
      <c r="B141" s="1582" t="s">
        <v>2407</v>
      </c>
      <c r="C141" s="1584" t="s">
        <v>1354</v>
      </c>
      <c r="D141" s="1583" t="s">
        <v>64</v>
      </c>
      <c r="E141" s="1746" t="s">
        <v>1383</v>
      </c>
      <c r="F141" s="1706" t="s">
        <v>1384</v>
      </c>
      <c r="G141" s="1747" t="s">
        <v>1293</v>
      </c>
      <c r="H141" s="1582" t="s">
        <v>1294</v>
      </c>
      <c r="I141" s="1582" t="s">
        <v>2622</v>
      </c>
      <c r="J141" s="187"/>
      <c r="K141" s="187"/>
      <c r="L141" s="187"/>
      <c r="M141" s="187"/>
      <c r="N141" s="187"/>
      <c r="O141" s="187"/>
      <c r="P141" s="187"/>
      <c r="Q141" s="187"/>
      <c r="R141" s="187"/>
      <c r="S141" s="187"/>
      <c r="T141" s="187"/>
      <c r="U141" s="187"/>
      <c r="V141" s="187"/>
      <c r="W141" s="187"/>
      <c r="X141" s="187"/>
      <c r="Y141" s="187"/>
      <c r="Z141" s="187"/>
      <c r="AA141" s="187"/>
      <c r="AB141" s="187"/>
      <c r="AC141" s="187"/>
      <c r="AD141" s="187"/>
      <c r="AE141" s="187"/>
      <c r="AF141" s="187"/>
      <c r="AG141" s="187"/>
      <c r="AH141" s="187"/>
      <c r="AI141" s="187"/>
      <c r="AJ141" s="187"/>
      <c r="AK141" s="187"/>
      <c r="AL141" s="187"/>
      <c r="AM141" s="187"/>
      <c r="AN141" s="187"/>
      <c r="AO141" s="187"/>
    </row>
    <row r="142" spans="1:41" s="17" customFormat="1" ht="156" customHeight="1" thickBot="1">
      <c r="A142" s="443" t="str">
        <f>OF!A34</f>
        <v>OF5</v>
      </c>
      <c r="B142" s="443" t="str">
        <f>OF!B34</f>
        <v>Herbaceous Uniqueness</v>
      </c>
      <c r="C142" s="1781" t="str">
        <f>OF!C34</f>
        <v xml:space="preserve">Does the AA contain the largest unmanaged herbaceous* patch within 5 km of the AA's edge? (or is the AA's vegetation mostly herbaceous but uplands within 5 km have &lt;10% herbaceous cover?). If so, enter "3" and continue to OF6.  If not, consider: 
Does the AA have the largest unmanaged herbaceous patch within 1 km? (or is the AA's vegetation mostly herbaceous but uplands within 1 km have &lt;10% herbaceous cover?); if so enter "2" and continue to OF6.  If not, consider: 
Does  the AA have the largest unmanaged patch of herbaceous vegetation within 100 m? (or is the AA's vegetation mostly herbaceous but uplands within 100 m have &lt;10% herbaceous cover?)  If so, enter "1"  
[* NOTE: Exclude lawns, row crops, heavily grazed lands, forest, shrublands. Include moss as well as grasslike plants in this use of "herbaceous vegetation"]
</v>
      </c>
      <c r="D142" s="1074">
        <f>OF!D34</f>
        <v>0</v>
      </c>
      <c r="E142" s="395"/>
      <c r="F142" s="499"/>
      <c r="G142" s="771">
        <f>D142/3</f>
        <v>0</v>
      </c>
      <c r="H142" s="1944" t="s">
        <v>2899</v>
      </c>
      <c r="I142" s="1709" t="s">
        <v>2088</v>
      </c>
      <c r="J142" s="14"/>
    </row>
    <row r="143" spans="1:41" s="17" customFormat="1" ht="30" customHeight="1" thickBot="1">
      <c r="A143" s="2181" t="str">
        <f>OF!A45</f>
        <v>OF9</v>
      </c>
      <c r="B143" s="2212" t="str">
        <f>OF!B45</f>
        <v>Distance by Road to Nearest Population Center</v>
      </c>
      <c r="C143" s="439" t="str">
        <f>OF!C45</f>
        <v>Measured along the maintained road nearest the AA, the distance to the nearest population center is:</v>
      </c>
      <c r="D143" s="365"/>
      <c r="E143" s="392"/>
      <c r="F143" s="366"/>
      <c r="G143" s="771">
        <f>MAX(F144:F148)/MAX(E144:E148)</f>
        <v>0</v>
      </c>
      <c r="H143" s="2148" t="s">
        <v>1265</v>
      </c>
      <c r="I143" s="2611" t="s">
        <v>1146</v>
      </c>
      <c r="J143" s="14"/>
    </row>
    <row r="144" spans="1:41" s="17" customFormat="1" ht="15" customHeight="1">
      <c r="A144" s="2180"/>
      <c r="B144" s="2213"/>
      <c r="C144" s="440" t="str">
        <f>OF!C46</f>
        <v>&lt;100 m</v>
      </c>
      <c r="D144" s="255">
        <f>OF!D46</f>
        <v>0</v>
      </c>
      <c r="E144" s="709">
        <v>4</v>
      </c>
      <c r="F144" s="385">
        <f>D144*E144</f>
        <v>0</v>
      </c>
      <c r="G144" s="501"/>
      <c r="H144" s="2146"/>
      <c r="I144" s="2612"/>
      <c r="J144" s="14"/>
    </row>
    <row r="145" spans="1:10" s="17" customFormat="1" ht="15" customHeight="1">
      <c r="A145" s="2180"/>
      <c r="B145" s="2213"/>
      <c r="C145" s="651" t="str">
        <f>OF!C47</f>
        <v>100 - 500 m</v>
      </c>
      <c r="D145" s="78">
        <f>OF!D47</f>
        <v>0</v>
      </c>
      <c r="E145" s="709">
        <v>3</v>
      </c>
      <c r="F145" s="385">
        <f>D145*E145</f>
        <v>0</v>
      </c>
      <c r="G145" s="501"/>
      <c r="H145" s="2146"/>
      <c r="I145" s="2612"/>
      <c r="J145" s="14"/>
    </row>
    <row r="146" spans="1:10" s="17" customFormat="1" ht="15" customHeight="1">
      <c r="A146" s="2180"/>
      <c r="B146" s="2213"/>
      <c r="C146" s="651" t="str">
        <f>OF!C48</f>
        <v>0.5- 1 km</v>
      </c>
      <c r="D146" s="78">
        <f>OF!D48</f>
        <v>0</v>
      </c>
      <c r="E146" s="709">
        <v>2</v>
      </c>
      <c r="F146" s="385">
        <f>D146*E146</f>
        <v>0</v>
      </c>
      <c r="G146" s="501"/>
      <c r="H146" s="2146"/>
      <c r="I146" s="2612"/>
      <c r="J146" s="14"/>
    </row>
    <row r="147" spans="1:10" s="17" customFormat="1" ht="15" customHeight="1">
      <c r="A147" s="2180"/>
      <c r="B147" s="2213"/>
      <c r="C147" s="651" t="str">
        <f>OF!C49</f>
        <v>1 - 5 km</v>
      </c>
      <c r="D147" s="78">
        <f>OF!D49</f>
        <v>0</v>
      </c>
      <c r="E147" s="709">
        <v>1</v>
      </c>
      <c r="F147" s="385">
        <f>D147*E147</f>
        <v>0</v>
      </c>
      <c r="G147" s="501"/>
      <c r="H147" s="2146"/>
      <c r="I147" s="2612"/>
      <c r="J147" s="14"/>
    </row>
    <row r="148" spans="1:10" s="17" customFormat="1" ht="15" customHeight="1" thickBot="1">
      <c r="A148" s="2187"/>
      <c r="B148" s="2377"/>
      <c r="C148" s="441" t="str">
        <f>OF!C50</f>
        <v>&gt;5 km</v>
      </c>
      <c r="D148" s="193">
        <f>OF!D50</f>
        <v>0</v>
      </c>
      <c r="E148" s="772">
        <v>0</v>
      </c>
      <c r="F148" s="389">
        <f>D148*E148</f>
        <v>0</v>
      </c>
      <c r="G148" s="756"/>
      <c r="H148" s="2149"/>
      <c r="I148" s="2613"/>
      <c r="J148" s="14"/>
    </row>
    <row r="149" spans="1:10" s="17" customFormat="1" ht="46.8" customHeight="1" thickBot="1">
      <c r="A149" s="123" t="str">
        <f>OF!A141</f>
        <v>OF30</v>
      </c>
      <c r="B149" s="123" t="str">
        <f>OF!B141</f>
        <v>Species of Conservation Concern</v>
      </c>
      <c r="C149" s="536" t="str">
        <f>OF!C144</f>
        <v>Presence of one or more of the waterbird species of conservation concern (WBF, WBN) as listed in the Wildlife_Rare worksheet of the accompanying SuppInfo file, during their nesting season (May-July for most species).</v>
      </c>
      <c r="D149" s="296">
        <f>OF!D144</f>
        <v>0</v>
      </c>
      <c r="E149" s="395"/>
      <c r="F149" s="1124"/>
      <c r="G149" s="519">
        <f>D149</f>
        <v>0</v>
      </c>
      <c r="H149" s="81" t="s">
        <v>1588</v>
      </c>
      <c r="I149" s="1709" t="s">
        <v>300</v>
      </c>
      <c r="J149" s="14"/>
    </row>
    <row r="150" spans="1:10" ht="33" customHeight="1" thickBot="1">
      <c r="A150" s="703" t="str">
        <f>OF!A147</f>
        <v>OF31</v>
      </c>
      <c r="B150" s="123" t="str">
        <f>OF!B147</f>
        <v>Designated Important Bird Area (IBA)</v>
      </c>
      <c r="C150" s="536" t="str">
        <f>OF!C147</f>
        <v xml:space="preserve">The AA is all or part of the West Shepody Bay or St. Johns River Important Bird Areas (IBA). See Figures A-3 &amp; A-4 in Appendix A of the Manual. Enter 1= yes, 0= no. </v>
      </c>
      <c r="D150" s="296">
        <f>OF!D147</f>
        <v>0</v>
      </c>
      <c r="E150" s="395"/>
      <c r="F150" s="395"/>
      <c r="G150" s="519">
        <f>D150</f>
        <v>0</v>
      </c>
      <c r="H150" s="81" t="s">
        <v>165</v>
      </c>
      <c r="I150" s="81" t="s">
        <v>1348</v>
      </c>
    </row>
    <row r="151" spans="1:10" ht="45" customHeight="1" thickBot="1">
      <c r="A151" s="2520" t="str">
        <f>F!A267</f>
        <v>F58</v>
      </c>
      <c r="B151" s="2520" t="str">
        <f>F!B267</f>
        <v>Visibility</v>
      </c>
      <c r="C151" s="666" t="str">
        <f>F!C267</f>
        <v>The maximum percentage of the wetland that is visible from the best vantage point on public roads, public parking lots, public buildings, or public maintained trails that intersect, adjoin, or are within 100 m of the AA (select one) is:</v>
      </c>
      <c r="D151" s="360"/>
      <c r="E151" s="709"/>
      <c r="F151" s="773"/>
      <c r="G151" s="774">
        <f>MAX(F152:F154)/MAX(E152:E154)</f>
        <v>0</v>
      </c>
      <c r="H151" s="2158" t="s">
        <v>1842</v>
      </c>
      <c r="I151" s="2148" t="s">
        <v>1145</v>
      </c>
    </row>
    <row r="152" spans="1:10" ht="15" customHeight="1">
      <c r="A152" s="2520"/>
      <c r="B152" s="2520"/>
      <c r="C152" s="1784" t="str">
        <f>F!C268</f>
        <v>&lt;25%</v>
      </c>
      <c r="D152" s="1160">
        <f>F!D268</f>
        <v>0</v>
      </c>
      <c r="E152" s="709">
        <v>0</v>
      </c>
      <c r="F152" s="385">
        <f>D152*E152</f>
        <v>0</v>
      </c>
      <c r="G152" s="773"/>
      <c r="H152" s="2159"/>
      <c r="I152" s="2146"/>
    </row>
    <row r="153" spans="1:10" ht="15" customHeight="1">
      <c r="A153" s="2520"/>
      <c r="B153" s="2520"/>
      <c r="C153" s="1782" t="str">
        <f>F!C269</f>
        <v>25-50%</v>
      </c>
      <c r="D153" s="1160">
        <f>F!D269</f>
        <v>0</v>
      </c>
      <c r="E153" s="709">
        <v>1</v>
      </c>
      <c r="F153" s="385">
        <f>D153*E153</f>
        <v>0</v>
      </c>
      <c r="G153" s="773"/>
      <c r="H153" s="2159"/>
      <c r="I153" s="2146"/>
    </row>
    <row r="154" spans="1:10" ht="15" customHeight="1" thickBot="1">
      <c r="A154" s="2520"/>
      <c r="B154" s="2520"/>
      <c r="C154" s="1783" t="str">
        <f>F!C270</f>
        <v>&gt;50%</v>
      </c>
      <c r="D154" s="1785">
        <f>F!D270</f>
        <v>0</v>
      </c>
      <c r="E154" s="393">
        <v>2</v>
      </c>
      <c r="F154" s="387">
        <f>D154*E154</f>
        <v>0</v>
      </c>
      <c r="G154" s="760"/>
      <c r="H154" s="2160"/>
      <c r="I154" s="2149"/>
    </row>
    <row r="155" spans="1:10" s="17" customFormat="1" ht="33" customHeight="1" thickBot="1">
      <c r="A155" s="123" t="str">
        <f>F!A294</f>
        <v>F65</v>
      </c>
      <c r="B155" s="123" t="str">
        <f>F!B294</f>
        <v xml:space="preserve">Consumptive Uses (Provisioning Services)  </v>
      </c>
      <c r="C155" s="1056" t="str">
        <f>F!C297</f>
        <v>waterfowl hunting.</v>
      </c>
      <c r="D155" s="1074">
        <f>F!D297</f>
        <v>0</v>
      </c>
      <c r="E155" s="395"/>
      <c r="F155" s="384"/>
      <c r="G155" s="748">
        <f>F!D150</f>
        <v>0</v>
      </c>
      <c r="H155" s="5" t="s">
        <v>61</v>
      </c>
      <c r="I155" s="1709" t="s">
        <v>299</v>
      </c>
      <c r="J155" s="14"/>
    </row>
    <row r="156" spans="1:10" s="14" customFormat="1" ht="21" customHeight="1" thickBot="1">
      <c r="A156" s="1243"/>
      <c r="B156" s="1243"/>
      <c r="C156" s="1243"/>
      <c r="D156" s="2621"/>
      <c r="E156" s="2621"/>
      <c r="F156" s="2621"/>
      <c r="G156" s="2621"/>
      <c r="H156" s="2621"/>
      <c r="I156" s="1910"/>
    </row>
    <row r="157" spans="1:10" ht="21" customHeight="1">
      <c r="A157" s="553"/>
      <c r="B157" s="553"/>
      <c r="C157" s="1737"/>
      <c r="D157" s="2691" t="s">
        <v>748</v>
      </c>
      <c r="E157" s="2692"/>
      <c r="F157" s="2693"/>
      <c r="G157" s="1691">
        <f>AVERAGE(SatPct12,ISOwet12, MAX(SeasWpct12, PermWpct12), Depth12, DepthEven12)</f>
        <v>0</v>
      </c>
      <c r="H157" s="1897" t="s">
        <v>1912</v>
      </c>
      <c r="I157" s="1898" t="s">
        <v>2767</v>
      </c>
    </row>
    <row r="158" spans="1:10" ht="21" customHeight="1">
      <c r="A158" s="553"/>
      <c r="B158" s="553"/>
      <c r="C158" s="1737"/>
      <c r="D158" s="2677" t="s">
        <v>201</v>
      </c>
      <c r="E158" s="2672"/>
      <c r="F158" s="2673"/>
      <c r="G158" s="1692">
        <f>AVERAGE(Mudflat12,Interspers12, AreaTotal12,AVERAGE(ABpct12, EmPct12))</f>
        <v>0</v>
      </c>
      <c r="H158" s="1858" t="s">
        <v>2657</v>
      </c>
      <c r="I158" s="1899" t="s">
        <v>2768</v>
      </c>
    </row>
    <row r="159" spans="1:10" ht="21" customHeight="1">
      <c r="A159" s="553"/>
      <c r="B159" s="553"/>
      <c r="C159" s="553"/>
      <c r="D159" s="1798" t="s">
        <v>232</v>
      </c>
      <c r="E159" s="2672"/>
      <c r="F159" s="2673"/>
      <c r="G159" s="1692">
        <f>AVERAGE(Wettype12,Fringe12a, Lake12a,Gradient12, Algae12, TidalProx12,Fish12a)</f>
        <v>0.2</v>
      </c>
      <c r="H159" s="1925" t="s">
        <v>2861</v>
      </c>
      <c r="I159" s="1899" t="s">
        <v>2769</v>
      </c>
    </row>
    <row r="160" spans="1:10" ht="21" customHeight="1">
      <c r="A160" s="553"/>
      <c r="B160" s="553"/>
      <c r="C160" s="553"/>
      <c r="D160" s="2674" t="s">
        <v>278</v>
      </c>
      <c r="E160" s="2675"/>
      <c r="F160" s="2676"/>
      <c r="G160" s="1692">
        <f>warmth12</f>
        <v>0</v>
      </c>
      <c r="H160" s="1925" t="s">
        <v>2860</v>
      </c>
      <c r="I160" s="1899" t="s">
        <v>2770</v>
      </c>
    </row>
    <row r="161" spans="1:9" ht="21" customHeight="1">
      <c r="A161" s="553"/>
      <c r="B161" s="553"/>
      <c r="C161" s="553"/>
      <c r="D161" s="2677" t="s">
        <v>198</v>
      </c>
      <c r="E161" s="2672"/>
      <c r="F161" s="2673"/>
      <c r="G161" s="1692">
        <f>AVERAGE(WetTypeDiv12,Beaver12, PondProx12,BigPondProx12)</f>
        <v>0</v>
      </c>
      <c r="H161" s="1858" t="s">
        <v>2658</v>
      </c>
      <c r="I161" s="1899" t="s">
        <v>2771</v>
      </c>
    </row>
    <row r="162" spans="1:9" ht="21" customHeight="1" thickBot="1">
      <c r="A162" s="553"/>
      <c r="B162" s="553"/>
      <c r="C162" s="553"/>
      <c r="D162" s="2680" t="s">
        <v>1327</v>
      </c>
      <c r="E162" s="2681"/>
      <c r="F162" s="2682"/>
      <c r="G162" s="1693">
        <f>AVERAGE(Core12a, Core12b, _BMP12,_Tox12)</f>
        <v>0</v>
      </c>
      <c r="H162" s="1900" t="s">
        <v>1213</v>
      </c>
      <c r="I162" s="1901" t="s">
        <v>2772</v>
      </c>
    </row>
    <row r="163" spans="1:9" ht="21" customHeight="1" thickBot="1">
      <c r="A163" s="553"/>
      <c r="B163" s="553"/>
      <c r="C163" s="553"/>
      <c r="D163" s="2671"/>
      <c r="E163" s="2671"/>
      <c r="F163" s="2671"/>
      <c r="G163" s="2671"/>
      <c r="H163" s="2640"/>
      <c r="I163" s="1906"/>
    </row>
    <row r="164" spans="1:9" ht="45" customHeight="1" thickBot="1">
      <c r="A164" s="2640"/>
      <c r="B164" s="2670"/>
      <c r="C164" s="2394" t="s">
        <v>99</v>
      </c>
      <c r="D164" s="2395"/>
      <c r="E164" s="2396"/>
      <c r="F164" s="1591" t="s">
        <v>75</v>
      </c>
      <c r="G164" s="1694">
        <f>IF((AllSat1=1),0, IF((TooSmall=1),0, IF((TooSteep=1),0, 10*AVERAGE(Struc12,Hydro12,Produc12,AVERAGE(Climate12,Lscape12,Stress12)))))</f>
        <v>0.5</v>
      </c>
      <c r="H164" s="2363" t="s">
        <v>2052</v>
      </c>
      <c r="I164" s="2364"/>
    </row>
    <row r="165" spans="1:9" ht="30" customHeight="1" thickBot="1">
      <c r="A165" s="2640"/>
      <c r="B165" s="2670"/>
      <c r="C165" s="2394" t="s">
        <v>2416</v>
      </c>
      <c r="D165" s="2395"/>
      <c r="E165" s="2396"/>
      <c r="F165" s="1949" t="s">
        <v>2888</v>
      </c>
      <c r="G165" s="1701">
        <f>10*(IF((Rare12=1),1, IF((IBird12v=1),1, AVERAGE(HerbUniq12,PondNum12v,DuckHunt,PopCtr12,Visib12))))</f>
        <v>0</v>
      </c>
      <c r="H165" s="2363" t="s">
        <v>2659</v>
      </c>
      <c r="I165" s="2364"/>
    </row>
    <row r="166" spans="1:9" ht="21" customHeight="1" thickBot="1">
      <c r="A166" s="2640"/>
      <c r="B166" s="2640"/>
      <c r="C166" s="2640"/>
      <c r="D166" s="2640"/>
      <c r="E166" s="2640"/>
      <c r="F166" s="2640"/>
      <c r="G166" s="2640"/>
      <c r="H166" s="2640"/>
    </row>
    <row r="167" spans="1:9" ht="21" customHeight="1" thickBot="1">
      <c r="A167" s="11"/>
      <c r="B167" s="11"/>
      <c r="C167" s="11"/>
      <c r="D167" s="11"/>
      <c r="E167" s="11"/>
      <c r="F167" s="11"/>
      <c r="G167" s="1244"/>
      <c r="H167" s="2678" t="s">
        <v>806</v>
      </c>
      <c r="I167" s="2679"/>
    </row>
    <row r="168" spans="1:9" ht="27" customHeight="1">
      <c r="A168" s="11"/>
      <c r="B168" s="11"/>
      <c r="C168" s="11"/>
      <c r="D168" s="11"/>
      <c r="E168" s="11"/>
      <c r="F168" s="11"/>
      <c r="G168" s="11"/>
      <c r="H168" s="2582" t="s">
        <v>1202</v>
      </c>
      <c r="I168" s="2583"/>
    </row>
    <row r="169" spans="1:9" ht="21" customHeight="1">
      <c r="A169" s="11"/>
      <c r="B169" s="11"/>
      <c r="C169" s="11"/>
      <c r="D169" s="11"/>
      <c r="E169" s="11"/>
      <c r="F169" s="11"/>
      <c r="G169" s="11"/>
      <c r="H169" s="2367" t="s">
        <v>996</v>
      </c>
      <c r="I169" s="2368"/>
    </row>
    <row r="170" spans="1:9" ht="42" customHeight="1">
      <c r="A170" s="11"/>
      <c r="B170" s="11"/>
      <c r="C170" s="11"/>
      <c r="D170" s="11"/>
      <c r="E170" s="11"/>
      <c r="F170" s="11"/>
      <c r="G170" s="11"/>
      <c r="H170" s="2373" t="s">
        <v>997</v>
      </c>
      <c r="I170" s="2374"/>
    </row>
    <row r="171" spans="1:9" ht="27" customHeight="1">
      <c r="A171" s="11"/>
      <c r="B171" s="11"/>
      <c r="C171" s="11"/>
      <c r="D171" s="11"/>
      <c r="E171" s="11"/>
      <c r="F171" s="11"/>
      <c r="G171" s="11"/>
      <c r="H171" s="2367" t="s">
        <v>998</v>
      </c>
      <c r="I171" s="2368"/>
    </row>
    <row r="172" spans="1:9" ht="27" customHeight="1">
      <c r="A172" s="11"/>
      <c r="B172" s="11"/>
      <c r="C172" s="11"/>
      <c r="D172" s="11"/>
      <c r="E172" s="11"/>
      <c r="F172" s="11"/>
      <c r="G172" s="11"/>
      <c r="H172" s="2367" t="s">
        <v>1204</v>
      </c>
      <c r="I172" s="2368"/>
    </row>
    <row r="173" spans="1:9" ht="27" customHeight="1">
      <c r="A173" s="11"/>
      <c r="B173" s="11"/>
      <c r="C173" s="11"/>
      <c r="D173" s="11"/>
      <c r="E173" s="11"/>
      <c r="F173" s="11"/>
      <c r="G173" s="11"/>
      <c r="H173" s="2367" t="s">
        <v>999</v>
      </c>
      <c r="I173" s="2368"/>
    </row>
    <row r="174" spans="1:9" ht="42" customHeight="1">
      <c r="A174" s="11"/>
      <c r="B174" s="11"/>
      <c r="C174" s="11"/>
      <c r="D174" s="11"/>
      <c r="E174" s="11"/>
      <c r="F174" s="11"/>
      <c r="G174" s="11"/>
      <c r="H174" s="2367" t="s">
        <v>2181</v>
      </c>
      <c r="I174" s="2368"/>
    </row>
    <row r="175" spans="1:9" ht="27" customHeight="1">
      <c r="A175" s="11"/>
      <c r="B175" s="11"/>
      <c r="C175" s="11"/>
      <c r="D175" s="11"/>
      <c r="E175" s="11"/>
      <c r="F175" s="11"/>
      <c r="G175" s="11"/>
      <c r="H175" s="2373" t="s">
        <v>1000</v>
      </c>
      <c r="I175" s="2374"/>
    </row>
    <row r="176" spans="1:9" ht="27" customHeight="1">
      <c r="A176" s="11"/>
      <c r="B176" s="11"/>
      <c r="C176" s="11"/>
      <c r="D176" s="11"/>
      <c r="E176" s="11"/>
      <c r="F176" s="11"/>
      <c r="G176" s="11"/>
      <c r="H176" s="2549" t="s">
        <v>1277</v>
      </c>
      <c r="I176" s="2550"/>
    </row>
    <row r="177" spans="1:9" ht="27" customHeight="1">
      <c r="A177" s="11"/>
      <c r="B177" s="11"/>
      <c r="C177" s="11"/>
      <c r="D177" s="11"/>
      <c r="E177" s="11"/>
      <c r="F177" s="11"/>
      <c r="G177" s="11"/>
      <c r="H177" s="2549" t="s">
        <v>1278</v>
      </c>
      <c r="I177" s="2550"/>
    </row>
    <row r="178" spans="1:9" ht="27" customHeight="1">
      <c r="A178" s="11"/>
      <c r="B178" s="11"/>
      <c r="C178" s="11"/>
      <c r="D178" s="11"/>
      <c r="E178" s="11"/>
      <c r="F178" s="11"/>
      <c r="G178" s="11"/>
      <c r="H178" s="2367" t="s">
        <v>1001</v>
      </c>
      <c r="I178" s="2368"/>
    </row>
    <row r="179" spans="1:9" ht="27" customHeight="1" thickBot="1">
      <c r="A179" s="11"/>
      <c r="B179" s="11"/>
      <c r="C179" s="11"/>
      <c r="D179" s="11"/>
      <c r="E179" s="11"/>
      <c r="F179" s="11"/>
      <c r="G179" s="11"/>
      <c r="H179" s="2407" t="s">
        <v>1002</v>
      </c>
      <c r="I179" s="2408"/>
    </row>
    <row r="180" spans="1:9">
      <c r="A180" s="11"/>
      <c r="B180" s="11"/>
      <c r="C180" s="11"/>
      <c r="D180" s="11"/>
      <c r="E180" s="11"/>
      <c r="F180" s="11"/>
      <c r="G180" s="11"/>
      <c r="H180" s="1219"/>
    </row>
    <row r="181" spans="1:9">
      <c r="A181" s="11"/>
      <c r="B181" s="4"/>
      <c r="C181" s="15"/>
      <c r="D181" s="757"/>
      <c r="E181" s="675"/>
      <c r="F181" s="675"/>
      <c r="G181" s="749"/>
      <c r="H181" s="1399"/>
    </row>
    <row r="182" spans="1:9">
      <c r="A182" s="11"/>
      <c r="B182" s="4"/>
      <c r="C182" s="15"/>
      <c r="D182" s="757"/>
      <c r="E182" s="675"/>
      <c r="F182" s="675"/>
      <c r="G182" s="749"/>
      <c r="H182" s="1421"/>
    </row>
    <row r="183" spans="1:9" ht="14.4" thickBot="1">
      <c r="A183" s="11"/>
      <c r="B183" s="4"/>
      <c r="C183" s="15"/>
      <c r="D183" s="757"/>
      <c r="E183" s="675"/>
      <c r="F183" s="675"/>
      <c r="G183" s="749"/>
      <c r="H183" s="1421"/>
    </row>
    <row r="184" spans="1:9" ht="14.4" thickBot="1">
      <c r="A184" s="11"/>
      <c r="B184" s="4"/>
      <c r="C184" s="1776"/>
      <c r="D184" s="757"/>
      <c r="E184" s="675"/>
      <c r="F184" s="675"/>
      <c r="G184" s="749"/>
      <c r="H184" s="1421"/>
    </row>
    <row r="185" spans="1:9">
      <c r="A185" s="11"/>
      <c r="B185" s="4"/>
      <c r="C185" s="15"/>
      <c r="D185" s="757"/>
      <c r="E185" s="675"/>
      <c r="F185" s="675"/>
      <c r="G185" s="749"/>
      <c r="H185" s="1421"/>
    </row>
    <row r="186" spans="1:9">
      <c r="A186" s="11"/>
      <c r="B186" s="4"/>
      <c r="C186" s="15"/>
      <c r="D186" s="757"/>
      <c r="E186" s="675"/>
      <c r="F186" s="675"/>
      <c r="G186" s="749"/>
      <c r="H186" s="1421"/>
    </row>
    <row r="187" spans="1:9">
      <c r="A187" s="11"/>
      <c r="B187" s="4"/>
      <c r="C187" s="15"/>
      <c r="D187" s="757"/>
      <c r="E187" s="675"/>
      <c r="F187" s="675"/>
      <c r="G187" s="749"/>
      <c r="H187" s="1421"/>
    </row>
    <row r="188" spans="1:9">
      <c r="A188" s="11"/>
      <c r="B188" s="4"/>
      <c r="C188" s="15"/>
      <c r="D188" s="757"/>
      <c r="E188" s="675"/>
      <c r="F188" s="675"/>
      <c r="G188" s="749"/>
      <c r="H188" s="1421"/>
    </row>
    <row r="189" spans="1:9">
      <c r="A189" s="11"/>
      <c r="B189" s="4"/>
      <c r="C189" s="15"/>
      <c r="D189" s="757"/>
      <c r="E189" s="675"/>
      <c r="F189" s="675"/>
      <c r="G189" s="749"/>
      <c r="H189" s="1421"/>
    </row>
    <row r="190" spans="1:9">
      <c r="A190" s="11"/>
      <c r="B190" s="4"/>
      <c r="C190" s="15"/>
      <c r="D190" s="757"/>
      <c r="E190" s="675"/>
      <c r="F190" s="675"/>
      <c r="G190" s="749"/>
      <c r="H190" s="1421"/>
    </row>
    <row r="191" spans="1:9">
      <c r="A191" s="11"/>
      <c r="B191" s="4"/>
      <c r="C191" s="15"/>
      <c r="D191" s="757"/>
      <c r="E191" s="675"/>
      <c r="F191" s="675"/>
      <c r="G191" s="749"/>
      <c r="H191" s="1421"/>
    </row>
    <row r="192" spans="1:9">
      <c r="A192" s="11"/>
      <c r="B192" s="4"/>
      <c r="C192" s="15"/>
      <c r="D192" s="757"/>
      <c r="E192" s="675"/>
      <c r="F192" s="675"/>
      <c r="G192" s="749"/>
      <c r="H192" s="1421"/>
    </row>
    <row r="193" spans="1:8">
      <c r="A193" s="11"/>
      <c r="B193" s="4"/>
      <c r="C193" s="15"/>
      <c r="D193" s="757"/>
      <c r="E193" s="675"/>
      <c r="F193" s="675"/>
      <c r="G193" s="749"/>
      <c r="H193" s="1421"/>
    </row>
    <row r="194" spans="1:8">
      <c r="A194" s="11"/>
      <c r="B194" s="4"/>
      <c r="C194" s="15"/>
      <c r="D194" s="757"/>
      <c r="E194" s="675"/>
      <c r="F194" s="675"/>
      <c r="G194" s="749"/>
      <c r="H194" s="1421"/>
    </row>
    <row r="195" spans="1:8">
      <c r="A195" s="11"/>
      <c r="B195" s="4"/>
      <c r="C195" s="15"/>
      <c r="D195" s="757"/>
      <c r="E195" s="675"/>
      <c r="F195" s="675"/>
      <c r="G195" s="749"/>
      <c r="H195" s="1421"/>
    </row>
    <row r="196" spans="1:8">
      <c r="A196" s="11"/>
      <c r="B196" s="4"/>
      <c r="C196" s="15"/>
      <c r="D196" s="757"/>
      <c r="E196" s="675"/>
      <c r="F196" s="675"/>
      <c r="G196" s="749"/>
      <c r="H196" s="1421"/>
    </row>
    <row r="197" spans="1:8">
      <c r="A197" s="11"/>
      <c r="B197" s="4"/>
      <c r="C197" s="15"/>
      <c r="D197" s="757"/>
      <c r="E197" s="675"/>
      <c r="F197" s="675"/>
      <c r="G197" s="749"/>
      <c r="H197" s="1421"/>
    </row>
    <row r="198" spans="1:8">
      <c r="A198" s="11"/>
      <c r="B198" s="4"/>
      <c r="C198" s="15"/>
      <c r="D198" s="757"/>
      <c r="E198" s="675"/>
      <c r="F198" s="675"/>
      <c r="G198" s="749"/>
      <c r="H198" s="1421"/>
    </row>
    <row r="199" spans="1:8">
      <c r="A199" s="11"/>
      <c r="B199" s="4"/>
      <c r="C199" s="15"/>
      <c r="D199" s="757"/>
      <c r="E199" s="675"/>
      <c r="F199" s="675"/>
      <c r="G199" s="749"/>
      <c r="H199" s="1421"/>
    </row>
    <row r="200" spans="1:8">
      <c r="A200" s="11"/>
      <c r="B200" s="4"/>
      <c r="C200" s="15"/>
      <c r="D200" s="757"/>
      <c r="E200" s="675"/>
      <c r="F200" s="675"/>
      <c r="G200" s="749"/>
      <c r="H200" s="1421"/>
    </row>
    <row r="201" spans="1:8">
      <c r="A201" s="11"/>
      <c r="B201" s="4"/>
      <c r="C201" s="15"/>
      <c r="D201" s="757"/>
      <c r="E201" s="675"/>
      <c r="F201" s="675"/>
      <c r="G201" s="749"/>
      <c r="H201" s="1421"/>
    </row>
    <row r="202" spans="1:8">
      <c r="A202" s="11"/>
      <c r="B202" s="4"/>
      <c r="C202" s="15"/>
      <c r="D202" s="757"/>
      <c r="E202" s="675"/>
      <c r="F202" s="675"/>
      <c r="G202" s="749"/>
      <c r="H202" s="23"/>
    </row>
    <row r="203" spans="1:8">
      <c r="A203" s="11"/>
      <c r="B203" s="4"/>
      <c r="C203" s="15"/>
      <c r="D203" s="757"/>
      <c r="E203" s="675"/>
      <c r="F203" s="675"/>
      <c r="G203" s="749"/>
      <c r="H203" s="23"/>
    </row>
    <row r="204" spans="1:8">
      <c r="A204" s="11"/>
      <c r="B204" s="4"/>
      <c r="C204" s="15"/>
      <c r="D204" s="757"/>
      <c r="E204" s="675"/>
      <c r="F204" s="675"/>
      <c r="G204" s="749"/>
      <c r="H204" s="23"/>
    </row>
    <row r="205" spans="1:8">
      <c r="A205" s="11"/>
      <c r="B205" s="4"/>
      <c r="C205" s="15"/>
      <c r="D205" s="757"/>
      <c r="E205" s="675"/>
      <c r="F205" s="675"/>
      <c r="G205" s="749"/>
      <c r="H205" s="23"/>
    </row>
    <row r="206" spans="1:8">
      <c r="A206" s="11"/>
      <c r="B206" s="4"/>
      <c r="C206" s="15"/>
      <c r="D206" s="757"/>
      <c r="E206" s="675"/>
      <c r="F206" s="675"/>
      <c r="G206" s="749"/>
      <c r="H206" s="23"/>
    </row>
    <row r="207" spans="1:8">
      <c r="A207" s="11"/>
      <c r="B207" s="4"/>
      <c r="C207" s="15"/>
      <c r="D207" s="757"/>
      <c r="E207" s="675"/>
      <c r="F207" s="675"/>
      <c r="G207" s="749"/>
      <c r="H207" s="23"/>
    </row>
    <row r="208" spans="1:8">
      <c r="A208" s="11"/>
      <c r="B208" s="4"/>
      <c r="C208" s="15"/>
      <c r="D208" s="757"/>
      <c r="E208" s="675"/>
      <c r="F208" s="675"/>
      <c r="G208" s="749"/>
      <c r="H208" s="23"/>
    </row>
    <row r="209" spans="1:8">
      <c r="A209" s="11"/>
      <c r="B209" s="4"/>
      <c r="C209" s="15"/>
      <c r="D209" s="757"/>
      <c r="E209" s="675"/>
      <c r="F209" s="675"/>
      <c r="G209" s="749"/>
      <c r="H209" s="23"/>
    </row>
    <row r="210" spans="1:8">
      <c r="A210" s="11"/>
      <c r="B210" s="4"/>
      <c r="C210" s="15"/>
      <c r="D210" s="757"/>
      <c r="E210" s="675"/>
      <c r="F210" s="675"/>
      <c r="G210" s="749"/>
      <c r="H210" s="23"/>
    </row>
    <row r="211" spans="1:8">
      <c r="A211" s="11"/>
      <c r="B211" s="4"/>
      <c r="C211" s="15"/>
      <c r="D211" s="757"/>
      <c r="E211" s="675"/>
      <c r="F211" s="675"/>
      <c r="G211" s="749"/>
      <c r="H211" s="23"/>
    </row>
    <row r="212" spans="1:8">
      <c r="A212" s="11"/>
      <c r="B212" s="4"/>
      <c r="C212" s="15"/>
      <c r="D212" s="757"/>
      <c r="E212" s="675"/>
      <c r="F212" s="675"/>
      <c r="G212" s="749"/>
      <c r="H212" s="23"/>
    </row>
    <row r="213" spans="1:8">
      <c r="A213" s="11"/>
      <c r="B213" s="4"/>
      <c r="C213" s="15"/>
      <c r="D213" s="757"/>
      <c r="E213" s="675"/>
      <c r="F213" s="675"/>
      <c r="G213" s="749"/>
      <c r="H213" s="23"/>
    </row>
    <row r="214" spans="1:8">
      <c r="A214" s="11"/>
      <c r="B214" s="4"/>
      <c r="C214" s="15"/>
      <c r="D214" s="757"/>
      <c r="E214" s="675"/>
      <c r="F214" s="675"/>
      <c r="G214" s="749"/>
      <c r="H214" s="23"/>
    </row>
    <row r="215" spans="1:8">
      <c r="A215" s="11"/>
      <c r="B215" s="4"/>
      <c r="C215" s="15"/>
      <c r="D215" s="757"/>
      <c r="E215" s="675"/>
      <c r="F215" s="675"/>
      <c r="G215" s="749"/>
      <c r="H215" s="23"/>
    </row>
    <row r="216" spans="1:8">
      <c r="A216" s="11"/>
      <c r="B216" s="4"/>
      <c r="C216" s="15"/>
      <c r="D216" s="757"/>
      <c r="E216" s="675"/>
      <c r="F216" s="675"/>
      <c r="G216" s="749"/>
      <c r="H216" s="23"/>
    </row>
    <row r="217" spans="1:8">
      <c r="A217" s="11"/>
      <c r="B217" s="4"/>
      <c r="C217" s="15"/>
      <c r="D217" s="757"/>
      <c r="E217" s="675"/>
      <c r="F217" s="675"/>
      <c r="G217" s="749"/>
      <c r="H217" s="23"/>
    </row>
    <row r="218" spans="1:8">
      <c r="A218" s="11"/>
      <c r="B218" s="4"/>
      <c r="C218" s="15"/>
      <c r="D218" s="757"/>
      <c r="E218" s="675"/>
      <c r="F218" s="675"/>
      <c r="G218" s="749"/>
      <c r="H218" s="23"/>
    </row>
    <row r="219" spans="1:8">
      <c r="A219" s="11"/>
      <c r="B219" s="4"/>
      <c r="C219" s="15"/>
      <c r="D219" s="757"/>
      <c r="E219" s="675"/>
      <c r="F219" s="675"/>
      <c r="G219" s="749"/>
      <c r="H219" s="23"/>
    </row>
    <row r="220" spans="1:8">
      <c r="A220" s="11"/>
      <c r="B220" s="4"/>
      <c r="C220" s="15"/>
      <c r="D220" s="757"/>
      <c r="E220" s="675"/>
      <c r="F220" s="675"/>
      <c r="G220" s="749"/>
      <c r="H220" s="23"/>
    </row>
    <row r="221" spans="1:8">
      <c r="A221" s="11"/>
      <c r="B221" s="4"/>
      <c r="C221" s="15"/>
      <c r="D221" s="757"/>
      <c r="E221" s="675"/>
      <c r="F221" s="675"/>
      <c r="G221" s="749"/>
      <c r="H221" s="23"/>
    </row>
    <row r="222" spans="1:8">
      <c r="A222" s="11"/>
      <c r="B222" s="4"/>
      <c r="C222" s="15"/>
      <c r="D222" s="757"/>
      <c r="E222" s="675"/>
      <c r="F222" s="675"/>
      <c r="G222" s="749"/>
      <c r="H222" s="23"/>
    </row>
    <row r="223" spans="1:8">
      <c r="A223" s="11"/>
      <c r="B223" s="4"/>
      <c r="C223" s="15"/>
      <c r="D223" s="757"/>
      <c r="E223" s="675"/>
      <c r="F223" s="675"/>
      <c r="G223" s="749"/>
      <c r="H223" s="23"/>
    </row>
    <row r="224" spans="1:8">
      <c r="A224" s="11"/>
      <c r="B224" s="4"/>
      <c r="C224" s="15"/>
      <c r="D224" s="757"/>
      <c r="E224" s="675"/>
      <c r="F224" s="675"/>
      <c r="G224" s="749"/>
      <c r="H224" s="23"/>
    </row>
    <row r="225" spans="1:8">
      <c r="A225" s="11"/>
      <c r="B225" s="4"/>
      <c r="C225" s="15"/>
      <c r="D225" s="757"/>
      <c r="E225" s="675"/>
      <c r="F225" s="675"/>
      <c r="G225" s="749"/>
      <c r="H225" s="23"/>
    </row>
    <row r="226" spans="1:8">
      <c r="A226" s="11"/>
      <c r="B226" s="4"/>
      <c r="C226" s="15"/>
      <c r="D226" s="757"/>
      <c r="E226" s="675"/>
      <c r="F226" s="675"/>
      <c r="G226" s="749"/>
      <c r="H226" s="23"/>
    </row>
    <row r="227" spans="1:8">
      <c r="A227" s="11"/>
      <c r="B227" s="4"/>
      <c r="C227" s="15"/>
      <c r="D227" s="757"/>
      <c r="E227" s="675"/>
      <c r="F227" s="675"/>
      <c r="G227" s="749"/>
      <c r="H227" s="23"/>
    </row>
    <row r="228" spans="1:8">
      <c r="A228" s="11"/>
      <c r="B228" s="4"/>
      <c r="C228" s="15"/>
      <c r="D228" s="757"/>
      <c r="E228" s="675"/>
      <c r="F228" s="675"/>
      <c r="G228" s="749"/>
      <c r="H228" s="23"/>
    </row>
    <row r="229" spans="1:8">
      <c r="A229" s="11"/>
      <c r="B229" s="4"/>
      <c r="C229" s="15"/>
      <c r="D229" s="757"/>
      <c r="E229" s="675"/>
      <c r="F229" s="675"/>
      <c r="G229" s="749"/>
      <c r="H229" s="23"/>
    </row>
    <row r="230" spans="1:8">
      <c r="A230" s="11"/>
      <c r="B230" s="4"/>
      <c r="C230" s="15"/>
      <c r="D230" s="757"/>
      <c r="E230" s="675"/>
      <c r="F230" s="675"/>
      <c r="G230" s="749"/>
      <c r="H230" s="23"/>
    </row>
    <row r="231" spans="1:8">
      <c r="A231" s="11"/>
      <c r="B231" s="4"/>
      <c r="C231" s="15"/>
      <c r="D231" s="757"/>
      <c r="E231" s="675"/>
      <c r="F231" s="675"/>
      <c r="G231" s="749"/>
      <c r="H231" s="23"/>
    </row>
    <row r="232" spans="1:8">
      <c r="A232" s="11"/>
      <c r="B232" s="4"/>
      <c r="C232" s="15"/>
      <c r="D232" s="757"/>
      <c r="E232" s="675"/>
      <c r="F232" s="675"/>
      <c r="G232" s="749"/>
      <c r="H232" s="23"/>
    </row>
    <row r="233" spans="1:8">
      <c r="A233" s="11"/>
      <c r="B233" s="4"/>
      <c r="C233" s="15"/>
      <c r="D233" s="757"/>
      <c r="E233" s="675"/>
      <c r="F233" s="675"/>
      <c r="G233" s="749"/>
      <c r="H233" s="23"/>
    </row>
    <row r="234" spans="1:8">
      <c r="A234" s="11"/>
      <c r="B234" s="4"/>
      <c r="C234" s="15"/>
      <c r="D234" s="757"/>
      <c r="E234" s="675"/>
      <c r="F234" s="675"/>
      <c r="G234" s="749"/>
      <c r="H234" s="23"/>
    </row>
    <row r="235" spans="1:8">
      <c r="A235" s="11"/>
      <c r="B235" s="4"/>
      <c r="C235" s="15"/>
      <c r="D235" s="757"/>
      <c r="E235" s="675"/>
      <c r="F235" s="675"/>
      <c r="G235" s="749"/>
      <c r="H235" s="23"/>
    </row>
    <row r="236" spans="1:8">
      <c r="A236" s="11"/>
      <c r="B236" s="4"/>
      <c r="C236" s="15"/>
      <c r="D236" s="757"/>
      <c r="E236" s="675"/>
      <c r="F236" s="675"/>
      <c r="G236" s="749"/>
      <c r="H236" s="23"/>
    </row>
    <row r="237" spans="1:8">
      <c r="A237" s="11"/>
      <c r="B237" s="4"/>
      <c r="C237" s="15"/>
      <c r="D237" s="757"/>
      <c r="E237" s="675"/>
      <c r="F237" s="675"/>
      <c r="G237" s="749"/>
      <c r="H237" s="23"/>
    </row>
    <row r="238" spans="1:8">
      <c r="A238" s="11"/>
      <c r="B238" s="4"/>
      <c r="C238" s="15"/>
      <c r="D238" s="757"/>
      <c r="E238" s="675"/>
      <c r="F238" s="675"/>
      <c r="G238" s="749"/>
      <c r="H238" s="23"/>
    </row>
    <row r="239" spans="1:8">
      <c r="A239" s="11"/>
      <c r="B239" s="4"/>
      <c r="C239" s="15"/>
      <c r="D239" s="757"/>
      <c r="E239" s="675"/>
      <c r="F239" s="675"/>
      <c r="G239" s="749"/>
      <c r="H239" s="23"/>
    </row>
    <row r="240" spans="1:8">
      <c r="A240" s="11"/>
      <c r="B240" s="4"/>
      <c r="C240" s="15"/>
      <c r="D240" s="757"/>
      <c r="E240" s="757"/>
      <c r="F240" s="757"/>
      <c r="G240" s="750"/>
      <c r="H240" s="23"/>
    </row>
    <row r="241" spans="1:8">
      <c r="A241" s="11"/>
      <c r="B241" s="4"/>
      <c r="C241" s="15"/>
      <c r="D241" s="757"/>
      <c r="E241" s="757"/>
      <c r="F241" s="757"/>
      <c r="G241" s="750"/>
      <c r="H241" s="23"/>
    </row>
    <row r="242" spans="1:8">
      <c r="A242" s="11"/>
      <c r="B242" s="4"/>
      <c r="C242" s="15"/>
      <c r="D242" s="757"/>
      <c r="E242" s="757"/>
      <c r="F242" s="757"/>
      <c r="G242" s="750"/>
      <c r="H242" s="23"/>
    </row>
    <row r="243" spans="1:8">
      <c r="A243" s="11"/>
      <c r="B243" s="4"/>
      <c r="C243" s="15"/>
      <c r="D243" s="757"/>
      <c r="E243" s="757"/>
      <c r="F243" s="757"/>
      <c r="G243" s="750"/>
      <c r="H243" s="23"/>
    </row>
    <row r="244" spans="1:8">
      <c r="A244" s="11"/>
      <c r="B244" s="4"/>
      <c r="C244" s="15"/>
      <c r="D244" s="757"/>
      <c r="E244" s="757"/>
      <c r="F244" s="757"/>
      <c r="G244" s="750"/>
      <c r="H244" s="23"/>
    </row>
    <row r="245" spans="1:8">
      <c r="A245" s="11"/>
      <c r="B245" s="4"/>
      <c r="C245" s="15"/>
      <c r="D245" s="757"/>
      <c r="E245" s="757"/>
      <c r="F245" s="757"/>
      <c r="G245" s="750"/>
      <c r="H245" s="23"/>
    </row>
    <row r="246" spans="1:8">
      <c r="A246" s="11"/>
      <c r="B246" s="4"/>
      <c r="C246" s="15"/>
      <c r="D246" s="757"/>
      <c r="E246" s="757"/>
      <c r="F246" s="757"/>
      <c r="G246" s="750"/>
      <c r="H246" s="23"/>
    </row>
    <row r="247" spans="1:8">
      <c r="A247" s="11"/>
      <c r="B247" s="4"/>
      <c r="C247" s="15"/>
      <c r="D247" s="757"/>
      <c r="E247" s="757"/>
      <c r="F247" s="757"/>
      <c r="G247" s="750"/>
      <c r="H247" s="23"/>
    </row>
    <row r="248" spans="1:8">
      <c r="A248" s="11"/>
      <c r="B248" s="4"/>
      <c r="C248" s="15"/>
      <c r="D248" s="757"/>
      <c r="E248" s="757"/>
      <c r="F248" s="757"/>
      <c r="G248" s="750"/>
      <c r="H248" s="23"/>
    </row>
    <row r="249" spans="1:8">
      <c r="A249" s="11"/>
      <c r="B249" s="4"/>
      <c r="C249" s="15"/>
      <c r="D249" s="757"/>
      <c r="E249" s="757"/>
      <c r="F249" s="757"/>
      <c r="G249" s="750"/>
      <c r="H249" s="23"/>
    </row>
    <row r="250" spans="1:8">
      <c r="A250" s="11"/>
      <c r="B250" s="4"/>
      <c r="C250" s="15"/>
      <c r="D250" s="757"/>
      <c r="E250" s="757"/>
      <c r="F250" s="757"/>
      <c r="G250" s="750"/>
      <c r="H250" s="23"/>
    </row>
    <row r="251" spans="1:8">
      <c r="A251" s="11"/>
      <c r="B251" s="4"/>
      <c r="C251" s="15"/>
      <c r="D251" s="757"/>
      <c r="E251" s="757"/>
      <c r="F251" s="757"/>
      <c r="G251" s="750"/>
      <c r="H251" s="23"/>
    </row>
    <row r="252" spans="1:8">
      <c r="A252" s="11"/>
      <c r="B252" s="4"/>
      <c r="C252" s="15"/>
      <c r="D252" s="757"/>
      <c r="E252" s="757"/>
      <c r="F252" s="757"/>
      <c r="G252" s="750"/>
      <c r="H252" s="23"/>
    </row>
    <row r="253" spans="1:8">
      <c r="A253" s="11"/>
      <c r="B253" s="4"/>
      <c r="C253" s="15"/>
      <c r="D253" s="757"/>
      <c r="E253" s="757"/>
      <c r="F253" s="757"/>
      <c r="G253" s="750"/>
      <c r="H253" s="23"/>
    </row>
    <row r="254" spans="1:8">
      <c r="A254" s="11"/>
      <c r="B254" s="4"/>
      <c r="C254" s="15"/>
      <c r="D254" s="757"/>
      <c r="E254" s="757"/>
      <c r="F254" s="757"/>
      <c r="G254" s="750"/>
      <c r="H254" s="23"/>
    </row>
    <row r="255" spans="1:8">
      <c r="A255" s="11"/>
      <c r="B255" s="4"/>
      <c r="C255" s="15"/>
      <c r="D255" s="757"/>
      <c r="E255" s="757"/>
      <c r="F255" s="757"/>
      <c r="G255" s="750"/>
      <c r="H255" s="23"/>
    </row>
    <row r="256" spans="1:8">
      <c r="A256" s="11"/>
      <c r="B256" s="4"/>
      <c r="C256" s="15"/>
      <c r="D256" s="757"/>
      <c r="E256" s="757"/>
      <c r="F256" s="757"/>
      <c r="G256" s="750"/>
      <c r="H256" s="23"/>
    </row>
    <row r="257" spans="1:8">
      <c r="A257" s="11"/>
      <c r="B257" s="4"/>
      <c r="C257" s="15"/>
      <c r="D257" s="757"/>
      <c r="E257" s="757"/>
      <c r="F257" s="757"/>
      <c r="G257" s="750"/>
      <c r="H257" s="23"/>
    </row>
    <row r="258" spans="1:8">
      <c r="A258" s="11"/>
      <c r="B258" s="4"/>
      <c r="C258" s="15"/>
      <c r="D258" s="757"/>
      <c r="E258" s="757"/>
      <c r="F258" s="757"/>
      <c r="G258" s="750"/>
      <c r="H258" s="23"/>
    </row>
    <row r="259" spans="1:8">
      <c r="A259" s="11"/>
      <c r="B259" s="4"/>
      <c r="C259" s="15"/>
      <c r="D259" s="757"/>
      <c r="E259" s="757"/>
      <c r="F259" s="757"/>
      <c r="G259" s="750"/>
      <c r="H259" s="23"/>
    </row>
    <row r="260" spans="1:8">
      <c r="A260" s="11"/>
      <c r="B260" s="4"/>
      <c r="C260" s="15"/>
      <c r="D260" s="757"/>
      <c r="E260" s="757"/>
      <c r="F260" s="757"/>
      <c r="G260" s="750"/>
      <c r="H260" s="23"/>
    </row>
    <row r="261" spans="1:8">
      <c r="A261" s="11"/>
      <c r="B261" s="4"/>
      <c r="C261" s="15"/>
      <c r="D261" s="757"/>
      <c r="E261" s="757"/>
      <c r="F261" s="757"/>
      <c r="G261" s="750"/>
      <c r="H261" s="23"/>
    </row>
    <row r="262" spans="1:8">
      <c r="A262" s="11"/>
      <c r="B262" s="4"/>
      <c r="C262" s="15"/>
      <c r="D262" s="757"/>
      <c r="E262" s="757"/>
      <c r="F262" s="757"/>
      <c r="G262" s="750"/>
      <c r="H262" s="23"/>
    </row>
    <row r="263" spans="1:8">
      <c r="A263" s="11"/>
      <c r="B263" s="4"/>
      <c r="C263" s="15"/>
      <c r="D263" s="757"/>
      <c r="E263" s="757"/>
      <c r="F263" s="757"/>
      <c r="G263" s="750"/>
      <c r="H263" s="23"/>
    </row>
    <row r="264" spans="1:8">
      <c r="A264" s="11"/>
      <c r="B264" s="4"/>
      <c r="C264" s="15"/>
      <c r="D264" s="757"/>
      <c r="E264" s="757"/>
      <c r="F264" s="757"/>
      <c r="G264" s="750"/>
      <c r="H264" s="23"/>
    </row>
    <row r="265" spans="1:8">
      <c r="A265" s="11"/>
      <c r="B265" s="4"/>
      <c r="C265" s="15"/>
      <c r="D265" s="757"/>
      <c r="E265" s="757"/>
      <c r="F265" s="757"/>
      <c r="G265" s="750"/>
      <c r="H265" s="23"/>
    </row>
    <row r="266" spans="1:8">
      <c r="A266" s="11"/>
      <c r="B266" s="4"/>
      <c r="C266" s="15"/>
      <c r="D266" s="757"/>
      <c r="E266" s="757"/>
      <c r="F266" s="757"/>
      <c r="G266" s="750"/>
      <c r="H266" s="23"/>
    </row>
    <row r="267" spans="1:8">
      <c r="A267" s="11"/>
      <c r="B267" s="4"/>
      <c r="C267" s="15"/>
      <c r="D267" s="757"/>
      <c r="E267" s="757"/>
      <c r="F267" s="757"/>
      <c r="G267" s="750"/>
      <c r="H267" s="23"/>
    </row>
    <row r="268" spans="1:8">
      <c r="A268" s="11"/>
      <c r="B268" s="4"/>
      <c r="C268" s="15"/>
      <c r="D268" s="757"/>
      <c r="E268" s="757"/>
      <c r="F268" s="757"/>
      <c r="G268" s="750"/>
      <c r="H268" s="23"/>
    </row>
    <row r="269" spans="1:8">
      <c r="A269" s="11"/>
      <c r="B269" s="4"/>
      <c r="C269" s="15"/>
      <c r="D269" s="757"/>
      <c r="E269" s="757"/>
      <c r="F269" s="757"/>
      <c r="G269" s="750"/>
      <c r="H269" s="23"/>
    </row>
    <row r="270" spans="1:8">
      <c r="A270" s="11"/>
      <c r="B270" s="4"/>
      <c r="C270" s="15"/>
      <c r="D270" s="757"/>
      <c r="E270" s="757"/>
      <c r="F270" s="757"/>
      <c r="G270" s="750"/>
      <c r="H270" s="23"/>
    </row>
    <row r="271" spans="1:8">
      <c r="A271" s="11"/>
      <c r="B271" s="4"/>
      <c r="C271" s="15"/>
      <c r="D271" s="757"/>
      <c r="E271" s="757"/>
      <c r="F271" s="757"/>
      <c r="G271" s="750"/>
      <c r="H271" s="23"/>
    </row>
    <row r="272" spans="1:8">
      <c r="A272" s="11"/>
      <c r="B272" s="4"/>
      <c r="C272" s="15"/>
      <c r="D272" s="757"/>
      <c r="E272" s="757"/>
      <c r="F272" s="757"/>
      <c r="G272" s="750"/>
      <c r="H272" s="23"/>
    </row>
    <row r="273" spans="1:8">
      <c r="A273" s="11"/>
      <c r="B273" s="4"/>
      <c r="C273" s="15"/>
      <c r="D273" s="757"/>
      <c r="E273" s="757"/>
      <c r="F273" s="757"/>
      <c r="G273" s="750"/>
      <c r="H273" s="23"/>
    </row>
    <row r="274" spans="1:8">
      <c r="A274" s="11"/>
      <c r="B274" s="4"/>
      <c r="C274" s="15"/>
      <c r="D274" s="757"/>
      <c r="E274" s="757"/>
      <c r="F274" s="757"/>
      <c r="G274" s="750"/>
      <c r="H274" s="23"/>
    </row>
    <row r="275" spans="1:8">
      <c r="A275" s="11"/>
      <c r="B275" s="4"/>
      <c r="C275" s="15"/>
      <c r="D275" s="757"/>
      <c r="E275" s="757"/>
      <c r="F275" s="757"/>
      <c r="G275" s="750"/>
      <c r="H275" s="23"/>
    </row>
    <row r="276" spans="1:8">
      <c r="A276" s="11"/>
      <c r="B276" s="4"/>
      <c r="C276" s="15"/>
      <c r="D276" s="757"/>
      <c r="E276" s="757"/>
      <c r="F276" s="757"/>
      <c r="G276" s="750"/>
      <c r="H276" s="23"/>
    </row>
    <row r="277" spans="1:8">
      <c r="A277" s="11"/>
      <c r="B277" s="4"/>
      <c r="C277" s="15"/>
      <c r="D277" s="757"/>
      <c r="E277" s="757"/>
      <c r="F277" s="757"/>
      <c r="G277" s="750"/>
      <c r="H277" s="23"/>
    </row>
    <row r="278" spans="1:8">
      <c r="A278" s="11"/>
      <c r="B278" s="4"/>
      <c r="C278" s="15"/>
      <c r="D278" s="757"/>
      <c r="E278" s="757"/>
      <c r="F278" s="757"/>
      <c r="G278" s="750"/>
      <c r="H278" s="23"/>
    </row>
    <row r="279" spans="1:8">
      <c r="A279" s="11"/>
      <c r="B279" s="4"/>
      <c r="C279" s="15"/>
      <c r="D279" s="757"/>
      <c r="E279" s="757"/>
      <c r="F279" s="757"/>
      <c r="G279" s="750"/>
      <c r="H279" s="23"/>
    </row>
    <row r="280" spans="1:8">
      <c r="A280" s="11"/>
      <c r="B280" s="4"/>
      <c r="C280" s="15"/>
      <c r="D280" s="757"/>
      <c r="E280" s="757"/>
      <c r="F280" s="757"/>
      <c r="G280" s="750"/>
      <c r="H280" s="23"/>
    </row>
    <row r="281" spans="1:8">
      <c r="A281" s="11"/>
      <c r="B281" s="4"/>
      <c r="C281" s="15"/>
      <c r="D281" s="757"/>
      <c r="E281" s="757"/>
      <c r="F281" s="757"/>
      <c r="G281" s="750"/>
      <c r="H281" s="23"/>
    </row>
    <row r="282" spans="1:8">
      <c r="A282" s="11"/>
      <c r="B282" s="4"/>
      <c r="C282" s="15"/>
      <c r="D282" s="757"/>
      <c r="E282" s="757"/>
      <c r="F282" s="757"/>
      <c r="G282" s="750"/>
      <c r="H282" s="23"/>
    </row>
    <row r="283" spans="1:8">
      <c r="A283" s="11"/>
      <c r="B283" s="4"/>
      <c r="C283" s="15"/>
      <c r="D283" s="757"/>
      <c r="E283" s="757"/>
      <c r="F283" s="757"/>
      <c r="G283" s="750"/>
      <c r="H283" s="23"/>
    </row>
    <row r="284" spans="1:8">
      <c r="A284" s="11"/>
      <c r="B284" s="4"/>
      <c r="C284" s="15"/>
      <c r="D284" s="757"/>
      <c r="E284" s="757"/>
      <c r="F284" s="757"/>
      <c r="G284" s="750"/>
      <c r="H284" s="23"/>
    </row>
    <row r="285" spans="1:8">
      <c r="A285" s="11"/>
      <c r="B285" s="4"/>
      <c r="C285" s="15"/>
      <c r="D285" s="757"/>
      <c r="E285" s="757"/>
      <c r="F285" s="757"/>
      <c r="G285" s="750"/>
      <c r="H285" s="23"/>
    </row>
    <row r="286" spans="1:8">
      <c r="A286" s="11"/>
      <c r="B286" s="4"/>
      <c r="C286" s="15"/>
      <c r="D286" s="757"/>
      <c r="E286" s="757"/>
      <c r="F286" s="757"/>
      <c r="G286" s="750"/>
      <c r="H286" s="23"/>
    </row>
    <row r="287" spans="1:8">
      <c r="A287" s="11"/>
      <c r="B287" s="4"/>
      <c r="C287" s="15"/>
      <c r="D287" s="757"/>
      <c r="E287" s="757"/>
      <c r="F287" s="757"/>
      <c r="G287" s="750"/>
      <c r="H287" s="23"/>
    </row>
    <row r="288" spans="1:8">
      <c r="A288" s="11"/>
      <c r="B288" s="4"/>
      <c r="C288" s="15"/>
      <c r="D288" s="757"/>
      <c r="E288" s="757"/>
      <c r="F288" s="757"/>
      <c r="G288" s="750"/>
      <c r="H288" s="23"/>
    </row>
    <row r="289" spans="1:8">
      <c r="A289" s="11"/>
      <c r="B289" s="4"/>
      <c r="C289" s="15"/>
      <c r="D289" s="757"/>
      <c r="E289" s="757"/>
      <c r="F289" s="757"/>
      <c r="G289" s="750"/>
      <c r="H289" s="23"/>
    </row>
    <row r="290" spans="1:8">
      <c r="A290" s="11"/>
      <c r="B290" s="4"/>
      <c r="C290" s="15"/>
      <c r="D290" s="757"/>
      <c r="E290" s="757"/>
      <c r="F290" s="757"/>
      <c r="G290" s="750"/>
      <c r="H290" s="23"/>
    </row>
    <row r="291" spans="1:8">
      <c r="A291" s="11"/>
      <c r="B291" s="4"/>
      <c r="C291" s="15"/>
      <c r="D291" s="757"/>
      <c r="E291" s="757"/>
      <c r="F291" s="757"/>
      <c r="G291" s="750"/>
      <c r="H291" s="23"/>
    </row>
    <row r="292" spans="1:8">
      <c r="A292" s="11"/>
      <c r="B292" s="4"/>
      <c r="C292" s="15"/>
      <c r="D292" s="757"/>
      <c r="E292" s="757"/>
      <c r="F292" s="757"/>
      <c r="G292" s="750"/>
      <c r="H292" s="23"/>
    </row>
    <row r="293" spans="1:8">
      <c r="A293" s="11"/>
      <c r="B293" s="4"/>
      <c r="C293" s="15"/>
      <c r="D293" s="757"/>
      <c r="E293" s="757"/>
      <c r="F293" s="757"/>
      <c r="G293" s="750"/>
      <c r="H293" s="23"/>
    </row>
    <row r="294" spans="1:8">
      <c r="A294" s="11"/>
      <c r="B294" s="4"/>
      <c r="C294" s="15"/>
      <c r="D294" s="757"/>
      <c r="E294" s="757"/>
      <c r="F294" s="757"/>
      <c r="G294" s="750"/>
      <c r="H294" s="23"/>
    </row>
    <row r="295" spans="1:8">
      <c r="A295" s="11"/>
      <c r="B295" s="4"/>
      <c r="C295" s="15"/>
      <c r="D295" s="757"/>
      <c r="E295" s="757"/>
      <c r="F295" s="757"/>
      <c r="G295" s="750"/>
      <c r="H295" s="23"/>
    </row>
    <row r="296" spans="1:8">
      <c r="A296" s="11"/>
      <c r="B296" s="4"/>
      <c r="C296" s="15"/>
      <c r="D296" s="757"/>
      <c r="E296" s="757"/>
      <c r="F296" s="757"/>
      <c r="G296" s="750"/>
      <c r="H296" s="23"/>
    </row>
    <row r="297" spans="1:8">
      <c r="A297" s="11"/>
      <c r="B297" s="4"/>
      <c r="C297" s="15"/>
      <c r="D297" s="757"/>
      <c r="E297" s="757"/>
      <c r="F297" s="757"/>
      <c r="G297" s="750"/>
      <c r="H297" s="23"/>
    </row>
    <row r="298" spans="1:8">
      <c r="A298" s="11"/>
      <c r="B298" s="4"/>
      <c r="C298" s="15"/>
      <c r="D298" s="757"/>
      <c r="E298" s="757"/>
      <c r="F298" s="757"/>
      <c r="G298" s="750"/>
      <c r="H298" s="23"/>
    </row>
    <row r="299" spans="1:8">
      <c r="A299" s="11"/>
      <c r="B299" s="4"/>
      <c r="C299" s="15"/>
      <c r="D299" s="757"/>
      <c r="E299" s="757"/>
      <c r="F299" s="757"/>
      <c r="G299" s="750"/>
      <c r="H299" s="23"/>
    </row>
    <row r="300" spans="1:8">
      <c r="A300" s="11"/>
      <c r="B300" s="4"/>
      <c r="C300" s="15"/>
      <c r="D300" s="757"/>
      <c r="E300" s="757"/>
      <c r="F300" s="757"/>
      <c r="G300" s="750"/>
      <c r="H300" s="23"/>
    </row>
    <row r="301" spans="1:8">
      <c r="A301" s="11"/>
      <c r="B301" s="4"/>
      <c r="C301" s="15"/>
      <c r="D301" s="757"/>
      <c r="E301" s="757"/>
      <c r="F301" s="757"/>
      <c r="G301" s="750"/>
      <c r="H301" s="23"/>
    </row>
    <row r="302" spans="1:8">
      <c r="A302" s="11"/>
      <c r="B302" s="4"/>
      <c r="C302" s="15"/>
      <c r="D302" s="757"/>
      <c r="E302" s="757"/>
      <c r="F302" s="757"/>
      <c r="G302" s="750"/>
      <c r="H302" s="23"/>
    </row>
    <row r="303" spans="1:8">
      <c r="A303" s="11"/>
      <c r="B303" s="4"/>
      <c r="C303" s="15"/>
      <c r="D303" s="757"/>
      <c r="E303" s="757"/>
      <c r="F303" s="757"/>
      <c r="G303" s="750"/>
      <c r="H303" s="23"/>
    </row>
    <row r="304" spans="1:8">
      <c r="A304" s="11"/>
      <c r="B304" s="4"/>
      <c r="C304" s="15"/>
      <c r="D304" s="757"/>
      <c r="E304" s="757"/>
      <c r="F304" s="757"/>
      <c r="G304" s="750"/>
      <c r="H304" s="23"/>
    </row>
    <row r="305" spans="1:8">
      <c r="A305" s="11"/>
      <c r="B305" s="4"/>
      <c r="C305" s="15"/>
      <c r="D305" s="757"/>
      <c r="E305" s="757"/>
      <c r="F305" s="757"/>
      <c r="G305" s="750"/>
      <c r="H305" s="23"/>
    </row>
    <row r="306" spans="1:8">
      <c r="A306" s="11"/>
      <c r="B306" s="4"/>
      <c r="C306" s="15"/>
      <c r="D306" s="757"/>
      <c r="E306" s="757"/>
      <c r="F306" s="757"/>
      <c r="G306" s="750"/>
      <c r="H306" s="23"/>
    </row>
    <row r="307" spans="1:8">
      <c r="A307" s="11"/>
      <c r="B307" s="4"/>
      <c r="C307" s="15"/>
      <c r="D307" s="757"/>
      <c r="E307" s="757"/>
      <c r="F307" s="757"/>
      <c r="G307" s="750"/>
      <c r="H307" s="23"/>
    </row>
    <row r="308" spans="1:8">
      <c r="A308" s="11"/>
      <c r="B308" s="4"/>
      <c r="C308" s="15"/>
      <c r="D308" s="757"/>
      <c r="E308" s="757"/>
      <c r="F308" s="757"/>
      <c r="G308" s="750"/>
      <c r="H308" s="23"/>
    </row>
    <row r="309" spans="1:8">
      <c r="A309" s="11"/>
      <c r="B309" s="4"/>
      <c r="C309" s="15"/>
      <c r="D309" s="757"/>
      <c r="E309" s="757"/>
      <c r="F309" s="757"/>
      <c r="G309" s="750"/>
      <c r="H309" s="23"/>
    </row>
    <row r="310" spans="1:8">
      <c r="A310" s="11"/>
      <c r="B310" s="4"/>
      <c r="C310" s="15"/>
      <c r="D310" s="757"/>
      <c r="E310" s="757"/>
      <c r="F310" s="757"/>
      <c r="G310" s="750"/>
      <c r="H310" s="23"/>
    </row>
    <row r="311" spans="1:8">
      <c r="A311" s="11"/>
      <c r="B311" s="4"/>
      <c r="C311" s="15"/>
      <c r="D311" s="757"/>
      <c r="E311" s="757"/>
      <c r="F311" s="757"/>
      <c r="G311" s="750"/>
      <c r="H311" s="23"/>
    </row>
    <row r="312" spans="1:8">
      <c r="A312" s="11"/>
      <c r="B312" s="4"/>
      <c r="C312" s="15"/>
      <c r="D312" s="757"/>
      <c r="E312" s="757"/>
      <c r="F312" s="757"/>
      <c r="G312" s="750"/>
      <c r="H312" s="23"/>
    </row>
    <row r="313" spans="1:8">
      <c r="A313" s="11"/>
      <c r="B313" s="4"/>
      <c r="C313" s="15"/>
      <c r="D313" s="757"/>
      <c r="E313" s="757"/>
      <c r="F313" s="757"/>
      <c r="G313" s="750"/>
      <c r="H313" s="23"/>
    </row>
    <row r="314" spans="1:8">
      <c r="A314" s="11"/>
      <c r="B314" s="4"/>
      <c r="C314" s="15"/>
      <c r="D314" s="757"/>
      <c r="E314" s="757"/>
      <c r="F314" s="757"/>
      <c r="G314" s="750"/>
      <c r="H314" s="23"/>
    </row>
    <row r="315" spans="1:8">
      <c r="A315" s="11"/>
      <c r="B315" s="4"/>
      <c r="C315" s="15"/>
      <c r="D315" s="757"/>
      <c r="E315" s="757"/>
      <c r="F315" s="757"/>
      <c r="G315" s="750"/>
      <c r="H315" s="23"/>
    </row>
    <row r="316" spans="1:8">
      <c r="A316" s="11"/>
      <c r="B316" s="4"/>
      <c r="C316" s="15"/>
      <c r="D316" s="757"/>
      <c r="E316" s="757"/>
      <c r="F316" s="757"/>
      <c r="G316" s="750"/>
      <c r="H316" s="23"/>
    </row>
    <row r="317" spans="1:8">
      <c r="A317" s="11"/>
      <c r="B317" s="4"/>
      <c r="C317" s="15"/>
      <c r="D317" s="757"/>
      <c r="E317" s="757"/>
      <c r="F317" s="757"/>
      <c r="G317" s="750"/>
      <c r="H317" s="23"/>
    </row>
    <row r="318" spans="1:8">
      <c r="A318" s="11"/>
      <c r="B318" s="4"/>
      <c r="C318" s="15"/>
      <c r="D318" s="757"/>
      <c r="E318" s="757"/>
      <c r="F318" s="757"/>
      <c r="G318" s="750"/>
      <c r="H318" s="23"/>
    </row>
    <row r="319" spans="1:8">
      <c r="A319" s="11"/>
      <c r="B319" s="4"/>
      <c r="C319" s="15"/>
      <c r="D319" s="757"/>
      <c r="E319" s="757"/>
      <c r="F319" s="757"/>
      <c r="G319" s="750"/>
      <c r="H319" s="23"/>
    </row>
    <row r="320" spans="1:8">
      <c r="A320" s="11"/>
      <c r="B320" s="4"/>
      <c r="C320" s="15"/>
      <c r="D320" s="757"/>
      <c r="E320" s="757"/>
      <c r="F320" s="757"/>
      <c r="G320" s="750"/>
      <c r="H320" s="23"/>
    </row>
    <row r="321" spans="1:8">
      <c r="A321" s="11"/>
      <c r="B321" s="4"/>
      <c r="C321" s="15"/>
      <c r="D321" s="757"/>
      <c r="E321" s="757"/>
      <c r="F321" s="757"/>
      <c r="G321" s="750"/>
      <c r="H321" s="23"/>
    </row>
    <row r="322" spans="1:8">
      <c r="A322" s="11"/>
      <c r="B322" s="4"/>
      <c r="C322" s="15"/>
      <c r="D322" s="757"/>
      <c r="E322" s="757"/>
      <c r="F322" s="757"/>
      <c r="G322" s="750"/>
      <c r="H322" s="23"/>
    </row>
    <row r="323" spans="1:8">
      <c r="A323" s="11"/>
      <c r="B323" s="4"/>
      <c r="C323" s="15"/>
      <c r="D323" s="757"/>
      <c r="E323" s="757"/>
      <c r="F323" s="757"/>
      <c r="G323" s="750"/>
      <c r="H323" s="23"/>
    </row>
    <row r="324" spans="1:8">
      <c r="A324" s="11"/>
      <c r="B324" s="4"/>
      <c r="C324" s="15"/>
      <c r="D324" s="757"/>
      <c r="E324" s="757"/>
      <c r="F324" s="757"/>
      <c r="G324" s="750"/>
      <c r="H324" s="23"/>
    </row>
    <row r="325" spans="1:8">
      <c r="A325" s="11"/>
      <c r="B325" s="4"/>
      <c r="C325" s="15"/>
      <c r="D325" s="757"/>
      <c r="E325" s="757"/>
      <c r="F325" s="757"/>
      <c r="G325" s="750"/>
      <c r="H325" s="23"/>
    </row>
    <row r="326" spans="1:8">
      <c r="A326" s="11"/>
      <c r="B326" s="4"/>
      <c r="C326" s="15"/>
      <c r="D326" s="757"/>
      <c r="E326" s="757"/>
      <c r="F326" s="757"/>
      <c r="G326" s="750"/>
      <c r="H326" s="23"/>
    </row>
    <row r="327" spans="1:8">
      <c r="A327" s="11"/>
      <c r="B327" s="4"/>
      <c r="C327" s="15"/>
      <c r="D327" s="757"/>
      <c r="E327" s="757"/>
      <c r="F327" s="757"/>
      <c r="G327" s="750"/>
      <c r="H327" s="23"/>
    </row>
    <row r="328" spans="1:8">
      <c r="A328" s="11"/>
      <c r="B328" s="4"/>
      <c r="C328" s="15"/>
      <c r="D328" s="757"/>
      <c r="E328" s="757"/>
      <c r="F328" s="757"/>
      <c r="G328" s="750"/>
      <c r="H328" s="23"/>
    </row>
    <row r="329" spans="1:8">
      <c r="A329" s="11"/>
      <c r="B329" s="4"/>
      <c r="C329" s="15"/>
      <c r="D329" s="757"/>
      <c r="E329" s="757"/>
      <c r="F329" s="757"/>
      <c r="G329" s="750"/>
      <c r="H329" s="23"/>
    </row>
    <row r="330" spans="1:8">
      <c r="A330" s="11"/>
      <c r="B330" s="4"/>
      <c r="C330" s="15"/>
      <c r="D330" s="757"/>
      <c r="E330" s="757"/>
      <c r="F330" s="757"/>
      <c r="G330" s="750"/>
      <c r="H330" s="23"/>
    </row>
    <row r="331" spans="1:8">
      <c r="A331" s="11"/>
      <c r="B331" s="4"/>
      <c r="C331" s="15"/>
      <c r="D331" s="757"/>
      <c r="E331" s="757"/>
      <c r="F331" s="757"/>
      <c r="G331" s="750"/>
      <c r="H331" s="23"/>
    </row>
    <row r="332" spans="1:8">
      <c r="A332" s="11"/>
      <c r="B332" s="4"/>
      <c r="C332" s="15"/>
      <c r="D332" s="757"/>
      <c r="E332" s="757"/>
      <c r="F332" s="757"/>
      <c r="G332" s="750"/>
      <c r="H332" s="23"/>
    </row>
    <row r="333" spans="1:8">
      <c r="A333" s="11"/>
      <c r="B333" s="4"/>
      <c r="C333" s="15"/>
      <c r="D333" s="757"/>
      <c r="E333" s="757"/>
      <c r="F333" s="757"/>
      <c r="G333" s="750"/>
      <c r="H333" s="23"/>
    </row>
    <row r="334" spans="1:8">
      <c r="A334" s="11"/>
      <c r="B334" s="4"/>
      <c r="C334" s="15"/>
      <c r="D334" s="757"/>
      <c r="E334" s="757"/>
      <c r="F334" s="757"/>
      <c r="G334" s="750"/>
      <c r="H334" s="23"/>
    </row>
    <row r="335" spans="1:8">
      <c r="A335" s="11"/>
      <c r="B335" s="4"/>
      <c r="C335" s="15"/>
      <c r="D335" s="757"/>
      <c r="E335" s="757"/>
      <c r="F335" s="757"/>
      <c r="G335" s="750"/>
      <c r="H335" s="23"/>
    </row>
    <row r="336" spans="1:8">
      <c r="A336" s="11"/>
      <c r="B336" s="4"/>
      <c r="C336" s="15"/>
      <c r="D336" s="757"/>
      <c r="E336" s="757"/>
      <c r="F336" s="757"/>
      <c r="G336" s="750"/>
      <c r="H336" s="23"/>
    </row>
    <row r="337" spans="1:8">
      <c r="A337" s="11"/>
      <c r="B337" s="4"/>
      <c r="C337" s="15"/>
      <c r="D337" s="757"/>
      <c r="E337" s="757"/>
      <c r="F337" s="757"/>
      <c r="G337" s="750"/>
      <c r="H337" s="23"/>
    </row>
    <row r="338" spans="1:8">
      <c r="A338" s="11"/>
      <c r="B338" s="4"/>
      <c r="C338" s="15"/>
      <c r="D338" s="757"/>
      <c r="E338" s="757"/>
      <c r="F338" s="757"/>
      <c r="G338" s="750"/>
      <c r="H338" s="23"/>
    </row>
    <row r="339" spans="1:8">
      <c r="A339" s="11"/>
      <c r="B339" s="4"/>
      <c r="C339" s="15"/>
      <c r="D339" s="757"/>
      <c r="E339" s="757"/>
      <c r="F339" s="757"/>
      <c r="G339" s="750"/>
      <c r="H339" s="23"/>
    </row>
    <row r="340" spans="1:8">
      <c r="A340" s="11"/>
      <c r="B340" s="4"/>
      <c r="C340" s="15"/>
      <c r="D340" s="757"/>
      <c r="E340" s="757"/>
      <c r="F340" s="757"/>
      <c r="G340" s="750"/>
      <c r="H340" s="23"/>
    </row>
    <row r="341" spans="1:8">
      <c r="A341" s="11"/>
      <c r="B341" s="4"/>
      <c r="C341" s="15"/>
      <c r="D341" s="757"/>
      <c r="E341" s="757"/>
      <c r="F341" s="757"/>
      <c r="G341" s="750"/>
      <c r="H341" s="23"/>
    </row>
    <row r="342" spans="1:8">
      <c r="A342" s="11"/>
      <c r="B342" s="4"/>
      <c r="C342" s="15"/>
      <c r="D342" s="757"/>
      <c r="E342" s="757"/>
      <c r="F342" s="757"/>
      <c r="G342" s="750"/>
      <c r="H342" s="23"/>
    </row>
    <row r="343" spans="1:8">
      <c r="A343" s="11"/>
      <c r="B343" s="4"/>
      <c r="C343" s="15"/>
      <c r="D343" s="757"/>
      <c r="E343" s="757"/>
      <c r="F343" s="757"/>
      <c r="G343" s="750"/>
      <c r="H343" s="23"/>
    </row>
    <row r="344" spans="1:8">
      <c r="A344" s="11"/>
      <c r="B344" s="4"/>
      <c r="C344" s="15"/>
      <c r="D344" s="757"/>
      <c r="E344" s="757"/>
      <c r="F344" s="757"/>
      <c r="G344" s="750"/>
      <c r="H344" s="23"/>
    </row>
    <row r="345" spans="1:8">
      <c r="A345" s="11"/>
      <c r="B345" s="4"/>
      <c r="C345" s="15"/>
      <c r="D345" s="757"/>
      <c r="E345" s="757"/>
      <c r="F345" s="757"/>
      <c r="G345" s="750"/>
      <c r="H345" s="23"/>
    </row>
    <row r="346" spans="1:8">
      <c r="A346" s="11"/>
      <c r="B346" s="4"/>
      <c r="C346" s="15"/>
      <c r="D346" s="757"/>
      <c r="E346" s="757"/>
      <c r="F346" s="757"/>
      <c r="G346" s="750"/>
      <c r="H346" s="23"/>
    </row>
    <row r="347" spans="1:8">
      <c r="A347" s="11"/>
      <c r="B347" s="4"/>
      <c r="C347" s="15"/>
      <c r="D347" s="757"/>
      <c r="E347" s="757"/>
      <c r="F347" s="757"/>
      <c r="G347" s="750"/>
      <c r="H347" s="23"/>
    </row>
    <row r="348" spans="1:8">
      <c r="A348" s="11"/>
      <c r="B348" s="4"/>
      <c r="C348" s="15"/>
      <c r="D348" s="757"/>
      <c r="E348" s="757"/>
      <c r="F348" s="757"/>
      <c r="G348" s="750"/>
      <c r="H348" s="23"/>
    </row>
    <row r="349" spans="1:8">
      <c r="A349" s="11"/>
      <c r="B349" s="4"/>
      <c r="C349" s="15"/>
      <c r="D349" s="757"/>
      <c r="E349" s="757"/>
      <c r="F349" s="757"/>
      <c r="G349" s="750"/>
      <c r="H349" s="23"/>
    </row>
    <row r="350" spans="1:8">
      <c r="A350" s="11"/>
      <c r="B350" s="4"/>
      <c r="C350" s="15"/>
      <c r="D350" s="757"/>
      <c r="E350" s="757"/>
      <c r="F350" s="757"/>
      <c r="G350" s="750"/>
      <c r="H350" s="23"/>
    </row>
    <row r="351" spans="1:8">
      <c r="A351" s="11"/>
      <c r="B351" s="4"/>
      <c r="C351" s="15"/>
      <c r="D351" s="757"/>
      <c r="E351" s="757"/>
      <c r="F351" s="757"/>
      <c r="G351" s="750"/>
      <c r="H351" s="23"/>
    </row>
    <row r="352" spans="1:8">
      <c r="A352" s="11"/>
      <c r="B352" s="4"/>
      <c r="C352" s="15"/>
      <c r="D352" s="757"/>
      <c r="E352" s="757"/>
      <c r="F352" s="757"/>
      <c r="G352" s="750"/>
      <c r="H352" s="23"/>
    </row>
    <row r="353" spans="1:8">
      <c r="A353" s="11"/>
      <c r="B353" s="4"/>
      <c r="C353" s="15"/>
      <c r="D353" s="757"/>
      <c r="E353" s="757"/>
      <c r="F353" s="757"/>
      <c r="G353" s="750"/>
      <c r="H353" s="23"/>
    </row>
    <row r="354" spans="1:8">
      <c r="A354" s="11"/>
      <c r="B354" s="4"/>
      <c r="C354" s="15"/>
      <c r="D354" s="757"/>
      <c r="E354" s="757"/>
      <c r="F354" s="757"/>
      <c r="G354" s="750"/>
      <c r="H354" s="23"/>
    </row>
    <row r="355" spans="1:8">
      <c r="A355" s="11"/>
      <c r="B355" s="4"/>
      <c r="C355" s="15"/>
      <c r="D355" s="757"/>
      <c r="E355" s="757"/>
      <c r="F355" s="757"/>
      <c r="G355" s="750"/>
      <c r="H355" s="23"/>
    </row>
    <row r="356" spans="1:8">
      <c r="A356" s="11"/>
      <c r="B356" s="4"/>
      <c r="C356" s="15"/>
      <c r="D356" s="757"/>
      <c r="E356" s="757"/>
      <c r="F356" s="757"/>
      <c r="G356" s="750"/>
      <c r="H356" s="23"/>
    </row>
    <row r="357" spans="1:8">
      <c r="A357" s="11"/>
      <c r="B357" s="4"/>
      <c r="C357" s="15"/>
      <c r="D357" s="757"/>
      <c r="E357" s="757"/>
      <c r="F357" s="757"/>
      <c r="G357" s="750"/>
      <c r="H357" s="23"/>
    </row>
    <row r="358" spans="1:8">
      <c r="A358" s="11"/>
      <c r="B358" s="4"/>
      <c r="C358" s="15"/>
      <c r="D358" s="757"/>
      <c r="E358" s="757"/>
      <c r="F358" s="757"/>
      <c r="G358" s="750"/>
      <c r="H358" s="23"/>
    </row>
    <row r="359" spans="1:8">
      <c r="A359" s="11"/>
      <c r="B359" s="4"/>
      <c r="C359" s="15"/>
      <c r="D359" s="757"/>
      <c r="E359" s="757"/>
      <c r="F359" s="757"/>
      <c r="G359" s="750"/>
      <c r="H359" s="23"/>
    </row>
    <row r="360" spans="1:8">
      <c r="A360" s="11"/>
      <c r="B360" s="4"/>
      <c r="C360" s="15"/>
      <c r="D360" s="757"/>
      <c r="E360" s="757"/>
      <c r="F360" s="757"/>
      <c r="G360" s="750"/>
      <c r="H360" s="23"/>
    </row>
    <row r="361" spans="1:8">
      <c r="A361" s="11"/>
      <c r="B361" s="4"/>
      <c r="C361" s="15"/>
      <c r="D361" s="757"/>
      <c r="E361" s="757"/>
      <c r="F361" s="757"/>
      <c r="G361" s="750"/>
      <c r="H361" s="23"/>
    </row>
    <row r="362" spans="1:8">
      <c r="A362" s="11"/>
      <c r="B362" s="4"/>
      <c r="C362" s="15"/>
      <c r="D362" s="757"/>
      <c r="E362" s="757"/>
      <c r="F362" s="757"/>
      <c r="G362" s="750"/>
      <c r="H362" s="23"/>
    </row>
    <row r="363" spans="1:8">
      <c r="A363" s="11"/>
      <c r="B363" s="4"/>
      <c r="C363" s="15"/>
      <c r="D363" s="757"/>
      <c r="E363" s="757"/>
      <c r="F363" s="757"/>
      <c r="G363" s="750"/>
      <c r="H363" s="23"/>
    </row>
    <row r="364" spans="1:8">
      <c r="A364" s="11"/>
      <c r="B364" s="4"/>
      <c r="C364" s="15"/>
      <c r="D364" s="757"/>
      <c r="E364" s="757"/>
      <c r="F364" s="757"/>
      <c r="G364" s="750"/>
      <c r="H364" s="23"/>
    </row>
    <row r="365" spans="1:8">
      <c r="A365" s="11"/>
      <c r="B365" s="4"/>
      <c r="C365" s="15"/>
      <c r="D365" s="757"/>
      <c r="E365" s="757"/>
      <c r="F365" s="757"/>
      <c r="G365" s="750"/>
      <c r="H365" s="23"/>
    </row>
    <row r="366" spans="1:8">
      <c r="A366" s="11"/>
      <c r="B366" s="4"/>
      <c r="C366" s="15"/>
      <c r="D366" s="757"/>
      <c r="E366" s="757"/>
      <c r="F366" s="757"/>
      <c r="G366" s="750"/>
      <c r="H366" s="23"/>
    </row>
    <row r="367" spans="1:8">
      <c r="A367" s="11"/>
      <c r="B367" s="4"/>
      <c r="C367" s="15"/>
      <c r="D367" s="757"/>
      <c r="E367" s="757"/>
      <c r="F367" s="757"/>
      <c r="G367" s="750"/>
      <c r="H367" s="23"/>
    </row>
    <row r="368" spans="1:8">
      <c r="A368" s="11"/>
      <c r="B368" s="4"/>
      <c r="C368" s="15"/>
      <c r="D368" s="757"/>
      <c r="E368" s="757"/>
      <c r="F368" s="757"/>
      <c r="G368" s="750"/>
      <c r="H368" s="23"/>
    </row>
    <row r="369" spans="1:8">
      <c r="A369" s="11"/>
      <c r="B369" s="4"/>
      <c r="C369" s="15"/>
      <c r="D369" s="757"/>
      <c r="E369" s="757"/>
      <c r="F369" s="757"/>
      <c r="G369" s="750"/>
      <c r="H369" s="23"/>
    </row>
    <row r="370" spans="1:8">
      <c r="A370" s="11"/>
      <c r="B370" s="4"/>
      <c r="C370" s="15"/>
      <c r="D370" s="757"/>
      <c r="E370" s="757"/>
      <c r="F370" s="757"/>
      <c r="G370" s="750"/>
      <c r="H370" s="23"/>
    </row>
    <row r="371" spans="1:8">
      <c r="A371" s="11"/>
      <c r="B371" s="4"/>
      <c r="C371" s="15"/>
      <c r="D371" s="757"/>
      <c r="E371" s="757"/>
      <c r="F371" s="757"/>
      <c r="G371" s="750"/>
      <c r="H371" s="23"/>
    </row>
    <row r="372" spans="1:8">
      <c r="A372" s="11"/>
      <c r="B372" s="4"/>
      <c r="C372" s="15"/>
      <c r="D372" s="757"/>
      <c r="E372" s="757"/>
      <c r="F372" s="757"/>
      <c r="G372" s="750"/>
      <c r="H372" s="23"/>
    </row>
    <row r="373" spans="1:8">
      <c r="A373" s="11"/>
      <c r="B373" s="4"/>
      <c r="C373" s="15"/>
      <c r="D373" s="757"/>
      <c r="E373" s="757"/>
      <c r="F373" s="757"/>
      <c r="G373" s="750"/>
      <c r="H373" s="23"/>
    </row>
    <row r="374" spans="1:8">
      <c r="A374" s="11"/>
      <c r="B374" s="4"/>
      <c r="C374" s="15"/>
      <c r="D374" s="757"/>
      <c r="E374" s="757"/>
      <c r="F374" s="757"/>
      <c r="G374" s="750"/>
      <c r="H374" s="23"/>
    </row>
    <row r="375" spans="1:8">
      <c r="A375" s="11"/>
      <c r="B375" s="4"/>
      <c r="C375" s="15"/>
      <c r="D375" s="757"/>
      <c r="E375" s="757"/>
      <c r="F375" s="757"/>
      <c r="G375" s="750"/>
      <c r="H375" s="23"/>
    </row>
    <row r="376" spans="1:8">
      <c r="A376" s="11"/>
      <c r="B376" s="4"/>
      <c r="C376" s="15"/>
      <c r="D376" s="757"/>
      <c r="E376" s="757"/>
      <c r="F376" s="757"/>
      <c r="G376" s="750"/>
      <c r="H376" s="23"/>
    </row>
    <row r="377" spans="1:8">
      <c r="A377" s="11"/>
      <c r="B377" s="4"/>
      <c r="C377" s="15"/>
      <c r="D377" s="757"/>
      <c r="E377" s="757"/>
      <c r="F377" s="757"/>
      <c r="G377" s="750"/>
      <c r="H377" s="23"/>
    </row>
    <row r="378" spans="1:8">
      <c r="A378" s="11"/>
      <c r="B378" s="4"/>
      <c r="C378" s="15"/>
      <c r="D378" s="757"/>
      <c r="E378" s="757"/>
      <c r="F378" s="757"/>
      <c r="G378" s="750"/>
      <c r="H378" s="23"/>
    </row>
    <row r="379" spans="1:8">
      <c r="A379" s="11"/>
      <c r="B379" s="4"/>
      <c r="C379" s="15"/>
      <c r="D379" s="757"/>
      <c r="E379" s="757"/>
      <c r="F379" s="757"/>
      <c r="G379" s="750"/>
      <c r="H379" s="23"/>
    </row>
    <row r="380" spans="1:8">
      <c r="A380" s="11"/>
      <c r="B380" s="4"/>
      <c r="C380" s="15"/>
      <c r="D380" s="757"/>
      <c r="E380" s="757"/>
      <c r="F380" s="757"/>
      <c r="G380" s="750"/>
      <c r="H380" s="23"/>
    </row>
    <row r="381" spans="1:8">
      <c r="A381" s="11"/>
      <c r="B381" s="4"/>
      <c r="C381" s="15"/>
      <c r="D381" s="757"/>
      <c r="E381" s="757"/>
      <c r="F381" s="757"/>
      <c r="G381" s="750"/>
      <c r="H381" s="23"/>
    </row>
    <row r="382" spans="1:8">
      <c r="A382" s="11"/>
      <c r="B382" s="4"/>
      <c r="C382" s="15"/>
      <c r="D382" s="757"/>
      <c r="E382" s="757"/>
      <c r="F382" s="757"/>
      <c r="G382" s="750"/>
      <c r="H382" s="23"/>
    </row>
    <row r="383" spans="1:8">
      <c r="A383" s="11"/>
      <c r="B383" s="4"/>
      <c r="C383" s="15"/>
      <c r="D383" s="757"/>
      <c r="E383" s="757"/>
      <c r="F383" s="757"/>
      <c r="G383" s="750"/>
      <c r="H383" s="23"/>
    </row>
    <row r="384" spans="1:8">
      <c r="A384" s="11"/>
      <c r="B384" s="4"/>
      <c r="C384" s="15"/>
      <c r="D384" s="757"/>
      <c r="E384" s="757"/>
      <c r="F384" s="757"/>
      <c r="G384" s="750"/>
      <c r="H384" s="23"/>
    </row>
    <row r="385" spans="1:8">
      <c r="A385" s="11"/>
      <c r="B385" s="4"/>
      <c r="C385" s="15"/>
      <c r="D385" s="757"/>
      <c r="E385" s="757"/>
      <c r="F385" s="757"/>
      <c r="G385" s="750"/>
      <c r="H385" s="23"/>
    </row>
    <row r="386" spans="1:8">
      <c r="A386" s="11"/>
      <c r="B386" s="4"/>
      <c r="C386" s="15"/>
      <c r="D386" s="757"/>
      <c r="E386" s="757"/>
      <c r="F386" s="757"/>
      <c r="G386" s="750"/>
      <c r="H386" s="23"/>
    </row>
    <row r="387" spans="1:8">
      <c r="A387" s="11"/>
      <c r="B387" s="4"/>
      <c r="C387" s="15"/>
      <c r="D387" s="757"/>
      <c r="E387" s="757"/>
      <c r="F387" s="757"/>
      <c r="G387" s="750"/>
      <c r="H387" s="23"/>
    </row>
    <row r="388" spans="1:8">
      <c r="A388" s="11"/>
      <c r="B388" s="4"/>
      <c r="C388" s="15"/>
      <c r="D388" s="757"/>
      <c r="E388" s="757"/>
      <c r="F388" s="757"/>
      <c r="G388" s="750"/>
      <c r="H388" s="23"/>
    </row>
    <row r="389" spans="1:8">
      <c r="A389" s="11"/>
      <c r="B389" s="4"/>
      <c r="C389" s="15"/>
      <c r="D389" s="757"/>
      <c r="E389" s="757"/>
      <c r="F389" s="757"/>
      <c r="G389" s="750"/>
      <c r="H389" s="23"/>
    </row>
    <row r="390" spans="1:8">
      <c r="A390" s="11"/>
      <c r="B390" s="4"/>
      <c r="C390" s="15"/>
      <c r="D390" s="757"/>
      <c r="E390" s="757"/>
      <c r="F390" s="757"/>
      <c r="G390" s="750"/>
      <c r="H390" s="23"/>
    </row>
    <row r="391" spans="1:8">
      <c r="A391" s="11"/>
      <c r="B391" s="4"/>
      <c r="C391" s="15"/>
      <c r="D391" s="757"/>
      <c r="E391" s="757"/>
      <c r="F391" s="757"/>
      <c r="G391" s="750"/>
      <c r="H391" s="23"/>
    </row>
    <row r="392" spans="1:8">
      <c r="A392" s="11"/>
      <c r="B392" s="4"/>
      <c r="C392" s="15"/>
      <c r="D392" s="757"/>
      <c r="E392" s="757"/>
      <c r="F392" s="757"/>
      <c r="G392" s="750"/>
      <c r="H392" s="23"/>
    </row>
    <row r="393" spans="1:8">
      <c r="A393" s="11"/>
      <c r="B393" s="4"/>
      <c r="C393" s="15"/>
      <c r="D393" s="757"/>
      <c r="E393" s="757"/>
      <c r="F393" s="757"/>
      <c r="G393" s="750"/>
      <c r="H393" s="23"/>
    </row>
    <row r="394" spans="1:8">
      <c r="A394" s="11"/>
      <c r="B394" s="4"/>
      <c r="C394" s="15"/>
      <c r="D394" s="757"/>
      <c r="E394" s="757"/>
      <c r="F394" s="757"/>
      <c r="G394" s="750"/>
      <c r="H394" s="23"/>
    </row>
    <row r="395" spans="1:8">
      <c r="A395" s="11"/>
      <c r="B395" s="4"/>
      <c r="C395" s="15"/>
      <c r="D395" s="757"/>
      <c r="E395" s="757"/>
      <c r="F395" s="757"/>
      <c r="G395" s="750"/>
      <c r="H395" s="23"/>
    </row>
    <row r="396" spans="1:8">
      <c r="A396" s="11"/>
      <c r="B396" s="4"/>
      <c r="C396" s="15"/>
      <c r="D396" s="757"/>
      <c r="E396" s="757"/>
      <c r="F396" s="757"/>
      <c r="G396" s="750"/>
      <c r="H396" s="23"/>
    </row>
    <row r="397" spans="1:8">
      <c r="A397" s="11"/>
      <c r="B397" s="4"/>
      <c r="C397" s="15"/>
      <c r="D397" s="757"/>
      <c r="E397" s="757"/>
      <c r="F397" s="757"/>
      <c r="G397" s="750"/>
      <c r="H397" s="23"/>
    </row>
    <row r="398" spans="1:8">
      <c r="A398" s="11"/>
      <c r="B398" s="4"/>
      <c r="C398" s="15"/>
      <c r="D398" s="757"/>
      <c r="E398" s="757"/>
      <c r="F398" s="757"/>
      <c r="G398" s="750"/>
      <c r="H398" s="23"/>
    </row>
    <row r="399" spans="1:8">
      <c r="A399" s="11"/>
      <c r="B399" s="4"/>
      <c r="C399" s="15"/>
      <c r="D399" s="757"/>
      <c r="E399" s="757"/>
      <c r="F399" s="757"/>
      <c r="G399" s="750"/>
      <c r="H399" s="23"/>
    </row>
    <row r="400" spans="1:8">
      <c r="A400" s="11"/>
      <c r="B400" s="4"/>
      <c r="C400" s="15"/>
      <c r="D400" s="757"/>
      <c r="E400" s="757"/>
      <c r="F400" s="757"/>
      <c r="G400" s="750"/>
      <c r="H400" s="23"/>
    </row>
    <row r="401" spans="1:8">
      <c r="A401" s="11"/>
      <c r="B401" s="4"/>
      <c r="C401" s="15"/>
      <c r="D401" s="757"/>
      <c r="E401" s="757"/>
      <c r="F401" s="757"/>
      <c r="G401" s="750"/>
      <c r="H401" s="23"/>
    </row>
    <row r="402" spans="1:8">
      <c r="A402" s="11"/>
      <c r="B402" s="4"/>
      <c r="C402" s="15"/>
      <c r="D402" s="757"/>
      <c r="E402" s="757"/>
      <c r="F402" s="757"/>
      <c r="G402" s="750"/>
      <c r="H402" s="23"/>
    </row>
    <row r="403" spans="1:8">
      <c r="A403" s="11"/>
      <c r="B403" s="4"/>
      <c r="C403" s="15"/>
      <c r="D403" s="757"/>
      <c r="E403" s="757"/>
      <c r="F403" s="757"/>
      <c r="G403" s="750"/>
      <c r="H403" s="23"/>
    </row>
    <row r="404" spans="1:8">
      <c r="A404" s="11"/>
      <c r="B404" s="4"/>
      <c r="C404" s="15"/>
      <c r="D404" s="757"/>
      <c r="E404" s="757"/>
      <c r="F404" s="757"/>
      <c r="G404" s="750"/>
      <c r="H404" s="23"/>
    </row>
    <row r="405" spans="1:8">
      <c r="A405" s="11"/>
      <c r="B405" s="4"/>
      <c r="C405" s="15"/>
      <c r="D405" s="757"/>
      <c r="E405" s="757"/>
      <c r="F405" s="757"/>
      <c r="G405" s="750"/>
      <c r="H405" s="23"/>
    </row>
    <row r="406" spans="1:8">
      <c r="A406" s="11"/>
      <c r="B406" s="4"/>
      <c r="C406" s="15"/>
      <c r="D406" s="757"/>
      <c r="E406" s="757"/>
      <c r="F406" s="757"/>
      <c r="G406" s="750"/>
      <c r="H406" s="23"/>
    </row>
    <row r="407" spans="1:8">
      <c r="A407" s="11"/>
      <c r="B407" s="4"/>
      <c r="C407" s="15"/>
      <c r="D407" s="757"/>
      <c r="E407" s="757"/>
      <c r="F407" s="757"/>
      <c r="G407" s="750"/>
      <c r="H407" s="23"/>
    </row>
    <row r="408" spans="1:8">
      <c r="A408" s="11"/>
      <c r="B408" s="4"/>
      <c r="C408" s="15"/>
      <c r="D408" s="757"/>
      <c r="E408" s="757"/>
      <c r="F408" s="757"/>
      <c r="G408" s="750"/>
      <c r="H408" s="23"/>
    </row>
    <row r="409" spans="1:8">
      <c r="A409" s="11"/>
      <c r="B409" s="4"/>
      <c r="C409" s="15"/>
      <c r="D409" s="757"/>
      <c r="E409" s="757"/>
      <c r="F409" s="757"/>
      <c r="G409" s="750"/>
      <c r="H409" s="23"/>
    </row>
    <row r="410" spans="1:8">
      <c r="A410" s="11"/>
      <c r="B410" s="4"/>
      <c r="C410" s="15"/>
      <c r="D410" s="757"/>
      <c r="E410" s="757"/>
      <c r="F410" s="757"/>
      <c r="G410" s="750"/>
      <c r="H410" s="23"/>
    </row>
    <row r="411" spans="1:8">
      <c r="A411" s="11"/>
      <c r="B411" s="4"/>
      <c r="C411" s="15"/>
      <c r="D411" s="757"/>
      <c r="E411" s="757"/>
      <c r="F411" s="757"/>
      <c r="G411" s="750"/>
      <c r="H411" s="23"/>
    </row>
    <row r="412" spans="1:8">
      <c r="A412" s="4"/>
      <c r="B412" s="4"/>
      <c r="C412" s="4"/>
      <c r="D412" s="757"/>
      <c r="E412" s="757"/>
      <c r="F412" s="757"/>
      <c r="G412" s="750"/>
      <c r="H412" s="23"/>
    </row>
    <row r="413" spans="1:8">
      <c r="A413" s="4"/>
      <c r="B413" s="4"/>
      <c r="C413" s="4"/>
      <c r="D413" s="757"/>
      <c r="E413" s="757"/>
      <c r="F413" s="757"/>
      <c r="G413" s="750"/>
      <c r="H413" s="23"/>
    </row>
    <row r="414" spans="1:8">
      <c r="A414" s="4"/>
      <c r="B414" s="4"/>
      <c r="C414" s="4"/>
      <c r="D414" s="757"/>
      <c r="E414" s="757"/>
      <c r="F414" s="757"/>
      <c r="G414" s="750"/>
      <c r="H414" s="23"/>
    </row>
    <row r="415" spans="1:8">
      <c r="A415" s="4"/>
      <c r="B415" s="4"/>
      <c r="C415" s="4"/>
      <c r="D415" s="757"/>
      <c r="E415" s="757"/>
      <c r="F415" s="757"/>
      <c r="G415" s="750"/>
      <c r="H415" s="23"/>
    </row>
    <row r="416" spans="1:8">
      <c r="A416" s="4"/>
      <c r="B416" s="4"/>
      <c r="C416" s="4"/>
      <c r="D416" s="757"/>
      <c r="E416" s="757"/>
      <c r="F416" s="757"/>
      <c r="G416" s="750"/>
      <c r="H416" s="23"/>
    </row>
    <row r="417" spans="1:8">
      <c r="A417" s="4"/>
      <c r="B417" s="4"/>
      <c r="C417" s="4"/>
      <c r="D417" s="757"/>
      <c r="E417" s="757"/>
      <c r="F417" s="757"/>
      <c r="G417" s="750"/>
      <c r="H417" s="23"/>
    </row>
    <row r="418" spans="1:8">
      <c r="A418" s="4"/>
      <c r="B418" s="4"/>
      <c r="C418" s="4"/>
      <c r="D418" s="757"/>
      <c r="E418" s="757"/>
      <c r="F418" s="757"/>
      <c r="G418" s="750"/>
      <c r="H418" s="23"/>
    </row>
    <row r="419" spans="1:8">
      <c r="A419" s="4"/>
      <c r="B419" s="4"/>
      <c r="C419" s="4"/>
      <c r="D419" s="757"/>
      <c r="E419" s="757"/>
      <c r="F419" s="757"/>
      <c r="G419" s="750"/>
      <c r="H419" s="23"/>
    </row>
    <row r="420" spans="1:8">
      <c r="A420" s="4"/>
      <c r="B420" s="4"/>
      <c r="C420" s="4"/>
      <c r="D420" s="757"/>
      <c r="E420" s="757"/>
      <c r="F420" s="757"/>
      <c r="G420" s="750"/>
      <c r="H420" s="23"/>
    </row>
    <row r="421" spans="1:8">
      <c r="A421" s="4"/>
      <c r="B421" s="4"/>
      <c r="C421" s="4"/>
      <c r="D421" s="757"/>
      <c r="E421" s="757"/>
      <c r="F421" s="757"/>
      <c r="G421" s="750"/>
      <c r="H421" s="23"/>
    </row>
    <row r="422" spans="1:8">
      <c r="A422" s="4"/>
      <c r="B422" s="4"/>
      <c r="C422" s="4"/>
      <c r="D422" s="757"/>
      <c r="E422" s="757"/>
      <c r="F422" s="757"/>
      <c r="G422" s="750"/>
      <c r="H422" s="23"/>
    </row>
    <row r="423" spans="1:8">
      <c r="A423" s="4"/>
      <c r="B423" s="4"/>
      <c r="C423" s="4"/>
      <c r="D423" s="757"/>
      <c r="E423" s="757"/>
      <c r="F423" s="757"/>
      <c r="G423" s="750"/>
      <c r="H423" s="23"/>
    </row>
    <row r="424" spans="1:8">
      <c r="A424" s="4"/>
      <c r="B424" s="4"/>
      <c r="C424" s="4"/>
      <c r="D424" s="757"/>
      <c r="E424" s="757"/>
      <c r="F424" s="757"/>
      <c r="G424" s="750"/>
      <c r="H424" s="23"/>
    </row>
    <row r="425" spans="1:8">
      <c r="A425" s="4"/>
      <c r="B425" s="4"/>
      <c r="C425" s="4"/>
      <c r="D425" s="757"/>
      <c r="E425" s="757"/>
      <c r="F425" s="757"/>
      <c r="G425" s="750"/>
      <c r="H425" s="23"/>
    </row>
    <row r="426" spans="1:8">
      <c r="A426" s="4"/>
      <c r="B426" s="4"/>
      <c r="C426" s="4"/>
      <c r="D426" s="757"/>
      <c r="E426" s="757"/>
      <c r="F426" s="757"/>
      <c r="G426" s="750"/>
      <c r="H426" s="23"/>
    </row>
    <row r="427" spans="1:8">
      <c r="A427" s="4"/>
      <c r="B427" s="4"/>
      <c r="C427" s="4"/>
      <c r="D427" s="757"/>
      <c r="E427" s="757"/>
      <c r="F427" s="757"/>
      <c r="G427" s="750"/>
      <c r="H427" s="23"/>
    </row>
    <row r="428" spans="1:8">
      <c r="A428" s="4"/>
      <c r="B428" s="4"/>
      <c r="C428" s="4"/>
      <c r="D428" s="757"/>
      <c r="E428" s="757"/>
      <c r="F428" s="757"/>
      <c r="G428" s="750"/>
      <c r="H428" s="23"/>
    </row>
    <row r="429" spans="1:8">
      <c r="A429" s="4"/>
      <c r="B429" s="4"/>
      <c r="C429" s="4"/>
      <c r="D429" s="757"/>
      <c r="E429" s="757"/>
      <c r="F429" s="757"/>
      <c r="G429" s="750"/>
      <c r="H429" s="23"/>
    </row>
    <row r="430" spans="1:8">
      <c r="A430" s="4"/>
      <c r="B430" s="4"/>
      <c r="C430" s="4"/>
      <c r="D430" s="757"/>
      <c r="E430" s="757"/>
      <c r="F430" s="757"/>
      <c r="G430" s="750"/>
      <c r="H430" s="23"/>
    </row>
    <row r="431" spans="1:8">
      <c r="A431" s="4"/>
      <c r="B431" s="4"/>
      <c r="C431" s="4"/>
      <c r="D431" s="757"/>
      <c r="E431" s="757"/>
      <c r="F431" s="757"/>
      <c r="G431" s="750"/>
      <c r="H431" s="23"/>
    </row>
    <row r="432" spans="1:8">
      <c r="A432" s="4"/>
      <c r="B432" s="4"/>
      <c r="C432" s="4"/>
      <c r="D432" s="757"/>
      <c r="E432" s="757"/>
      <c r="F432" s="757"/>
      <c r="G432" s="750"/>
      <c r="H432" s="23"/>
    </row>
    <row r="433" spans="1:8">
      <c r="A433" s="4"/>
      <c r="B433" s="4"/>
      <c r="C433" s="4"/>
      <c r="D433" s="757"/>
      <c r="E433" s="757"/>
      <c r="F433" s="757"/>
      <c r="G433" s="750"/>
      <c r="H433" s="23"/>
    </row>
    <row r="434" spans="1:8">
      <c r="A434" s="4"/>
      <c r="B434" s="4"/>
      <c r="C434" s="4"/>
      <c r="D434" s="757"/>
      <c r="E434" s="757"/>
      <c r="F434" s="757"/>
      <c r="G434" s="750"/>
      <c r="H434" s="23"/>
    </row>
    <row r="435" spans="1:8">
      <c r="A435" s="4"/>
      <c r="B435" s="4"/>
      <c r="C435" s="4"/>
      <c r="D435" s="757"/>
      <c r="E435" s="757"/>
      <c r="F435" s="757"/>
      <c r="G435" s="750"/>
      <c r="H435" s="23"/>
    </row>
    <row r="436" spans="1:8">
      <c r="A436" s="4"/>
      <c r="B436" s="4"/>
      <c r="C436" s="4"/>
      <c r="D436" s="757"/>
      <c r="E436" s="757"/>
      <c r="F436" s="757"/>
      <c r="G436" s="750"/>
      <c r="H436" s="23"/>
    </row>
    <row r="437" spans="1:8">
      <c r="A437" s="4"/>
      <c r="B437" s="4"/>
      <c r="C437" s="4"/>
      <c r="D437" s="757"/>
      <c r="E437" s="757"/>
      <c r="F437" s="757"/>
      <c r="G437" s="750"/>
      <c r="H437" s="23"/>
    </row>
    <row r="438" spans="1:8">
      <c r="A438" s="4"/>
      <c r="B438" s="4"/>
      <c r="C438" s="4"/>
      <c r="D438" s="757"/>
      <c r="E438" s="757"/>
      <c r="F438" s="757"/>
      <c r="G438" s="750"/>
      <c r="H438" s="23"/>
    </row>
    <row r="439" spans="1:8">
      <c r="A439" s="4"/>
      <c r="B439" s="4"/>
      <c r="C439" s="4"/>
      <c r="D439" s="757"/>
      <c r="E439" s="757"/>
      <c r="F439" s="757"/>
      <c r="G439" s="750"/>
      <c r="H439" s="23"/>
    </row>
    <row r="440" spans="1:8">
      <c r="A440" s="4"/>
      <c r="B440" s="4"/>
      <c r="C440" s="4"/>
      <c r="D440" s="757"/>
      <c r="E440" s="757"/>
      <c r="F440" s="757"/>
      <c r="G440" s="750"/>
      <c r="H440" s="23"/>
    </row>
    <row r="441" spans="1:8">
      <c r="A441" s="4"/>
      <c r="B441" s="4"/>
      <c r="C441" s="4"/>
      <c r="D441" s="757"/>
      <c r="E441" s="757"/>
      <c r="F441" s="757"/>
      <c r="G441" s="750"/>
      <c r="H441" s="23"/>
    </row>
    <row r="442" spans="1:8">
      <c r="A442" s="4"/>
      <c r="B442" s="4"/>
      <c r="C442" s="4"/>
      <c r="D442" s="757"/>
      <c r="E442" s="757"/>
      <c r="F442" s="757"/>
      <c r="G442" s="750"/>
      <c r="H442" s="23"/>
    </row>
    <row r="443" spans="1:8">
      <c r="A443" s="4"/>
      <c r="B443" s="4"/>
      <c r="C443" s="4"/>
      <c r="D443" s="757"/>
      <c r="E443" s="757"/>
      <c r="F443" s="757"/>
      <c r="G443" s="750"/>
      <c r="H443" s="23"/>
    </row>
    <row r="444" spans="1:8">
      <c r="A444" s="4"/>
      <c r="B444" s="4"/>
      <c r="C444" s="4"/>
      <c r="D444" s="757"/>
      <c r="E444" s="757"/>
      <c r="F444" s="757"/>
      <c r="G444" s="750"/>
      <c r="H444" s="23"/>
    </row>
    <row r="445" spans="1:8">
      <c r="A445" s="4"/>
      <c r="B445" s="4"/>
      <c r="C445" s="4"/>
      <c r="D445" s="757"/>
      <c r="E445" s="757"/>
      <c r="F445" s="757"/>
      <c r="G445" s="750"/>
      <c r="H445" s="23"/>
    </row>
    <row r="446" spans="1:8">
      <c r="A446" s="4"/>
      <c r="B446" s="4"/>
      <c r="C446" s="4"/>
      <c r="D446" s="757"/>
      <c r="E446" s="757"/>
      <c r="F446" s="757"/>
      <c r="G446" s="750"/>
      <c r="H446" s="23"/>
    </row>
    <row r="447" spans="1:8">
      <c r="A447" s="4"/>
      <c r="B447" s="4"/>
      <c r="C447" s="4"/>
      <c r="D447" s="757"/>
      <c r="E447" s="757"/>
      <c r="F447" s="757"/>
      <c r="G447" s="750"/>
      <c r="H447" s="23"/>
    </row>
    <row r="448" spans="1:8">
      <c r="A448" s="4"/>
      <c r="B448" s="4"/>
      <c r="C448" s="4"/>
      <c r="D448" s="757"/>
      <c r="E448" s="757"/>
      <c r="F448" s="757"/>
      <c r="G448" s="750"/>
      <c r="H448" s="23"/>
    </row>
    <row r="449" spans="1:8">
      <c r="A449" s="4"/>
      <c r="B449" s="4"/>
      <c r="C449" s="4"/>
      <c r="D449" s="757"/>
      <c r="E449" s="757"/>
      <c r="F449" s="757"/>
      <c r="G449" s="750"/>
      <c r="H449" s="23"/>
    </row>
    <row r="450" spans="1:8">
      <c r="A450" s="4"/>
      <c r="B450" s="4"/>
      <c r="C450" s="4"/>
      <c r="D450" s="757"/>
      <c r="E450" s="757"/>
      <c r="F450" s="757"/>
      <c r="G450" s="750"/>
      <c r="H450" s="23"/>
    </row>
    <row r="451" spans="1:8">
      <c r="A451" s="4"/>
      <c r="B451" s="4"/>
      <c r="C451" s="4"/>
      <c r="D451" s="757"/>
      <c r="E451" s="757"/>
      <c r="F451" s="757"/>
      <c r="G451" s="750"/>
      <c r="H451" s="23"/>
    </row>
    <row r="452" spans="1:8">
      <c r="A452" s="4"/>
      <c r="B452" s="4"/>
      <c r="C452" s="4"/>
      <c r="D452" s="757"/>
      <c r="E452" s="757"/>
      <c r="F452" s="757"/>
      <c r="G452" s="750"/>
      <c r="H452" s="23"/>
    </row>
    <row r="453" spans="1:8">
      <c r="A453" s="4"/>
      <c r="B453" s="4"/>
      <c r="C453" s="4"/>
      <c r="D453" s="757"/>
      <c r="E453" s="757"/>
      <c r="F453" s="757"/>
      <c r="G453" s="750"/>
      <c r="H453" s="23"/>
    </row>
    <row r="454" spans="1:8">
      <c r="A454" s="4"/>
      <c r="B454" s="4"/>
      <c r="C454" s="4"/>
      <c r="D454" s="757"/>
      <c r="E454" s="757"/>
      <c r="F454" s="757"/>
      <c r="G454" s="750"/>
      <c r="H454" s="23"/>
    </row>
    <row r="455" spans="1:8">
      <c r="A455" s="4"/>
      <c r="B455" s="4"/>
      <c r="C455" s="4"/>
      <c r="D455" s="757"/>
      <c r="E455" s="757"/>
      <c r="F455" s="757"/>
      <c r="G455" s="750"/>
      <c r="H455" s="23"/>
    </row>
    <row r="456" spans="1:8">
      <c r="A456" s="4"/>
      <c r="B456" s="4"/>
      <c r="C456" s="4"/>
      <c r="D456" s="757"/>
      <c r="E456" s="757"/>
      <c r="F456" s="757"/>
      <c r="G456" s="750"/>
      <c r="H456" s="23"/>
    </row>
    <row r="457" spans="1:8">
      <c r="A457" s="4"/>
      <c r="B457" s="4"/>
      <c r="C457" s="4"/>
      <c r="D457" s="757"/>
      <c r="E457" s="757"/>
      <c r="F457" s="757"/>
      <c r="G457" s="750"/>
      <c r="H457" s="23"/>
    </row>
    <row r="458" spans="1:8">
      <c r="A458" s="4"/>
      <c r="B458" s="4"/>
      <c r="C458" s="4"/>
      <c r="D458" s="757"/>
      <c r="E458" s="757"/>
      <c r="F458" s="757"/>
      <c r="G458" s="750"/>
      <c r="H458" s="23"/>
    </row>
    <row r="459" spans="1:8">
      <c r="A459" s="4"/>
      <c r="B459" s="4"/>
      <c r="C459" s="4"/>
      <c r="D459" s="757"/>
      <c r="E459" s="757"/>
      <c r="F459" s="757"/>
      <c r="G459" s="750"/>
      <c r="H459" s="23"/>
    </row>
    <row r="460" spans="1:8">
      <c r="A460" s="4"/>
      <c r="B460" s="4"/>
      <c r="C460" s="4"/>
      <c r="D460" s="757"/>
      <c r="E460" s="757"/>
      <c r="F460" s="757"/>
      <c r="G460" s="750"/>
      <c r="H460" s="23"/>
    </row>
    <row r="461" spans="1:8">
      <c r="A461" s="4"/>
      <c r="B461" s="4"/>
      <c r="C461" s="4"/>
      <c r="D461" s="757"/>
      <c r="E461" s="757"/>
      <c r="F461" s="757"/>
      <c r="G461" s="750"/>
      <c r="H461" s="23"/>
    </row>
    <row r="462" spans="1:8">
      <c r="A462" s="4"/>
      <c r="B462" s="4"/>
      <c r="C462" s="4"/>
      <c r="D462" s="757"/>
      <c r="E462" s="757"/>
      <c r="F462" s="757"/>
      <c r="G462" s="750"/>
      <c r="H462" s="23"/>
    </row>
    <row r="463" spans="1:8">
      <c r="A463" s="4"/>
      <c r="B463" s="4"/>
      <c r="C463" s="4"/>
      <c r="D463" s="757"/>
      <c r="E463" s="757"/>
      <c r="F463" s="757"/>
      <c r="G463" s="750"/>
      <c r="H463" s="23"/>
    </row>
    <row r="464" spans="1:8">
      <c r="A464" s="4"/>
      <c r="B464" s="4"/>
      <c r="C464" s="4"/>
      <c r="D464" s="757"/>
      <c r="E464" s="757"/>
      <c r="F464" s="757"/>
      <c r="G464" s="750"/>
      <c r="H464" s="23"/>
    </row>
    <row r="465" spans="1:8">
      <c r="A465" s="4"/>
      <c r="B465" s="4"/>
      <c r="C465" s="4"/>
      <c r="D465" s="757"/>
      <c r="E465" s="757"/>
      <c r="F465" s="757"/>
      <c r="G465" s="750"/>
      <c r="H465" s="23"/>
    </row>
    <row r="466" spans="1:8">
      <c r="A466" s="4"/>
      <c r="B466" s="4"/>
      <c r="C466" s="4"/>
      <c r="D466" s="757"/>
      <c r="E466" s="757"/>
      <c r="F466" s="757"/>
      <c r="G466" s="750"/>
      <c r="H466" s="23"/>
    </row>
    <row r="467" spans="1:8">
      <c r="A467" s="4"/>
      <c r="B467" s="4"/>
      <c r="C467" s="4"/>
      <c r="D467" s="757"/>
      <c r="E467" s="757"/>
      <c r="F467" s="757"/>
      <c r="G467" s="750"/>
      <c r="H467" s="23"/>
    </row>
    <row r="468" spans="1:8">
      <c r="A468" s="4"/>
      <c r="B468" s="4"/>
      <c r="C468" s="4"/>
      <c r="D468" s="757"/>
      <c r="E468" s="757"/>
      <c r="F468" s="757"/>
      <c r="G468" s="750"/>
      <c r="H468" s="23"/>
    </row>
    <row r="469" spans="1:8">
      <c r="A469" s="4"/>
      <c r="B469" s="4"/>
      <c r="C469" s="4"/>
      <c r="D469" s="757"/>
      <c r="E469" s="757"/>
      <c r="F469" s="757"/>
      <c r="G469" s="750"/>
      <c r="H469" s="23"/>
    </row>
    <row r="470" spans="1:8">
      <c r="A470" s="4"/>
      <c r="B470" s="4"/>
      <c r="C470" s="4"/>
      <c r="D470" s="757"/>
      <c r="E470" s="757"/>
      <c r="F470" s="757"/>
      <c r="G470" s="750"/>
      <c r="H470" s="23"/>
    </row>
    <row r="471" spans="1:8">
      <c r="A471" s="4"/>
      <c r="B471" s="4"/>
      <c r="C471" s="4"/>
      <c r="D471" s="757"/>
      <c r="E471" s="757"/>
      <c r="F471" s="757"/>
      <c r="G471" s="750"/>
      <c r="H471" s="23"/>
    </row>
    <row r="472" spans="1:8">
      <c r="A472" s="4"/>
      <c r="B472" s="4"/>
      <c r="C472" s="4"/>
      <c r="D472" s="757"/>
      <c r="E472" s="757"/>
      <c r="F472" s="757"/>
      <c r="G472" s="750"/>
      <c r="H472" s="23"/>
    </row>
    <row r="473" spans="1:8">
      <c r="A473" s="4"/>
      <c r="B473" s="4"/>
      <c r="C473" s="4"/>
      <c r="D473" s="757"/>
      <c r="E473" s="757"/>
      <c r="F473" s="757"/>
      <c r="G473" s="750"/>
      <c r="H473" s="23"/>
    </row>
    <row r="474" spans="1:8">
      <c r="A474" s="4"/>
      <c r="B474" s="4"/>
      <c r="C474" s="4"/>
      <c r="D474" s="757"/>
      <c r="E474" s="757"/>
      <c r="F474" s="757"/>
      <c r="G474" s="750"/>
      <c r="H474" s="23"/>
    </row>
    <row r="475" spans="1:8">
      <c r="A475" s="4"/>
      <c r="B475" s="4"/>
      <c r="C475" s="4"/>
      <c r="D475" s="757"/>
      <c r="E475" s="757"/>
      <c r="F475" s="757"/>
      <c r="G475" s="750"/>
      <c r="H475" s="23"/>
    </row>
    <row r="476" spans="1:8">
      <c r="A476" s="4"/>
      <c r="B476" s="4"/>
      <c r="C476" s="4"/>
      <c r="D476" s="757"/>
      <c r="E476" s="757"/>
      <c r="F476" s="757"/>
      <c r="G476" s="750"/>
      <c r="H476" s="23"/>
    </row>
    <row r="477" spans="1:8">
      <c r="A477" s="4"/>
      <c r="B477" s="4"/>
      <c r="C477" s="4"/>
      <c r="D477" s="757"/>
      <c r="E477" s="757"/>
      <c r="F477" s="757"/>
      <c r="G477" s="750"/>
      <c r="H477" s="23"/>
    </row>
    <row r="478" spans="1:8">
      <c r="A478" s="4"/>
      <c r="B478" s="4"/>
      <c r="C478" s="4"/>
      <c r="D478" s="757"/>
      <c r="E478" s="757"/>
      <c r="F478" s="757"/>
      <c r="G478" s="750"/>
      <c r="H478" s="23"/>
    </row>
    <row r="479" spans="1:8">
      <c r="A479" s="4"/>
      <c r="B479" s="4"/>
      <c r="C479" s="4"/>
      <c r="D479" s="757"/>
      <c r="E479" s="757"/>
      <c r="F479" s="757"/>
      <c r="G479" s="750"/>
      <c r="H479" s="23"/>
    </row>
    <row r="480" spans="1:8">
      <c r="A480" s="4"/>
      <c r="B480" s="4"/>
      <c r="C480" s="4"/>
      <c r="D480" s="757"/>
      <c r="E480" s="757"/>
      <c r="F480" s="757"/>
      <c r="G480" s="750"/>
      <c r="H480" s="23"/>
    </row>
    <row r="481" spans="1:8">
      <c r="A481" s="4"/>
      <c r="B481" s="4"/>
      <c r="C481" s="4"/>
      <c r="D481" s="757"/>
      <c r="E481" s="757"/>
      <c r="F481" s="757"/>
      <c r="G481" s="750"/>
      <c r="H481" s="23"/>
    </row>
    <row r="482" spans="1:8">
      <c r="A482" s="4"/>
      <c r="B482" s="4"/>
      <c r="C482" s="4"/>
      <c r="D482" s="757"/>
      <c r="E482" s="757"/>
      <c r="F482" s="757"/>
      <c r="G482" s="750"/>
      <c r="H482" s="23"/>
    </row>
    <row r="483" spans="1:8">
      <c r="A483" s="4"/>
      <c r="B483" s="4"/>
      <c r="C483" s="4"/>
      <c r="D483" s="757"/>
      <c r="E483" s="757"/>
      <c r="F483" s="757"/>
      <c r="G483" s="750"/>
      <c r="H483" s="23"/>
    </row>
    <row r="484" spans="1:8">
      <c r="A484" s="4"/>
      <c r="B484" s="4"/>
      <c r="C484" s="4"/>
      <c r="D484" s="757"/>
      <c r="E484" s="757"/>
      <c r="F484" s="757"/>
      <c r="G484" s="750"/>
      <c r="H484" s="23"/>
    </row>
    <row r="485" spans="1:8">
      <c r="A485" s="4"/>
      <c r="B485" s="4"/>
      <c r="C485" s="4"/>
      <c r="D485" s="757"/>
      <c r="E485" s="757"/>
      <c r="F485" s="757"/>
      <c r="G485" s="750"/>
      <c r="H485" s="23"/>
    </row>
    <row r="486" spans="1:8">
      <c r="A486" s="4"/>
      <c r="B486" s="4"/>
      <c r="C486" s="4"/>
      <c r="D486" s="757"/>
      <c r="E486" s="757"/>
      <c r="F486" s="757"/>
      <c r="G486" s="750"/>
      <c r="H486" s="23"/>
    </row>
    <row r="487" spans="1:8">
      <c r="A487" s="4"/>
      <c r="B487" s="4"/>
      <c r="C487" s="4"/>
      <c r="D487" s="757"/>
      <c r="E487" s="757"/>
      <c r="F487" s="757"/>
      <c r="G487" s="750"/>
      <c r="H487" s="23"/>
    </row>
    <row r="488" spans="1:8">
      <c r="A488" s="4"/>
      <c r="B488" s="4"/>
      <c r="C488" s="4"/>
      <c r="D488" s="757"/>
      <c r="E488" s="757"/>
      <c r="F488" s="757"/>
      <c r="G488" s="750"/>
      <c r="H488" s="23"/>
    </row>
    <row r="489" spans="1:8">
      <c r="A489" s="4"/>
      <c r="B489" s="4"/>
      <c r="C489" s="4"/>
      <c r="D489" s="757"/>
      <c r="E489" s="757"/>
      <c r="F489" s="757"/>
      <c r="G489" s="750"/>
      <c r="H489" s="23"/>
    </row>
    <row r="490" spans="1:8">
      <c r="A490" s="4"/>
      <c r="B490" s="4"/>
      <c r="C490" s="4"/>
      <c r="D490" s="757"/>
      <c r="E490" s="757"/>
      <c r="F490" s="757"/>
      <c r="G490" s="750"/>
      <c r="H490" s="23"/>
    </row>
    <row r="491" spans="1:8">
      <c r="A491" s="4"/>
      <c r="B491" s="4"/>
      <c r="C491" s="4"/>
      <c r="D491" s="757"/>
      <c r="E491" s="757"/>
      <c r="F491" s="757"/>
      <c r="G491" s="750"/>
      <c r="H491" s="23"/>
    </row>
    <row r="492" spans="1:8">
      <c r="A492" s="4"/>
      <c r="B492" s="4"/>
      <c r="C492" s="4"/>
      <c r="D492" s="757"/>
      <c r="E492" s="757"/>
      <c r="F492" s="757"/>
      <c r="G492" s="750"/>
      <c r="H492" s="23"/>
    </row>
    <row r="493" spans="1:8">
      <c r="A493" s="4"/>
      <c r="B493" s="4"/>
      <c r="C493" s="4"/>
      <c r="D493" s="757"/>
      <c r="E493" s="757"/>
      <c r="F493" s="757"/>
      <c r="G493" s="750"/>
      <c r="H493" s="23"/>
    </row>
    <row r="494" spans="1:8">
      <c r="A494" s="4"/>
      <c r="B494" s="4"/>
      <c r="C494" s="4"/>
      <c r="D494" s="757"/>
      <c r="E494" s="757"/>
      <c r="F494" s="757"/>
      <c r="G494" s="750"/>
      <c r="H494" s="23"/>
    </row>
    <row r="495" spans="1:8">
      <c r="A495" s="4"/>
      <c r="B495" s="4"/>
      <c r="C495" s="4"/>
      <c r="D495" s="757"/>
      <c r="E495" s="757"/>
      <c r="F495" s="757"/>
      <c r="G495" s="750"/>
      <c r="H495" s="23"/>
    </row>
    <row r="496" spans="1:8">
      <c r="A496" s="4"/>
      <c r="B496" s="4"/>
      <c r="C496" s="4"/>
      <c r="D496" s="757"/>
      <c r="E496" s="757"/>
      <c r="F496" s="757"/>
      <c r="G496" s="750"/>
      <c r="H496" s="23"/>
    </row>
    <row r="497" spans="1:8">
      <c r="A497" s="4"/>
      <c r="B497" s="4"/>
      <c r="C497" s="4"/>
      <c r="D497" s="757"/>
      <c r="E497" s="757"/>
      <c r="F497" s="757"/>
      <c r="G497" s="750"/>
      <c r="H497" s="23"/>
    </row>
    <row r="498" spans="1:8">
      <c r="A498" s="4"/>
      <c r="B498" s="4"/>
      <c r="C498" s="4"/>
      <c r="D498" s="757"/>
      <c r="E498" s="757"/>
      <c r="F498" s="757"/>
      <c r="G498" s="750"/>
      <c r="H498" s="23"/>
    </row>
    <row r="499" spans="1:8">
      <c r="A499" s="4"/>
      <c r="B499" s="4"/>
      <c r="C499" s="4"/>
      <c r="D499" s="757"/>
      <c r="E499" s="757"/>
      <c r="F499" s="757"/>
      <c r="G499" s="750"/>
      <c r="H499" s="23"/>
    </row>
    <row r="500" spans="1:8">
      <c r="A500" s="4"/>
      <c r="B500" s="4"/>
      <c r="C500" s="4"/>
      <c r="D500" s="757"/>
      <c r="E500" s="757"/>
      <c r="F500" s="757"/>
      <c r="G500" s="750"/>
      <c r="H500" s="23"/>
    </row>
    <row r="501" spans="1:8">
      <c r="A501" s="4"/>
      <c r="B501" s="4"/>
      <c r="C501" s="4"/>
      <c r="D501" s="757"/>
      <c r="E501" s="757"/>
      <c r="F501" s="757"/>
      <c r="G501" s="750"/>
      <c r="H501" s="23"/>
    </row>
    <row r="502" spans="1:8">
      <c r="A502" s="4"/>
      <c r="B502" s="4"/>
      <c r="C502" s="4"/>
      <c r="D502" s="757"/>
      <c r="E502" s="757"/>
      <c r="F502" s="757"/>
      <c r="G502" s="750"/>
      <c r="H502" s="23"/>
    </row>
    <row r="503" spans="1:8">
      <c r="A503" s="4"/>
      <c r="B503" s="4"/>
      <c r="C503" s="4"/>
      <c r="D503" s="757"/>
      <c r="E503" s="757"/>
      <c r="F503" s="757"/>
      <c r="G503" s="750"/>
      <c r="H503" s="23"/>
    </row>
    <row r="504" spans="1:8">
      <c r="A504" s="4"/>
      <c r="B504" s="4"/>
      <c r="C504" s="4"/>
      <c r="D504" s="757"/>
      <c r="E504" s="757"/>
      <c r="F504" s="757"/>
      <c r="G504" s="750"/>
      <c r="H504" s="23"/>
    </row>
    <row r="505" spans="1:8">
      <c r="A505" s="4"/>
      <c r="B505" s="4"/>
      <c r="C505" s="4"/>
      <c r="D505" s="757"/>
      <c r="E505" s="757"/>
      <c r="F505" s="757"/>
      <c r="G505" s="750"/>
      <c r="H505" s="23"/>
    </row>
    <row r="506" spans="1:8">
      <c r="A506" s="4"/>
      <c r="B506" s="4"/>
      <c r="C506" s="4"/>
      <c r="D506" s="757"/>
      <c r="E506" s="757"/>
      <c r="F506" s="757"/>
      <c r="G506" s="750"/>
      <c r="H506" s="23"/>
    </row>
    <row r="507" spans="1:8">
      <c r="A507" s="4"/>
      <c r="B507" s="4"/>
      <c r="C507" s="4"/>
      <c r="D507" s="757"/>
      <c r="E507" s="757"/>
      <c r="F507" s="757"/>
      <c r="G507" s="750"/>
      <c r="H507" s="23"/>
    </row>
    <row r="508" spans="1:8">
      <c r="A508" s="4"/>
      <c r="B508" s="4"/>
      <c r="C508" s="4"/>
      <c r="D508" s="757"/>
      <c r="E508" s="757"/>
      <c r="F508" s="757"/>
      <c r="G508" s="750"/>
      <c r="H508" s="23"/>
    </row>
    <row r="509" spans="1:8">
      <c r="A509" s="4"/>
      <c r="B509" s="4"/>
      <c r="C509" s="4"/>
      <c r="D509" s="757"/>
      <c r="E509" s="757"/>
      <c r="F509" s="757"/>
      <c r="G509" s="750"/>
      <c r="H509" s="23"/>
    </row>
    <row r="510" spans="1:8">
      <c r="A510" s="4"/>
      <c r="B510" s="4"/>
      <c r="C510" s="4"/>
      <c r="D510" s="757"/>
      <c r="E510" s="757"/>
      <c r="F510" s="757"/>
      <c r="G510" s="750"/>
      <c r="H510" s="23"/>
    </row>
    <row r="511" spans="1:8">
      <c r="A511" s="4"/>
      <c r="B511" s="4"/>
      <c r="C511" s="4"/>
      <c r="D511" s="757"/>
      <c r="E511" s="757"/>
      <c r="F511" s="757"/>
      <c r="G511" s="750"/>
      <c r="H511" s="23"/>
    </row>
    <row r="512" spans="1:8">
      <c r="A512" s="4"/>
      <c r="B512" s="4"/>
      <c r="C512" s="4"/>
      <c r="D512" s="757"/>
      <c r="E512" s="757"/>
      <c r="F512" s="757"/>
      <c r="G512" s="750"/>
      <c r="H512" s="23"/>
    </row>
    <row r="513" spans="1:8">
      <c r="A513" s="4"/>
      <c r="B513" s="4"/>
      <c r="C513" s="4"/>
      <c r="D513" s="757"/>
      <c r="E513" s="757"/>
      <c r="F513" s="757"/>
      <c r="G513" s="750"/>
      <c r="H513" s="23"/>
    </row>
    <row r="514" spans="1:8">
      <c r="A514" s="4"/>
      <c r="B514" s="4"/>
      <c r="C514" s="4"/>
      <c r="D514" s="757"/>
      <c r="E514" s="757"/>
      <c r="F514" s="757"/>
      <c r="G514" s="750"/>
      <c r="H514" s="23"/>
    </row>
    <row r="515" spans="1:8">
      <c r="A515" s="4"/>
      <c r="B515" s="4"/>
      <c r="C515" s="4"/>
      <c r="D515" s="757"/>
      <c r="E515" s="757"/>
      <c r="F515" s="757"/>
      <c r="G515" s="750"/>
      <c r="H515" s="23"/>
    </row>
    <row r="516" spans="1:8">
      <c r="A516" s="4"/>
      <c r="B516" s="4"/>
      <c r="C516" s="4"/>
      <c r="D516" s="757"/>
      <c r="E516" s="757"/>
      <c r="F516" s="757"/>
      <c r="G516" s="750"/>
      <c r="H516" s="23"/>
    </row>
    <row r="517" spans="1:8">
      <c r="A517" s="4"/>
      <c r="B517" s="4"/>
      <c r="C517" s="4"/>
      <c r="D517" s="757"/>
      <c r="E517" s="757"/>
      <c r="F517" s="757"/>
      <c r="G517" s="750"/>
      <c r="H517" s="23"/>
    </row>
    <row r="518" spans="1:8">
      <c r="A518" s="4"/>
      <c r="B518" s="4"/>
      <c r="C518" s="4"/>
      <c r="D518" s="757"/>
      <c r="E518" s="757"/>
      <c r="F518" s="757"/>
      <c r="G518" s="750"/>
      <c r="H518" s="23"/>
    </row>
    <row r="519" spans="1:8">
      <c r="A519" s="4"/>
      <c r="B519" s="4"/>
      <c r="C519" s="4"/>
      <c r="D519" s="757"/>
      <c r="E519" s="757"/>
      <c r="F519" s="757"/>
      <c r="G519" s="750"/>
      <c r="H519" s="23"/>
    </row>
    <row r="520" spans="1:8">
      <c r="A520" s="4"/>
      <c r="B520" s="4"/>
      <c r="C520" s="4"/>
      <c r="D520" s="757"/>
      <c r="E520" s="757"/>
      <c r="F520" s="757"/>
      <c r="G520" s="750"/>
      <c r="H520" s="23"/>
    </row>
    <row r="521" spans="1:8">
      <c r="A521" s="4"/>
      <c r="B521" s="4"/>
      <c r="C521" s="4"/>
      <c r="D521" s="757"/>
      <c r="E521" s="757"/>
      <c r="F521" s="757"/>
      <c r="G521" s="750"/>
      <c r="H521" s="23"/>
    </row>
    <row r="522" spans="1:8">
      <c r="A522" s="4"/>
      <c r="B522" s="4"/>
      <c r="C522" s="4"/>
      <c r="D522" s="757"/>
      <c r="E522" s="757"/>
      <c r="F522" s="757"/>
      <c r="G522" s="750"/>
      <c r="H522" s="23"/>
    </row>
    <row r="523" spans="1:8">
      <c r="A523" s="4"/>
      <c r="B523" s="4"/>
      <c r="C523" s="4"/>
      <c r="D523" s="757"/>
      <c r="E523" s="757"/>
      <c r="F523" s="757"/>
      <c r="G523" s="750"/>
      <c r="H523" s="23"/>
    </row>
    <row r="524" spans="1:8">
      <c r="A524" s="4"/>
      <c r="B524" s="4"/>
      <c r="C524" s="4"/>
      <c r="D524" s="757"/>
      <c r="E524" s="757"/>
      <c r="F524" s="757"/>
      <c r="G524" s="750"/>
      <c r="H524" s="23"/>
    </row>
    <row r="525" spans="1:8">
      <c r="A525" s="4"/>
      <c r="B525" s="4"/>
      <c r="C525" s="4"/>
      <c r="D525" s="757"/>
      <c r="E525" s="757"/>
      <c r="F525" s="757"/>
      <c r="G525" s="750"/>
      <c r="H525" s="23"/>
    </row>
    <row r="526" spans="1:8">
      <c r="A526" s="4"/>
      <c r="B526" s="4"/>
      <c r="C526" s="4"/>
      <c r="D526" s="757"/>
      <c r="E526" s="757"/>
      <c r="F526" s="757"/>
      <c r="G526" s="750"/>
      <c r="H526" s="23"/>
    </row>
    <row r="527" spans="1:8">
      <c r="A527" s="4"/>
      <c r="B527" s="4"/>
      <c r="C527" s="4"/>
      <c r="D527" s="757"/>
      <c r="E527" s="757"/>
      <c r="F527" s="757"/>
      <c r="G527" s="750"/>
      <c r="H527" s="23"/>
    </row>
    <row r="528" spans="1:8">
      <c r="A528" s="4"/>
      <c r="B528" s="4"/>
      <c r="C528" s="4"/>
      <c r="D528" s="757"/>
      <c r="E528" s="757"/>
      <c r="F528" s="757"/>
      <c r="G528" s="750"/>
      <c r="H528" s="23"/>
    </row>
    <row r="529" spans="1:8">
      <c r="A529" s="4"/>
      <c r="B529" s="4"/>
      <c r="C529" s="4"/>
      <c r="D529" s="757"/>
      <c r="E529" s="757"/>
      <c r="F529" s="757"/>
      <c r="G529" s="750"/>
      <c r="H529" s="23"/>
    </row>
    <row r="530" spans="1:8">
      <c r="A530" s="4"/>
      <c r="B530" s="4"/>
      <c r="C530" s="4"/>
      <c r="D530" s="757"/>
      <c r="E530" s="757"/>
      <c r="F530" s="757"/>
      <c r="G530" s="750"/>
      <c r="H530" s="23"/>
    </row>
    <row r="531" spans="1:8">
      <c r="A531" s="4"/>
      <c r="B531" s="4"/>
      <c r="C531" s="4"/>
      <c r="D531" s="757"/>
      <c r="E531" s="757"/>
      <c r="F531" s="757"/>
      <c r="G531" s="750"/>
      <c r="H531" s="23"/>
    </row>
    <row r="532" spans="1:8">
      <c r="A532" s="4"/>
      <c r="B532" s="4"/>
      <c r="C532" s="4"/>
      <c r="D532" s="757"/>
      <c r="E532" s="757"/>
      <c r="F532" s="757"/>
      <c r="G532" s="750"/>
      <c r="H532" s="23"/>
    </row>
    <row r="533" spans="1:8">
      <c r="A533" s="4"/>
      <c r="B533" s="4"/>
      <c r="C533" s="4"/>
      <c r="D533" s="757"/>
      <c r="E533" s="757"/>
      <c r="F533" s="757"/>
      <c r="G533" s="750"/>
      <c r="H533" s="23"/>
    </row>
    <row r="534" spans="1:8">
      <c r="A534" s="4"/>
      <c r="B534" s="4"/>
      <c r="C534" s="4"/>
      <c r="D534" s="757"/>
      <c r="E534" s="757"/>
      <c r="F534" s="757"/>
      <c r="G534" s="750"/>
      <c r="H534" s="23"/>
    </row>
    <row r="535" spans="1:8">
      <c r="A535" s="4"/>
      <c r="B535" s="4"/>
      <c r="C535" s="4"/>
      <c r="D535" s="757"/>
      <c r="E535" s="757"/>
      <c r="F535" s="757"/>
      <c r="G535" s="750"/>
      <c r="H535" s="23"/>
    </row>
    <row r="536" spans="1:8">
      <c r="A536" s="4"/>
      <c r="B536" s="4"/>
      <c r="C536" s="4"/>
      <c r="D536" s="757"/>
      <c r="E536" s="757"/>
      <c r="F536" s="757"/>
      <c r="G536" s="750"/>
      <c r="H536" s="23"/>
    </row>
    <row r="537" spans="1:8">
      <c r="A537" s="4"/>
      <c r="B537" s="4"/>
      <c r="C537" s="4"/>
      <c r="D537" s="757"/>
      <c r="E537" s="757"/>
      <c r="F537" s="757"/>
      <c r="G537" s="750"/>
      <c r="H537" s="23"/>
    </row>
    <row r="538" spans="1:8">
      <c r="A538" s="4"/>
      <c r="B538" s="4"/>
      <c r="C538" s="4"/>
      <c r="D538" s="757"/>
      <c r="E538" s="757"/>
      <c r="F538" s="757"/>
      <c r="G538" s="750"/>
      <c r="H538" s="23"/>
    </row>
    <row r="539" spans="1:8">
      <c r="A539" s="4"/>
      <c r="B539" s="4"/>
      <c r="C539" s="4"/>
      <c r="D539" s="757"/>
      <c r="E539" s="757"/>
      <c r="F539" s="757"/>
      <c r="G539" s="750"/>
      <c r="H539" s="23"/>
    </row>
    <row r="540" spans="1:8">
      <c r="A540" s="4"/>
      <c r="B540" s="4"/>
      <c r="C540" s="4"/>
      <c r="D540" s="757"/>
      <c r="E540" s="757"/>
      <c r="F540" s="757"/>
      <c r="G540" s="750"/>
      <c r="H540" s="23"/>
    </row>
    <row r="541" spans="1:8">
      <c r="A541" s="4"/>
      <c r="B541" s="4"/>
      <c r="C541" s="4"/>
      <c r="D541" s="757"/>
      <c r="E541" s="757"/>
      <c r="F541" s="757"/>
      <c r="G541" s="750"/>
      <c r="H541" s="23"/>
    </row>
    <row r="542" spans="1:8">
      <c r="A542" s="4"/>
      <c r="B542" s="4"/>
      <c r="C542" s="4"/>
      <c r="D542" s="757"/>
      <c r="E542" s="757"/>
      <c r="F542" s="757"/>
      <c r="G542" s="750"/>
      <c r="H542" s="23"/>
    </row>
    <row r="543" spans="1:8">
      <c r="A543" s="4"/>
      <c r="B543" s="4"/>
      <c r="C543" s="4"/>
      <c r="D543" s="757"/>
      <c r="E543" s="757"/>
      <c r="F543" s="757"/>
      <c r="G543" s="750"/>
      <c r="H543" s="23"/>
    </row>
    <row r="544" spans="1:8">
      <c r="A544" s="4"/>
      <c r="B544" s="4"/>
      <c r="C544" s="4"/>
      <c r="D544" s="757"/>
      <c r="E544" s="757"/>
      <c r="F544" s="757"/>
      <c r="G544" s="750"/>
      <c r="H544" s="23"/>
    </row>
    <row r="545" spans="1:8">
      <c r="A545" s="4"/>
      <c r="B545" s="4"/>
      <c r="C545" s="4"/>
      <c r="D545" s="757"/>
      <c r="E545" s="757"/>
      <c r="F545" s="757"/>
      <c r="G545" s="750"/>
      <c r="H545" s="23"/>
    </row>
    <row r="546" spans="1:8">
      <c r="A546" s="4"/>
      <c r="B546" s="4"/>
      <c r="C546" s="4"/>
      <c r="D546" s="757"/>
      <c r="E546" s="757"/>
      <c r="F546" s="757"/>
      <c r="G546" s="750"/>
      <c r="H546" s="23"/>
    </row>
    <row r="547" spans="1:8">
      <c r="A547" s="4"/>
      <c r="B547" s="4"/>
      <c r="C547" s="4"/>
      <c r="D547" s="757"/>
      <c r="E547" s="757"/>
      <c r="F547" s="757"/>
      <c r="G547" s="750"/>
      <c r="H547" s="23"/>
    </row>
    <row r="548" spans="1:8">
      <c r="A548" s="4"/>
      <c r="B548" s="4"/>
      <c r="C548" s="4"/>
      <c r="D548" s="757"/>
      <c r="E548" s="757"/>
      <c r="F548" s="757"/>
      <c r="G548" s="750"/>
      <c r="H548" s="23"/>
    </row>
    <row r="549" spans="1:8">
      <c r="A549" s="4"/>
      <c r="B549" s="4"/>
      <c r="C549" s="4"/>
      <c r="D549" s="757"/>
      <c r="E549" s="757"/>
      <c r="F549" s="757"/>
      <c r="G549" s="750"/>
      <c r="H549" s="23"/>
    </row>
    <row r="550" spans="1:8">
      <c r="A550" s="4"/>
      <c r="B550" s="4"/>
      <c r="C550" s="4"/>
      <c r="D550" s="757"/>
      <c r="E550" s="757"/>
      <c r="F550" s="757"/>
      <c r="G550" s="750"/>
      <c r="H550" s="23"/>
    </row>
    <row r="551" spans="1:8">
      <c r="A551" s="4"/>
      <c r="B551" s="4"/>
      <c r="C551" s="4"/>
      <c r="D551" s="757"/>
      <c r="E551" s="757"/>
      <c r="F551" s="757"/>
      <c r="G551" s="750"/>
      <c r="H551" s="23"/>
    </row>
    <row r="552" spans="1:8">
      <c r="A552" s="4"/>
      <c r="B552" s="4"/>
      <c r="C552" s="4"/>
      <c r="D552" s="757"/>
      <c r="E552" s="757"/>
      <c r="F552" s="757"/>
      <c r="G552" s="750"/>
      <c r="H552" s="23"/>
    </row>
    <row r="553" spans="1:8">
      <c r="A553" s="4"/>
      <c r="B553" s="4"/>
      <c r="C553" s="4"/>
      <c r="D553" s="757"/>
      <c r="E553" s="757"/>
      <c r="F553" s="757"/>
      <c r="G553" s="750"/>
      <c r="H553" s="23"/>
    </row>
    <row r="554" spans="1:8">
      <c r="A554" s="4"/>
      <c r="B554" s="4"/>
      <c r="C554" s="4"/>
      <c r="D554" s="757"/>
      <c r="E554" s="757"/>
      <c r="F554" s="757"/>
      <c r="G554" s="750"/>
      <c r="H554" s="23"/>
    </row>
    <row r="555" spans="1:8">
      <c r="A555" s="4"/>
      <c r="B555" s="4"/>
      <c r="C555" s="4"/>
      <c r="D555" s="757"/>
      <c r="E555" s="757"/>
      <c r="F555" s="757"/>
      <c r="G555" s="750"/>
      <c r="H555" s="23"/>
    </row>
    <row r="556" spans="1:8">
      <c r="A556" s="4"/>
      <c r="B556" s="4"/>
      <c r="C556" s="4"/>
      <c r="D556" s="757"/>
      <c r="E556" s="757"/>
      <c r="F556" s="757"/>
      <c r="G556" s="750"/>
      <c r="H556" s="23"/>
    </row>
    <row r="557" spans="1:8">
      <c r="A557" s="4"/>
      <c r="B557" s="4"/>
      <c r="C557" s="4"/>
      <c r="D557" s="757"/>
      <c r="E557" s="757"/>
      <c r="F557" s="757"/>
      <c r="G557" s="750"/>
      <c r="H557" s="23"/>
    </row>
    <row r="558" spans="1:8">
      <c r="A558" s="4"/>
      <c r="B558" s="4"/>
      <c r="C558" s="4"/>
      <c r="D558" s="757"/>
      <c r="E558" s="757"/>
      <c r="F558" s="757"/>
      <c r="G558" s="750"/>
      <c r="H558" s="23"/>
    </row>
    <row r="559" spans="1:8">
      <c r="A559" s="4"/>
      <c r="B559" s="4"/>
      <c r="C559" s="4"/>
      <c r="D559" s="757"/>
      <c r="E559" s="757"/>
      <c r="F559" s="757"/>
      <c r="G559" s="750"/>
      <c r="H559" s="23"/>
    </row>
    <row r="560" spans="1:8">
      <c r="A560" s="4"/>
      <c r="B560" s="4"/>
      <c r="C560" s="4"/>
      <c r="D560" s="757"/>
      <c r="E560" s="757"/>
      <c r="F560" s="757"/>
      <c r="G560" s="750"/>
      <c r="H560" s="23"/>
    </row>
    <row r="561" spans="1:8">
      <c r="A561" s="4"/>
      <c r="B561" s="4"/>
      <c r="C561" s="4"/>
      <c r="D561" s="757"/>
      <c r="E561" s="757"/>
      <c r="F561" s="757"/>
      <c r="G561" s="750"/>
      <c r="H561" s="23"/>
    </row>
    <row r="562" spans="1:8">
      <c r="A562" s="4"/>
      <c r="B562" s="4"/>
      <c r="C562" s="4"/>
      <c r="D562" s="757"/>
      <c r="E562" s="757"/>
      <c r="F562" s="757"/>
      <c r="G562" s="750"/>
      <c r="H562" s="23"/>
    </row>
    <row r="563" spans="1:8">
      <c r="A563" s="4"/>
      <c r="B563" s="4"/>
      <c r="C563" s="4"/>
      <c r="D563" s="757"/>
      <c r="E563" s="757"/>
      <c r="F563" s="757"/>
      <c r="G563" s="750"/>
      <c r="H563" s="23"/>
    </row>
    <row r="564" spans="1:8">
      <c r="A564" s="4"/>
      <c r="B564" s="4"/>
      <c r="C564" s="4"/>
      <c r="D564" s="757"/>
      <c r="E564" s="757"/>
      <c r="F564" s="757"/>
      <c r="G564" s="750"/>
      <c r="H564" s="23"/>
    </row>
    <row r="565" spans="1:8">
      <c r="A565" s="4"/>
      <c r="B565" s="4"/>
      <c r="C565" s="4"/>
      <c r="D565" s="757"/>
      <c r="E565" s="757"/>
      <c r="F565" s="757"/>
      <c r="G565" s="750"/>
      <c r="H565" s="23"/>
    </row>
    <row r="566" spans="1:8">
      <c r="A566" s="4"/>
      <c r="B566" s="4"/>
      <c r="C566" s="4"/>
      <c r="D566" s="757"/>
      <c r="E566" s="757"/>
      <c r="F566" s="757"/>
      <c r="G566" s="750"/>
      <c r="H566" s="23"/>
    </row>
    <row r="567" spans="1:8">
      <c r="A567" s="4"/>
      <c r="B567" s="4"/>
      <c r="C567" s="4"/>
      <c r="D567" s="757"/>
      <c r="E567" s="757"/>
      <c r="F567" s="757"/>
      <c r="G567" s="750"/>
      <c r="H567" s="23"/>
    </row>
    <row r="568" spans="1:8">
      <c r="A568" s="4"/>
      <c r="B568" s="4"/>
      <c r="C568" s="4"/>
      <c r="D568" s="757"/>
      <c r="E568" s="757"/>
      <c r="F568" s="757"/>
      <c r="G568" s="750"/>
      <c r="H568" s="23"/>
    </row>
    <row r="569" spans="1:8">
      <c r="A569" s="4"/>
      <c r="B569" s="4"/>
      <c r="C569" s="4"/>
      <c r="D569" s="757"/>
      <c r="E569" s="757"/>
      <c r="F569" s="757"/>
      <c r="G569" s="750"/>
      <c r="H569" s="23"/>
    </row>
    <row r="570" spans="1:8">
      <c r="A570" s="4"/>
      <c r="B570" s="4"/>
      <c r="C570" s="4"/>
      <c r="D570" s="757"/>
      <c r="E570" s="757"/>
      <c r="F570" s="757"/>
      <c r="G570" s="750"/>
      <c r="H570" s="23"/>
    </row>
    <row r="571" spans="1:8">
      <c r="A571" s="4"/>
      <c r="B571" s="4"/>
      <c r="C571" s="4"/>
      <c r="D571" s="757"/>
      <c r="E571" s="757"/>
      <c r="F571" s="757"/>
      <c r="G571" s="750"/>
      <c r="H571" s="23"/>
    </row>
    <row r="572" spans="1:8">
      <c r="A572" s="4"/>
      <c r="B572" s="4"/>
      <c r="C572" s="4"/>
      <c r="D572" s="757"/>
      <c r="E572" s="757"/>
      <c r="F572" s="757"/>
      <c r="G572" s="750"/>
      <c r="H572" s="23"/>
    </row>
    <row r="573" spans="1:8">
      <c r="A573" s="4"/>
      <c r="B573" s="4"/>
      <c r="C573" s="4"/>
      <c r="D573" s="757"/>
      <c r="E573" s="757"/>
      <c r="F573" s="757"/>
      <c r="G573" s="750"/>
      <c r="H573" s="23"/>
    </row>
    <row r="574" spans="1:8">
      <c r="A574" s="4"/>
      <c r="B574" s="4"/>
      <c r="C574" s="4"/>
      <c r="D574" s="757"/>
      <c r="E574" s="757"/>
      <c r="F574" s="757"/>
      <c r="G574" s="750"/>
      <c r="H574" s="23"/>
    </row>
    <row r="575" spans="1:8">
      <c r="A575" s="4"/>
      <c r="B575" s="4"/>
      <c r="C575" s="4"/>
      <c r="D575" s="757"/>
      <c r="E575" s="757"/>
      <c r="F575" s="757"/>
      <c r="G575" s="750"/>
      <c r="H575" s="23"/>
    </row>
    <row r="576" spans="1:8">
      <c r="A576" s="4"/>
      <c r="B576" s="4"/>
      <c r="C576" s="4"/>
      <c r="D576" s="757"/>
      <c r="E576" s="757"/>
      <c r="F576" s="757"/>
      <c r="G576" s="750"/>
      <c r="H576" s="23"/>
    </row>
    <row r="577" spans="1:8">
      <c r="A577" s="4"/>
      <c r="B577" s="4"/>
      <c r="C577" s="4"/>
      <c r="D577" s="757"/>
      <c r="E577" s="757"/>
      <c r="F577" s="757"/>
      <c r="G577" s="750"/>
      <c r="H577" s="23"/>
    </row>
    <row r="578" spans="1:8">
      <c r="A578" s="4"/>
      <c r="B578" s="4"/>
      <c r="C578" s="4"/>
      <c r="D578" s="757"/>
      <c r="E578" s="757"/>
      <c r="F578" s="757"/>
      <c r="G578" s="750"/>
      <c r="H578" s="23"/>
    </row>
    <row r="579" spans="1:8">
      <c r="A579" s="4"/>
      <c r="B579" s="4"/>
      <c r="C579" s="4"/>
      <c r="D579" s="757"/>
      <c r="E579" s="757"/>
      <c r="F579" s="757"/>
      <c r="G579" s="750"/>
      <c r="H579" s="23"/>
    </row>
    <row r="580" spans="1:8">
      <c r="A580" s="4"/>
      <c r="B580" s="4"/>
      <c r="C580" s="4"/>
      <c r="D580" s="757"/>
      <c r="E580" s="757"/>
      <c r="F580" s="757"/>
      <c r="G580" s="750"/>
      <c r="H580" s="23"/>
    </row>
    <row r="581" spans="1:8">
      <c r="A581" s="4"/>
      <c r="B581" s="4"/>
      <c r="C581" s="4"/>
      <c r="D581" s="757"/>
      <c r="E581" s="757"/>
      <c r="F581" s="757"/>
      <c r="G581" s="750"/>
      <c r="H581" s="23"/>
    </row>
    <row r="582" spans="1:8">
      <c r="A582" s="4"/>
      <c r="B582" s="4"/>
      <c r="C582" s="4"/>
      <c r="D582" s="757"/>
      <c r="E582" s="757"/>
      <c r="F582" s="757"/>
      <c r="G582" s="750"/>
      <c r="H582" s="23"/>
    </row>
    <row r="583" spans="1:8">
      <c r="A583" s="4"/>
      <c r="B583" s="4"/>
      <c r="C583" s="4"/>
      <c r="D583" s="757"/>
      <c r="E583" s="757"/>
      <c r="F583" s="757"/>
      <c r="G583" s="750"/>
      <c r="H583" s="23"/>
    </row>
    <row r="584" spans="1:8">
      <c r="A584" s="4"/>
      <c r="B584" s="4"/>
      <c r="C584" s="4"/>
      <c r="D584" s="757"/>
      <c r="E584" s="757"/>
      <c r="F584" s="757"/>
      <c r="G584" s="750"/>
      <c r="H584" s="23"/>
    </row>
    <row r="585" spans="1:8">
      <c r="A585" s="4"/>
      <c r="B585" s="4"/>
      <c r="C585" s="4"/>
      <c r="D585" s="757"/>
      <c r="E585" s="757"/>
      <c r="F585" s="757"/>
      <c r="G585" s="750"/>
      <c r="H585" s="23"/>
    </row>
    <row r="586" spans="1:8">
      <c r="A586" s="4"/>
      <c r="B586" s="4"/>
      <c r="C586" s="4"/>
      <c r="D586" s="757"/>
      <c r="E586" s="757"/>
      <c r="F586" s="757"/>
      <c r="G586" s="750"/>
      <c r="H586" s="23"/>
    </row>
    <row r="587" spans="1:8">
      <c r="A587" s="4"/>
      <c r="B587" s="4"/>
      <c r="C587" s="4"/>
      <c r="D587" s="757"/>
      <c r="E587" s="757"/>
      <c r="F587" s="757"/>
      <c r="G587" s="750"/>
      <c r="H587" s="23"/>
    </row>
    <row r="588" spans="1:8">
      <c r="A588" s="4"/>
      <c r="B588" s="4"/>
      <c r="C588" s="4"/>
      <c r="D588" s="757"/>
      <c r="E588" s="757"/>
      <c r="F588" s="757"/>
      <c r="G588" s="750"/>
      <c r="H588" s="23"/>
    </row>
    <row r="589" spans="1:8">
      <c r="A589" s="4"/>
      <c r="B589" s="4"/>
      <c r="C589" s="4"/>
      <c r="D589" s="757"/>
      <c r="E589" s="757"/>
      <c r="F589" s="757"/>
      <c r="G589" s="750"/>
      <c r="H589" s="23"/>
    </row>
    <row r="590" spans="1:8">
      <c r="A590" s="4"/>
      <c r="B590" s="4"/>
      <c r="C590" s="4"/>
      <c r="D590" s="757"/>
      <c r="E590" s="757"/>
      <c r="F590" s="757"/>
      <c r="G590" s="750"/>
      <c r="H590" s="23"/>
    </row>
    <row r="591" spans="1:8">
      <c r="A591" s="4"/>
      <c r="B591" s="4"/>
      <c r="C591" s="4"/>
      <c r="D591" s="757"/>
      <c r="E591" s="757"/>
      <c r="F591" s="757"/>
      <c r="G591" s="750"/>
      <c r="H591" s="23"/>
    </row>
    <row r="592" spans="1:8">
      <c r="A592" s="4"/>
      <c r="B592" s="4"/>
      <c r="C592" s="4"/>
      <c r="D592" s="757"/>
      <c r="E592" s="757"/>
      <c r="F592" s="757"/>
      <c r="G592" s="750"/>
      <c r="H592" s="23"/>
    </row>
    <row r="593" spans="1:8">
      <c r="A593" s="4"/>
      <c r="B593" s="4"/>
      <c r="C593" s="4"/>
      <c r="D593" s="757"/>
      <c r="E593" s="757"/>
      <c r="F593" s="757"/>
      <c r="G593" s="750"/>
      <c r="H593" s="23"/>
    </row>
    <row r="594" spans="1:8">
      <c r="A594" s="4"/>
      <c r="B594" s="4"/>
      <c r="C594" s="4"/>
      <c r="D594" s="757"/>
      <c r="E594" s="757"/>
      <c r="F594" s="757"/>
      <c r="G594" s="750"/>
      <c r="H594" s="23"/>
    </row>
    <row r="595" spans="1:8">
      <c r="A595" s="4"/>
      <c r="B595" s="4"/>
      <c r="C595" s="4"/>
      <c r="D595" s="757"/>
      <c r="E595" s="757"/>
      <c r="F595" s="757"/>
      <c r="G595" s="750"/>
      <c r="H595" s="23"/>
    </row>
    <row r="596" spans="1:8">
      <c r="A596" s="4"/>
      <c r="B596" s="4"/>
      <c r="C596" s="4"/>
      <c r="D596" s="757"/>
      <c r="E596" s="757"/>
      <c r="F596" s="757"/>
      <c r="G596" s="750"/>
      <c r="H596" s="23"/>
    </row>
    <row r="597" spans="1:8">
      <c r="A597" s="4"/>
      <c r="B597" s="4"/>
      <c r="C597" s="4"/>
      <c r="D597" s="757"/>
      <c r="E597" s="757"/>
      <c r="F597" s="757"/>
      <c r="G597" s="750"/>
      <c r="H597" s="23"/>
    </row>
    <row r="598" spans="1:8">
      <c r="A598" s="4"/>
      <c r="B598" s="4"/>
      <c r="C598" s="4"/>
      <c r="D598" s="757"/>
      <c r="E598" s="757"/>
      <c r="F598" s="757"/>
      <c r="G598" s="750"/>
      <c r="H598" s="23"/>
    </row>
    <row r="599" spans="1:8">
      <c r="A599" s="4"/>
      <c r="B599" s="4"/>
      <c r="C599" s="4"/>
      <c r="D599" s="757"/>
      <c r="E599" s="757"/>
      <c r="F599" s="757"/>
      <c r="G599" s="750"/>
      <c r="H599" s="23"/>
    </row>
    <row r="600" spans="1:8">
      <c r="A600" s="4"/>
      <c r="B600" s="4"/>
      <c r="C600" s="4"/>
      <c r="D600" s="757"/>
      <c r="E600" s="757"/>
      <c r="F600" s="757"/>
      <c r="G600" s="750"/>
      <c r="H600" s="23"/>
    </row>
    <row r="601" spans="1:8">
      <c r="A601" s="4"/>
      <c r="B601" s="4"/>
      <c r="C601" s="4"/>
      <c r="D601" s="757"/>
      <c r="E601" s="757"/>
      <c r="F601" s="757"/>
      <c r="G601" s="750"/>
      <c r="H601" s="23"/>
    </row>
    <row r="602" spans="1:8">
      <c r="A602" s="4"/>
      <c r="B602" s="4"/>
      <c r="C602" s="4"/>
      <c r="D602" s="757"/>
      <c r="E602" s="757"/>
      <c r="F602" s="757"/>
      <c r="G602" s="750"/>
      <c r="H602" s="23"/>
    </row>
    <row r="603" spans="1:8">
      <c r="A603" s="4"/>
      <c r="B603" s="4"/>
      <c r="C603" s="4"/>
      <c r="D603" s="757"/>
      <c r="E603" s="757"/>
      <c r="F603" s="757"/>
      <c r="G603" s="750"/>
      <c r="H603" s="23"/>
    </row>
    <row r="604" spans="1:8">
      <c r="A604" s="4"/>
      <c r="B604" s="4"/>
      <c r="C604" s="4"/>
      <c r="D604" s="757"/>
      <c r="E604" s="757"/>
      <c r="F604" s="757"/>
      <c r="G604" s="750"/>
      <c r="H604" s="23"/>
    </row>
    <row r="605" spans="1:8">
      <c r="A605" s="4"/>
      <c r="B605" s="4"/>
      <c r="C605" s="4"/>
      <c r="D605" s="757"/>
      <c r="E605" s="757"/>
      <c r="F605" s="757"/>
      <c r="G605" s="750"/>
      <c r="H605" s="23"/>
    </row>
    <row r="606" spans="1:8">
      <c r="A606" s="4"/>
      <c r="B606" s="4"/>
      <c r="C606" s="4"/>
      <c r="D606" s="757"/>
      <c r="E606" s="757"/>
      <c r="F606" s="757"/>
      <c r="G606" s="750"/>
      <c r="H606" s="23"/>
    </row>
    <row r="607" spans="1:8">
      <c r="A607" s="4"/>
      <c r="B607" s="4"/>
      <c r="C607" s="4"/>
      <c r="D607" s="757"/>
      <c r="E607" s="757"/>
      <c r="F607" s="757"/>
      <c r="G607" s="750"/>
      <c r="H607" s="23"/>
    </row>
    <row r="608" spans="1:8">
      <c r="A608" s="4"/>
      <c r="B608" s="4"/>
      <c r="C608" s="4"/>
      <c r="D608" s="757"/>
      <c r="E608" s="757"/>
      <c r="F608" s="757"/>
      <c r="G608" s="750"/>
      <c r="H608" s="23"/>
    </row>
    <row r="609" spans="1:8">
      <c r="A609" s="4"/>
      <c r="B609" s="4"/>
      <c r="C609" s="4"/>
      <c r="D609" s="757"/>
      <c r="E609" s="757"/>
      <c r="F609" s="757"/>
      <c r="G609" s="750"/>
      <c r="H609" s="23"/>
    </row>
    <row r="610" spans="1:8">
      <c r="A610" s="4"/>
      <c r="B610" s="4"/>
      <c r="C610" s="4"/>
      <c r="D610" s="757"/>
      <c r="E610" s="757"/>
      <c r="F610" s="757"/>
      <c r="G610" s="750"/>
      <c r="H610" s="23"/>
    </row>
    <row r="611" spans="1:8">
      <c r="A611" s="4"/>
      <c r="B611" s="4"/>
      <c r="C611" s="4"/>
      <c r="D611" s="757"/>
      <c r="E611" s="757"/>
      <c r="F611" s="757"/>
      <c r="G611" s="750"/>
      <c r="H611" s="23"/>
    </row>
    <row r="612" spans="1:8">
      <c r="A612" s="4"/>
      <c r="B612" s="4"/>
      <c r="C612" s="4"/>
      <c r="D612" s="757"/>
      <c r="E612" s="757"/>
      <c r="F612" s="757"/>
      <c r="G612" s="750"/>
      <c r="H612" s="23"/>
    </row>
    <row r="613" spans="1:8">
      <c r="A613" s="4"/>
      <c r="B613" s="4"/>
      <c r="C613" s="4"/>
      <c r="D613" s="757"/>
      <c r="E613" s="757"/>
      <c r="F613" s="757"/>
      <c r="G613" s="750"/>
      <c r="H613" s="23"/>
    </row>
    <row r="614" spans="1:8">
      <c r="A614" s="4"/>
      <c r="B614" s="4"/>
      <c r="C614" s="4"/>
      <c r="D614" s="757"/>
      <c r="E614" s="757"/>
      <c r="F614" s="757"/>
      <c r="G614" s="750"/>
      <c r="H614" s="23"/>
    </row>
    <row r="615" spans="1:8">
      <c r="A615" s="4"/>
      <c r="B615" s="4"/>
      <c r="C615" s="4"/>
      <c r="D615" s="757"/>
      <c r="E615" s="757"/>
      <c r="F615" s="757"/>
      <c r="G615" s="750"/>
      <c r="H615" s="23"/>
    </row>
    <row r="616" spans="1:8">
      <c r="A616" s="4"/>
      <c r="B616" s="4"/>
      <c r="C616" s="4"/>
      <c r="D616" s="757"/>
      <c r="E616" s="757"/>
      <c r="F616" s="757"/>
      <c r="G616" s="750"/>
      <c r="H616" s="23"/>
    </row>
    <row r="617" spans="1:8">
      <c r="A617" s="4"/>
      <c r="B617" s="4"/>
      <c r="C617" s="4"/>
      <c r="D617" s="757"/>
      <c r="E617" s="757"/>
      <c r="F617" s="757"/>
      <c r="G617" s="750"/>
      <c r="H617" s="23"/>
    </row>
    <row r="618" spans="1:8">
      <c r="A618" s="4"/>
      <c r="B618" s="4"/>
      <c r="C618" s="4"/>
      <c r="D618" s="757"/>
      <c r="E618" s="757"/>
      <c r="F618" s="757"/>
      <c r="G618" s="750"/>
      <c r="H618" s="23"/>
    </row>
    <row r="619" spans="1:8">
      <c r="A619" s="4"/>
      <c r="B619" s="4"/>
      <c r="C619" s="4"/>
      <c r="D619" s="757"/>
      <c r="E619" s="757"/>
      <c r="F619" s="757"/>
      <c r="G619" s="750"/>
      <c r="H619" s="23"/>
    </row>
    <row r="620" spans="1:8">
      <c r="A620" s="4"/>
      <c r="B620" s="4"/>
      <c r="C620" s="4"/>
      <c r="D620" s="757"/>
      <c r="E620" s="757"/>
      <c r="F620" s="757"/>
      <c r="G620" s="750"/>
      <c r="H620" s="23"/>
    </row>
    <row r="621" spans="1:8">
      <c r="A621" s="4"/>
      <c r="B621" s="4"/>
      <c r="C621" s="4"/>
      <c r="D621" s="757"/>
      <c r="E621" s="757"/>
      <c r="F621" s="757"/>
      <c r="G621" s="750"/>
      <c r="H621" s="23"/>
    </row>
    <row r="622" spans="1:8">
      <c r="A622" s="4"/>
      <c r="B622" s="4"/>
      <c r="C622" s="4"/>
      <c r="D622" s="757"/>
      <c r="E622" s="757"/>
      <c r="F622" s="757"/>
      <c r="G622" s="750"/>
      <c r="H622" s="23"/>
    </row>
    <row r="623" spans="1:8">
      <c r="A623" s="4"/>
      <c r="B623" s="4"/>
      <c r="C623" s="4"/>
      <c r="D623" s="757"/>
      <c r="E623" s="757"/>
      <c r="F623" s="757"/>
      <c r="G623" s="750"/>
      <c r="H623" s="23"/>
    </row>
    <row r="624" spans="1:8">
      <c r="A624" s="4"/>
      <c r="B624" s="4"/>
      <c r="C624" s="4"/>
      <c r="D624" s="757"/>
      <c r="E624" s="757"/>
      <c r="F624" s="757"/>
      <c r="G624" s="750"/>
      <c r="H624" s="23"/>
    </row>
    <row r="625" spans="1:8">
      <c r="A625" s="4"/>
      <c r="B625" s="4"/>
      <c r="C625" s="4"/>
      <c r="D625" s="757"/>
      <c r="E625" s="757"/>
      <c r="F625" s="757"/>
      <c r="G625" s="750"/>
      <c r="H625" s="23"/>
    </row>
    <row r="626" spans="1:8">
      <c r="A626" s="4"/>
      <c r="B626" s="4"/>
      <c r="C626" s="4"/>
      <c r="D626" s="757"/>
      <c r="E626" s="757"/>
      <c r="F626" s="757"/>
      <c r="G626" s="750"/>
      <c r="H626" s="23"/>
    </row>
    <row r="627" spans="1:8">
      <c r="A627" s="4"/>
      <c r="B627" s="4"/>
      <c r="C627" s="4"/>
      <c r="D627" s="757"/>
      <c r="E627" s="757"/>
      <c r="F627" s="757"/>
      <c r="G627" s="750"/>
      <c r="H627" s="23"/>
    </row>
    <row r="628" spans="1:8">
      <c r="A628" s="4"/>
      <c r="B628" s="4"/>
      <c r="C628" s="4"/>
      <c r="D628" s="757"/>
      <c r="E628" s="757"/>
      <c r="F628" s="757"/>
      <c r="G628" s="750"/>
      <c r="H628" s="23"/>
    </row>
    <row r="629" spans="1:8">
      <c r="A629" s="4"/>
      <c r="B629" s="4"/>
      <c r="C629" s="4"/>
      <c r="D629" s="757"/>
      <c r="E629" s="757"/>
      <c r="F629" s="757"/>
      <c r="G629" s="750"/>
      <c r="H629" s="23"/>
    </row>
    <row r="630" spans="1:8">
      <c r="A630" s="4"/>
      <c r="B630" s="4"/>
      <c r="C630" s="4"/>
      <c r="D630" s="757"/>
      <c r="E630" s="757"/>
      <c r="F630" s="757"/>
      <c r="G630" s="750"/>
      <c r="H630" s="23"/>
    </row>
    <row r="631" spans="1:8">
      <c r="A631" s="4"/>
      <c r="B631" s="4"/>
      <c r="C631" s="4"/>
      <c r="D631" s="757"/>
      <c r="E631" s="757"/>
      <c r="F631" s="757"/>
      <c r="G631" s="750"/>
      <c r="H631" s="23"/>
    </row>
    <row r="632" spans="1:8">
      <c r="A632" s="4"/>
      <c r="B632" s="4"/>
      <c r="C632" s="4"/>
      <c r="D632" s="757"/>
      <c r="E632" s="757"/>
      <c r="F632" s="757"/>
      <c r="G632" s="750"/>
      <c r="H632" s="23"/>
    </row>
    <row r="633" spans="1:8">
      <c r="A633" s="4"/>
      <c r="B633" s="4"/>
      <c r="C633" s="4"/>
      <c r="D633" s="757"/>
      <c r="E633" s="757"/>
      <c r="F633" s="757"/>
      <c r="G633" s="750"/>
      <c r="H633" s="23"/>
    </row>
    <row r="634" spans="1:8">
      <c r="A634" s="4"/>
      <c r="B634" s="4"/>
      <c r="C634" s="4"/>
      <c r="D634" s="757"/>
      <c r="E634" s="757"/>
      <c r="F634" s="757"/>
      <c r="G634" s="750"/>
      <c r="H634" s="23"/>
    </row>
    <row r="635" spans="1:8">
      <c r="A635" s="4"/>
      <c r="B635" s="4"/>
      <c r="C635" s="4"/>
      <c r="D635" s="757"/>
      <c r="E635" s="757"/>
      <c r="F635" s="757"/>
      <c r="G635" s="750"/>
      <c r="H635" s="23"/>
    </row>
    <row r="636" spans="1:8">
      <c r="A636" s="4"/>
      <c r="B636" s="4"/>
      <c r="C636" s="4"/>
      <c r="D636" s="757"/>
      <c r="E636" s="757"/>
      <c r="F636" s="757"/>
      <c r="G636" s="750"/>
      <c r="H636" s="23"/>
    </row>
    <row r="637" spans="1:8">
      <c r="A637" s="4"/>
      <c r="B637" s="4"/>
      <c r="C637" s="4"/>
      <c r="D637" s="757"/>
      <c r="E637" s="757"/>
      <c r="F637" s="757"/>
      <c r="G637" s="750"/>
      <c r="H637" s="23"/>
    </row>
    <row r="638" spans="1:8">
      <c r="A638" s="4"/>
      <c r="B638" s="4"/>
      <c r="C638" s="4"/>
      <c r="D638" s="757"/>
      <c r="E638" s="757"/>
      <c r="F638" s="757"/>
      <c r="G638" s="750"/>
      <c r="H638" s="23"/>
    </row>
    <row r="639" spans="1:8">
      <c r="A639" s="4"/>
      <c r="B639" s="4"/>
      <c r="C639" s="4"/>
      <c r="D639" s="757"/>
      <c r="E639" s="757"/>
      <c r="F639" s="757"/>
      <c r="G639" s="750"/>
      <c r="H639" s="23"/>
    </row>
    <row r="640" spans="1:8">
      <c r="A640" s="4"/>
      <c r="B640" s="4"/>
      <c r="C640" s="4"/>
      <c r="D640" s="757"/>
      <c r="E640" s="757"/>
      <c r="F640" s="757"/>
      <c r="G640" s="750"/>
      <c r="H640" s="23"/>
    </row>
    <row r="641" spans="1:8">
      <c r="A641" s="4"/>
      <c r="B641" s="4"/>
      <c r="C641" s="4"/>
      <c r="D641" s="757"/>
      <c r="E641" s="757"/>
      <c r="F641" s="757"/>
      <c r="G641" s="750"/>
      <c r="H641" s="23"/>
    </row>
    <row r="642" spans="1:8">
      <c r="A642" s="4"/>
      <c r="B642" s="4"/>
      <c r="C642" s="4"/>
      <c r="D642" s="757"/>
      <c r="E642" s="757"/>
      <c r="F642" s="757"/>
      <c r="G642" s="750"/>
      <c r="H642" s="23"/>
    </row>
    <row r="643" spans="1:8">
      <c r="A643" s="4"/>
      <c r="B643" s="4"/>
      <c r="C643" s="4"/>
      <c r="D643" s="757"/>
      <c r="E643" s="757"/>
      <c r="F643" s="757"/>
      <c r="G643" s="750"/>
      <c r="H643" s="23"/>
    </row>
    <row r="644" spans="1:8">
      <c r="A644" s="4"/>
      <c r="B644" s="4"/>
      <c r="C644" s="4"/>
      <c r="D644" s="757"/>
      <c r="E644" s="757"/>
      <c r="F644" s="757"/>
      <c r="G644" s="750"/>
      <c r="H644" s="23"/>
    </row>
    <row r="645" spans="1:8">
      <c r="A645" s="4"/>
      <c r="B645" s="4"/>
      <c r="C645" s="4"/>
      <c r="D645" s="757"/>
      <c r="E645" s="757"/>
      <c r="F645" s="757"/>
      <c r="G645" s="750"/>
      <c r="H645" s="23"/>
    </row>
    <row r="646" spans="1:8">
      <c r="A646" s="4"/>
      <c r="B646" s="4"/>
      <c r="C646" s="4"/>
      <c r="D646" s="757"/>
      <c r="E646" s="757"/>
      <c r="F646" s="757"/>
      <c r="G646" s="750"/>
      <c r="H646" s="23"/>
    </row>
    <row r="647" spans="1:8">
      <c r="A647" s="4"/>
      <c r="B647" s="4"/>
      <c r="C647" s="4"/>
      <c r="D647" s="757"/>
      <c r="E647" s="757"/>
      <c r="F647" s="757"/>
      <c r="G647" s="750"/>
      <c r="H647" s="23"/>
    </row>
    <row r="648" spans="1:8">
      <c r="A648" s="4"/>
      <c r="B648" s="4"/>
      <c r="C648" s="4"/>
      <c r="D648" s="757"/>
      <c r="E648" s="757"/>
      <c r="F648" s="757"/>
      <c r="G648" s="750"/>
      <c r="H648" s="23"/>
    </row>
    <row r="649" spans="1:8">
      <c r="A649" s="4"/>
      <c r="B649" s="4"/>
      <c r="C649" s="4"/>
      <c r="D649" s="757"/>
      <c r="E649" s="757"/>
      <c r="F649" s="757"/>
      <c r="G649" s="750"/>
      <c r="H649" s="23"/>
    </row>
    <row r="650" spans="1:8">
      <c r="A650" s="4"/>
      <c r="B650" s="4"/>
      <c r="C650" s="4"/>
      <c r="D650" s="757"/>
      <c r="E650" s="757"/>
      <c r="F650" s="757"/>
      <c r="G650" s="750"/>
      <c r="H650" s="23"/>
    </row>
    <row r="651" spans="1:8">
      <c r="A651" s="4"/>
      <c r="B651" s="4"/>
      <c r="C651" s="4"/>
      <c r="D651" s="757"/>
      <c r="E651" s="757"/>
      <c r="F651" s="757"/>
      <c r="G651" s="750"/>
      <c r="H651" s="23"/>
    </row>
    <row r="652" spans="1:8">
      <c r="A652" s="4"/>
      <c r="B652" s="4"/>
      <c r="C652" s="4"/>
      <c r="D652" s="757"/>
      <c r="E652" s="757"/>
      <c r="F652" s="757"/>
      <c r="G652" s="750"/>
      <c r="H652" s="23"/>
    </row>
    <row r="653" spans="1:8">
      <c r="A653" s="4"/>
      <c r="B653" s="4"/>
      <c r="C653" s="4"/>
      <c r="D653" s="757"/>
      <c r="E653" s="757"/>
      <c r="F653" s="757"/>
      <c r="G653" s="750"/>
      <c r="H653" s="23"/>
    </row>
    <row r="654" spans="1:8">
      <c r="A654" s="4"/>
      <c r="B654" s="4"/>
      <c r="C654" s="4"/>
      <c r="D654" s="757"/>
      <c r="E654" s="757"/>
      <c r="F654" s="757"/>
      <c r="G654" s="750"/>
      <c r="H654" s="23"/>
    </row>
    <row r="655" spans="1:8">
      <c r="A655" s="4"/>
      <c r="B655" s="4"/>
      <c r="C655" s="4"/>
      <c r="D655" s="757"/>
      <c r="E655" s="757"/>
      <c r="F655" s="757"/>
      <c r="G655" s="750"/>
      <c r="H655" s="23"/>
    </row>
    <row r="656" spans="1:8">
      <c r="A656" s="4"/>
      <c r="B656" s="4"/>
      <c r="C656" s="4"/>
      <c r="D656" s="757"/>
      <c r="E656" s="757"/>
      <c r="F656" s="757"/>
      <c r="G656" s="750"/>
      <c r="H656" s="23"/>
    </row>
    <row r="657" spans="1:8">
      <c r="A657" s="4"/>
      <c r="B657" s="4"/>
      <c r="C657" s="4"/>
      <c r="D657" s="757"/>
      <c r="E657" s="757"/>
      <c r="F657" s="757"/>
      <c r="G657" s="750"/>
      <c r="H657" s="23"/>
    </row>
    <row r="658" spans="1:8">
      <c r="A658" s="4"/>
      <c r="B658" s="4"/>
      <c r="C658" s="4"/>
      <c r="D658" s="757"/>
      <c r="E658" s="757"/>
      <c r="F658" s="757"/>
      <c r="G658" s="750"/>
      <c r="H658" s="23"/>
    </row>
    <row r="659" spans="1:8">
      <c r="A659" s="4"/>
      <c r="B659" s="4"/>
      <c r="C659" s="4"/>
      <c r="D659" s="757"/>
      <c r="E659" s="757"/>
      <c r="F659" s="757"/>
      <c r="G659" s="750"/>
      <c r="H659" s="23"/>
    </row>
    <row r="660" spans="1:8">
      <c r="A660" s="4"/>
      <c r="B660" s="4"/>
      <c r="C660" s="4"/>
      <c r="D660" s="757"/>
      <c r="E660" s="757"/>
      <c r="F660" s="757"/>
      <c r="G660" s="750"/>
      <c r="H660" s="23"/>
    </row>
    <row r="661" spans="1:8">
      <c r="A661" s="4"/>
      <c r="B661" s="4"/>
      <c r="C661" s="4"/>
      <c r="D661" s="757"/>
      <c r="E661" s="757"/>
      <c r="F661" s="757"/>
      <c r="G661" s="750"/>
      <c r="H661" s="23"/>
    </row>
    <row r="662" spans="1:8">
      <c r="A662" s="4"/>
      <c r="B662" s="4"/>
      <c r="C662" s="4"/>
      <c r="D662" s="757"/>
      <c r="E662" s="757"/>
      <c r="F662" s="757"/>
      <c r="G662" s="750"/>
      <c r="H662" s="23"/>
    </row>
    <row r="663" spans="1:8">
      <c r="A663" s="4"/>
      <c r="B663" s="4"/>
      <c r="C663" s="4"/>
      <c r="D663" s="757"/>
      <c r="E663" s="757"/>
      <c r="F663" s="757"/>
      <c r="G663" s="750"/>
      <c r="H663" s="23"/>
    </row>
    <row r="664" spans="1:8">
      <c r="A664" s="4"/>
      <c r="B664" s="4"/>
      <c r="C664" s="4"/>
      <c r="D664" s="757"/>
      <c r="E664" s="757"/>
      <c r="F664" s="757"/>
      <c r="G664" s="750"/>
      <c r="H664" s="23"/>
    </row>
    <row r="665" spans="1:8">
      <c r="A665" s="4"/>
      <c r="B665" s="4"/>
      <c r="C665" s="4"/>
      <c r="D665" s="757"/>
      <c r="E665" s="757"/>
      <c r="F665" s="757"/>
      <c r="G665" s="750"/>
      <c r="H665" s="23"/>
    </row>
    <row r="666" spans="1:8">
      <c r="A666" s="4"/>
      <c r="B666" s="4"/>
      <c r="C666" s="4"/>
      <c r="D666" s="757"/>
      <c r="E666" s="757"/>
      <c r="F666" s="757"/>
      <c r="G666" s="750"/>
      <c r="H666" s="23"/>
    </row>
    <row r="667" spans="1:8">
      <c r="A667" s="4"/>
      <c r="B667" s="4"/>
      <c r="C667" s="4"/>
      <c r="D667" s="757"/>
      <c r="E667" s="757"/>
      <c r="F667" s="757"/>
      <c r="G667" s="750"/>
      <c r="H667" s="23"/>
    </row>
    <row r="668" spans="1:8">
      <c r="A668" s="4"/>
      <c r="B668" s="4"/>
      <c r="C668" s="4"/>
      <c r="D668" s="757"/>
      <c r="E668" s="757"/>
      <c r="F668" s="757"/>
      <c r="G668" s="750"/>
      <c r="H668" s="23"/>
    </row>
    <row r="669" spans="1:8">
      <c r="A669" s="4"/>
      <c r="B669" s="4"/>
      <c r="C669" s="4"/>
      <c r="D669" s="757"/>
      <c r="E669" s="757"/>
      <c r="F669" s="757"/>
      <c r="G669" s="750"/>
      <c r="H669" s="23"/>
    </row>
    <row r="670" spans="1:8">
      <c r="A670" s="4"/>
      <c r="B670" s="4"/>
      <c r="C670" s="4"/>
      <c r="D670" s="757"/>
      <c r="E670" s="757"/>
      <c r="F670" s="757"/>
      <c r="G670" s="750"/>
      <c r="H670" s="23"/>
    </row>
    <row r="671" spans="1:8">
      <c r="A671" s="4"/>
      <c r="B671" s="4"/>
      <c r="C671" s="4"/>
      <c r="D671" s="757"/>
      <c r="E671" s="757"/>
      <c r="F671" s="757"/>
      <c r="G671" s="750"/>
      <c r="H671" s="23"/>
    </row>
    <row r="672" spans="1:8">
      <c r="A672" s="4"/>
      <c r="B672" s="4"/>
      <c r="C672" s="4"/>
      <c r="D672" s="757"/>
      <c r="E672" s="757"/>
      <c r="F672" s="757"/>
      <c r="G672" s="750"/>
      <c r="H672" s="23"/>
    </row>
    <row r="673" spans="1:8">
      <c r="A673" s="4"/>
      <c r="B673" s="4"/>
      <c r="C673" s="4"/>
      <c r="D673" s="757"/>
      <c r="E673" s="757"/>
      <c r="F673" s="757"/>
      <c r="G673" s="750"/>
      <c r="H673" s="23"/>
    </row>
    <row r="674" spans="1:8">
      <c r="A674" s="4"/>
      <c r="B674" s="4"/>
      <c r="C674" s="4"/>
      <c r="D674" s="757"/>
      <c r="E674" s="757"/>
      <c r="F674" s="757"/>
      <c r="G674" s="750"/>
      <c r="H674" s="23"/>
    </row>
    <row r="675" spans="1:8">
      <c r="A675" s="4"/>
      <c r="B675" s="4"/>
      <c r="C675" s="4"/>
      <c r="D675" s="757"/>
      <c r="E675" s="757"/>
      <c r="F675" s="757"/>
      <c r="G675" s="750"/>
      <c r="H675" s="23"/>
    </row>
    <row r="676" spans="1:8">
      <c r="A676" s="4"/>
      <c r="B676" s="4"/>
      <c r="C676" s="4"/>
      <c r="D676" s="757"/>
      <c r="E676" s="757"/>
      <c r="F676" s="757"/>
      <c r="G676" s="750"/>
      <c r="H676" s="23"/>
    </row>
    <row r="677" spans="1:8">
      <c r="A677" s="4"/>
      <c r="B677" s="4"/>
      <c r="C677" s="4"/>
      <c r="D677" s="757"/>
      <c r="E677" s="757"/>
      <c r="F677" s="757"/>
      <c r="G677" s="750"/>
      <c r="H677" s="23"/>
    </row>
    <row r="678" spans="1:8">
      <c r="A678" s="4"/>
      <c r="B678" s="4"/>
      <c r="C678" s="4"/>
      <c r="D678" s="757"/>
      <c r="E678" s="757"/>
      <c r="F678" s="757"/>
      <c r="G678" s="750"/>
      <c r="H678" s="23"/>
    </row>
    <row r="679" spans="1:8">
      <c r="A679" s="4"/>
      <c r="B679" s="4"/>
      <c r="C679" s="4"/>
      <c r="D679" s="757"/>
      <c r="E679" s="757"/>
      <c r="F679" s="757"/>
      <c r="G679" s="750"/>
      <c r="H679" s="23"/>
    </row>
    <row r="680" spans="1:8">
      <c r="A680" s="4"/>
      <c r="B680" s="4"/>
      <c r="C680" s="4"/>
      <c r="D680" s="757"/>
      <c r="E680" s="757"/>
      <c r="F680" s="757"/>
      <c r="G680" s="750"/>
      <c r="H680" s="23"/>
    </row>
    <row r="681" spans="1:8">
      <c r="A681" s="4"/>
      <c r="B681" s="4"/>
      <c r="C681" s="4"/>
      <c r="D681" s="757"/>
      <c r="E681" s="757"/>
      <c r="F681" s="757"/>
      <c r="G681" s="750"/>
      <c r="H681" s="23"/>
    </row>
    <row r="682" spans="1:8">
      <c r="A682" s="4"/>
      <c r="B682" s="4"/>
      <c r="C682" s="4"/>
      <c r="D682" s="757"/>
      <c r="E682" s="757"/>
      <c r="F682" s="757"/>
      <c r="G682" s="750"/>
      <c r="H682" s="23"/>
    </row>
    <row r="683" spans="1:8">
      <c r="A683" s="4"/>
      <c r="B683" s="4"/>
      <c r="C683" s="4"/>
      <c r="D683" s="757"/>
      <c r="E683" s="757"/>
      <c r="F683" s="757"/>
      <c r="G683" s="750"/>
      <c r="H683" s="23"/>
    </row>
    <row r="684" spans="1:8">
      <c r="A684" s="4"/>
      <c r="B684" s="4"/>
      <c r="C684" s="4"/>
      <c r="D684" s="757"/>
      <c r="E684" s="757"/>
      <c r="F684" s="757"/>
      <c r="G684" s="750"/>
      <c r="H684" s="23"/>
    </row>
    <row r="685" spans="1:8">
      <c r="A685" s="4"/>
      <c r="B685" s="4"/>
      <c r="C685" s="4"/>
      <c r="D685" s="757"/>
      <c r="E685" s="757"/>
      <c r="F685" s="757"/>
      <c r="G685" s="750"/>
      <c r="H685" s="23"/>
    </row>
    <row r="686" spans="1:8">
      <c r="A686" s="4"/>
      <c r="B686" s="4"/>
      <c r="C686" s="4"/>
      <c r="D686" s="757"/>
      <c r="E686" s="757"/>
      <c r="F686" s="757"/>
      <c r="G686" s="750"/>
      <c r="H686" s="23"/>
    </row>
    <row r="687" spans="1:8">
      <c r="A687" s="4"/>
      <c r="B687" s="4"/>
      <c r="C687" s="4"/>
      <c r="D687" s="757"/>
      <c r="E687" s="757"/>
      <c r="F687" s="757"/>
      <c r="G687" s="750"/>
      <c r="H687" s="23"/>
    </row>
    <row r="688" spans="1:8">
      <c r="A688" s="4"/>
      <c r="B688" s="4"/>
      <c r="C688" s="4"/>
      <c r="D688" s="757"/>
      <c r="E688" s="757"/>
      <c r="F688" s="757"/>
      <c r="G688" s="750"/>
      <c r="H688" s="23"/>
    </row>
  </sheetData>
  <sheetProtection password="C74A" sheet="1" objects="1" scenarios="1" formatCells="0" formatColumns="0" formatRows="0"/>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129">
    <mergeCell ref="A114:A117"/>
    <mergeCell ref="B114:B117"/>
    <mergeCell ref="A119:A122"/>
    <mergeCell ref="B64:B69"/>
    <mergeCell ref="A107:A113"/>
    <mergeCell ref="H85:H90"/>
    <mergeCell ref="H123:H127"/>
    <mergeCell ref="D157:F157"/>
    <mergeCell ref="D158:F158"/>
    <mergeCell ref="D156:H156"/>
    <mergeCell ref="B3:B9"/>
    <mergeCell ref="B143:B148"/>
    <mergeCell ref="A32:A36"/>
    <mergeCell ref="A85:A90"/>
    <mergeCell ref="B32:B36"/>
    <mergeCell ref="A79:A84"/>
    <mergeCell ref="B119:B122"/>
    <mergeCell ref="A123:A127"/>
    <mergeCell ref="A101:A106"/>
    <mergeCell ref="B85:B90"/>
    <mergeCell ref="B91:B96"/>
    <mergeCell ref="A72:A78"/>
    <mergeCell ref="B101:B106"/>
    <mergeCell ref="B79:B84"/>
    <mergeCell ref="B123:B127"/>
    <mergeCell ref="B97:B100"/>
    <mergeCell ref="A97:A100"/>
    <mergeCell ref="B107:B113"/>
    <mergeCell ref="B128:B134"/>
    <mergeCell ref="B135:B139"/>
    <mergeCell ref="A143:A148"/>
    <mergeCell ref="A135:A139"/>
    <mergeCell ref="A128:A134"/>
    <mergeCell ref="B59:B63"/>
    <mergeCell ref="A1:B1"/>
    <mergeCell ref="H25:H31"/>
    <mergeCell ref="H44:H48"/>
    <mergeCell ref="H3:H9"/>
    <mergeCell ref="B10:B17"/>
    <mergeCell ref="H10:H17"/>
    <mergeCell ref="A25:A31"/>
    <mergeCell ref="A44:A48"/>
    <mergeCell ref="B44:B48"/>
    <mergeCell ref="A37:A43"/>
    <mergeCell ref="B37:B43"/>
    <mergeCell ref="E1:I1"/>
    <mergeCell ref="I3:I9"/>
    <mergeCell ref="I10:I17"/>
    <mergeCell ref="I18:I24"/>
    <mergeCell ref="I25:I31"/>
    <mergeCell ref="A10:A17"/>
    <mergeCell ref="A3:A9"/>
    <mergeCell ref="B25:B31"/>
    <mergeCell ref="A18:A24"/>
    <mergeCell ref="B18:B24"/>
    <mergeCell ref="H37:H43"/>
    <mergeCell ref="H18:H24"/>
    <mergeCell ref="H32:H36"/>
    <mergeCell ref="B54:B58"/>
    <mergeCell ref="A54:A58"/>
    <mergeCell ref="A49:A53"/>
    <mergeCell ref="H97:H100"/>
    <mergeCell ref="A91:A96"/>
    <mergeCell ref="H79:H84"/>
    <mergeCell ref="B72:B78"/>
    <mergeCell ref="B49:B53"/>
    <mergeCell ref="H91:H96"/>
    <mergeCell ref="H72:H78"/>
    <mergeCell ref="H54:H58"/>
    <mergeCell ref="H49:H53"/>
    <mergeCell ref="A59:A63"/>
    <mergeCell ref="H59:H63"/>
    <mergeCell ref="A64:A69"/>
    <mergeCell ref="H64:H69"/>
    <mergeCell ref="I54:I58"/>
    <mergeCell ref="I59:I63"/>
    <mergeCell ref="I64:I69"/>
    <mergeCell ref="I72:I78"/>
    <mergeCell ref="I101:I106"/>
    <mergeCell ref="I32:I36"/>
    <mergeCell ref="I123:I127"/>
    <mergeCell ref="I37:I43"/>
    <mergeCell ref="I44:I48"/>
    <mergeCell ref="I49:I53"/>
    <mergeCell ref="I114:I117"/>
    <mergeCell ref="I119:I122"/>
    <mergeCell ref="I128:I134"/>
    <mergeCell ref="I135:I139"/>
    <mergeCell ref="I143:I148"/>
    <mergeCell ref="I79:I84"/>
    <mergeCell ref="I85:I90"/>
    <mergeCell ref="I91:I96"/>
    <mergeCell ref="I97:I100"/>
    <mergeCell ref="I107:I113"/>
    <mergeCell ref="H143:H148"/>
    <mergeCell ref="H135:H139"/>
    <mergeCell ref="H101:H106"/>
    <mergeCell ref="H128:H134"/>
    <mergeCell ref="H107:H113"/>
    <mergeCell ref="H119:H122"/>
    <mergeCell ref="H114:H117"/>
    <mergeCell ref="E159:F159"/>
    <mergeCell ref="D160:F160"/>
    <mergeCell ref="D161:F161"/>
    <mergeCell ref="H167:I167"/>
    <mergeCell ref="I151:I154"/>
    <mergeCell ref="A166:H166"/>
    <mergeCell ref="H151:H154"/>
    <mergeCell ref="H178:I178"/>
    <mergeCell ref="A151:A154"/>
    <mergeCell ref="A164:B165"/>
    <mergeCell ref="D163:H163"/>
    <mergeCell ref="C165:E165"/>
    <mergeCell ref="C164:E164"/>
    <mergeCell ref="B151:B154"/>
    <mergeCell ref="H164:I164"/>
    <mergeCell ref="H165:I165"/>
    <mergeCell ref="D162:F162"/>
    <mergeCell ref="H179:I179"/>
    <mergeCell ref="H173:I173"/>
    <mergeCell ref="H174:I174"/>
    <mergeCell ref="H175:I175"/>
    <mergeCell ref="H176:I176"/>
    <mergeCell ref="H177:I177"/>
    <mergeCell ref="H168:I168"/>
    <mergeCell ref="H169:I169"/>
    <mergeCell ref="H170:I170"/>
    <mergeCell ref="H171:I171"/>
    <mergeCell ref="H172:I172"/>
  </mergeCells>
  <phoneticPr fontId="2" type="noConversion"/>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sheetPr codeName="Sheet16"/>
  <dimension ref="A1:BX609"/>
  <sheetViews>
    <sheetView zoomScaleNormal="100" workbookViewId="0">
      <selection sqref="A1:B1"/>
    </sheetView>
  </sheetViews>
  <sheetFormatPr defaultColWidth="9.33203125" defaultRowHeight="13.8"/>
  <cols>
    <col min="1" max="1" width="5.77734375" style="87" customWidth="1"/>
    <col min="2" max="2" width="18.77734375" style="87" customWidth="1"/>
    <col min="3" max="3" width="69.77734375" style="45" customWidth="1"/>
    <col min="4" max="6" width="6.77734375" style="835" customWidth="1"/>
    <col min="7" max="7" width="9.77734375" style="836" customWidth="1"/>
    <col min="8" max="8" width="69.77734375" style="24" customWidth="1"/>
    <col min="9" max="9" width="11.77734375" style="12" customWidth="1"/>
    <col min="10" max="16384" width="9.33203125" style="61"/>
  </cols>
  <sheetData>
    <row r="1" spans="1:76" ht="51" customHeight="1" thickBot="1">
      <c r="A1" s="2470" t="s">
        <v>1643</v>
      </c>
      <c r="B1" s="2683"/>
      <c r="C1" s="124" t="s">
        <v>1256</v>
      </c>
      <c r="D1" s="154" t="s">
        <v>1243</v>
      </c>
      <c r="E1" s="2698"/>
      <c r="F1" s="2699"/>
      <c r="G1" s="2699"/>
      <c r="H1" s="2699"/>
      <c r="I1" s="2699"/>
    </row>
    <row r="2" spans="1:76" s="1794" customFormat="1" ht="36" customHeight="1" thickBot="1">
      <c r="A2" s="1595" t="s">
        <v>168</v>
      </c>
      <c r="B2" s="1555" t="s">
        <v>1381</v>
      </c>
      <c r="C2" s="1596" t="s">
        <v>1354</v>
      </c>
      <c r="D2" s="1792" t="s">
        <v>64</v>
      </c>
      <c r="E2" s="1576" t="s">
        <v>1383</v>
      </c>
      <c r="F2" s="1577" t="s">
        <v>1384</v>
      </c>
      <c r="G2" s="1578" t="s">
        <v>1293</v>
      </c>
      <c r="H2" s="1579" t="s">
        <v>1294</v>
      </c>
      <c r="I2" s="1648" t="s">
        <v>2622</v>
      </c>
      <c r="J2" s="1793"/>
      <c r="K2" s="1793"/>
      <c r="L2" s="1793"/>
      <c r="M2" s="1793"/>
      <c r="N2" s="1793"/>
      <c r="O2" s="1793"/>
      <c r="P2" s="1793"/>
      <c r="Q2" s="1793"/>
      <c r="R2" s="1793"/>
      <c r="S2" s="1793"/>
      <c r="T2" s="1793"/>
      <c r="U2" s="1793"/>
      <c r="V2" s="1793"/>
      <c r="W2" s="1793"/>
      <c r="X2" s="1793"/>
      <c r="Y2" s="1793"/>
      <c r="Z2" s="1793"/>
      <c r="AA2" s="1793"/>
      <c r="AB2" s="1793"/>
      <c r="AC2" s="1793"/>
      <c r="AD2" s="1793"/>
      <c r="AE2" s="1793"/>
      <c r="AF2" s="1793"/>
      <c r="AG2" s="1793"/>
      <c r="AH2" s="1793"/>
      <c r="AI2" s="1793"/>
      <c r="AJ2" s="1793"/>
      <c r="AK2" s="1793"/>
      <c r="AL2" s="1793"/>
      <c r="AM2" s="1793"/>
      <c r="AN2" s="1793"/>
      <c r="AO2" s="1793"/>
      <c r="AP2" s="1793"/>
      <c r="AQ2" s="1793"/>
      <c r="AR2" s="1793"/>
      <c r="AS2" s="1793"/>
      <c r="AT2" s="1793"/>
      <c r="AU2" s="1793"/>
      <c r="AV2" s="1793"/>
      <c r="AW2" s="1793"/>
      <c r="AX2" s="1793"/>
      <c r="AY2" s="1793"/>
      <c r="AZ2" s="1793"/>
      <c r="BA2" s="1793"/>
      <c r="BB2" s="1793"/>
      <c r="BC2" s="1793"/>
      <c r="BD2" s="1793"/>
      <c r="BE2" s="1793"/>
      <c r="BF2" s="1793"/>
      <c r="BG2" s="1793"/>
      <c r="BH2" s="1793"/>
      <c r="BI2" s="1793"/>
      <c r="BJ2" s="1793"/>
      <c r="BK2" s="1793"/>
      <c r="BL2" s="1793"/>
      <c r="BM2" s="1793"/>
      <c r="BN2" s="1793"/>
      <c r="BO2" s="1793"/>
      <c r="BP2" s="1793"/>
      <c r="BQ2" s="1793"/>
      <c r="BR2" s="1793"/>
      <c r="BS2" s="1793"/>
      <c r="BT2" s="1793"/>
      <c r="BU2" s="1793"/>
      <c r="BV2" s="1793"/>
      <c r="BW2" s="1793"/>
      <c r="BX2" s="1793"/>
    </row>
    <row r="3" spans="1:76" ht="31.2" customHeight="1" thickBot="1">
      <c r="A3" s="2718" t="str">
        <f>OF!A4</f>
        <v>OF1</v>
      </c>
      <c r="B3" s="2718" t="str">
        <f>OF!B4</f>
        <v>Wetland Herbaceous Area</v>
      </c>
      <c r="C3" s="794" t="str">
        <f>OF!C4</f>
        <v>From "duck's eye" (aerial) view, the area of herbaceous vegetation (grasslike plants, excluding moss &amp; ferns) in the Assessment Area (AA) plus in any contiguous herbaceous wetland is:</v>
      </c>
      <c r="D3" s="829"/>
      <c r="E3" s="365"/>
      <c r="F3" s="252"/>
      <c r="G3" s="809">
        <f>MAX(F4:F9)/MAX(E4:E9)</f>
        <v>0</v>
      </c>
      <c r="H3" s="2148" t="s">
        <v>2062</v>
      </c>
      <c r="I3" s="2611" t="s">
        <v>1984</v>
      </c>
    </row>
    <row r="4" spans="1:76" ht="15.6" customHeight="1">
      <c r="A4" s="2719"/>
      <c r="B4" s="2719"/>
      <c r="C4" s="803" t="str">
        <f>OF!C5</f>
        <v>&lt;0.01 hectare (about 10 m x 10 m)</v>
      </c>
      <c r="D4" s="349">
        <f>OF!D5</f>
        <v>0</v>
      </c>
      <c r="E4" s="360">
        <v>0</v>
      </c>
      <c r="F4" s="96">
        <f t="shared" ref="F4:F9" si="0">D4*E4</f>
        <v>0</v>
      </c>
      <c r="G4" s="811"/>
      <c r="H4" s="2146"/>
      <c r="I4" s="2612"/>
    </row>
    <row r="5" spans="1:76" ht="15.6" customHeight="1">
      <c r="A5" s="2719"/>
      <c r="B5" s="2719"/>
      <c r="C5" s="804" t="str">
        <f>OF!C6</f>
        <v>0.01 - 0.1 hectare</v>
      </c>
      <c r="D5" s="349">
        <f>OF!D6</f>
        <v>0</v>
      </c>
      <c r="E5" s="360">
        <v>1</v>
      </c>
      <c r="F5" s="96">
        <f t="shared" si="0"/>
        <v>0</v>
      </c>
      <c r="G5" s="811"/>
      <c r="H5" s="2146"/>
      <c r="I5" s="2612"/>
    </row>
    <row r="6" spans="1:76" ht="15.6" customHeight="1">
      <c r="A6" s="2719"/>
      <c r="B6" s="2719"/>
      <c r="C6" s="804" t="str">
        <f>OF!C7</f>
        <v>0.1 - 1 hectare</v>
      </c>
      <c r="D6" s="349">
        <f>OF!D7</f>
        <v>0</v>
      </c>
      <c r="E6" s="360">
        <v>2</v>
      </c>
      <c r="F6" s="96">
        <f t="shared" si="0"/>
        <v>0</v>
      </c>
      <c r="G6" s="811"/>
      <c r="H6" s="2146"/>
      <c r="I6" s="2612"/>
    </row>
    <row r="7" spans="1:76" ht="15.6" customHeight="1">
      <c r="A7" s="2719"/>
      <c r="B7" s="2719"/>
      <c r="C7" s="804" t="str">
        <f>OF!C8</f>
        <v>1 to 10 hectares</v>
      </c>
      <c r="D7" s="349">
        <f>OF!D8</f>
        <v>0</v>
      </c>
      <c r="E7" s="360">
        <v>4</v>
      </c>
      <c r="F7" s="96">
        <f t="shared" si="0"/>
        <v>0</v>
      </c>
      <c r="G7" s="811"/>
      <c r="H7" s="2146"/>
      <c r="I7" s="2612"/>
    </row>
    <row r="8" spans="1:76" ht="15.6" customHeight="1">
      <c r="A8" s="2719"/>
      <c r="B8" s="2719"/>
      <c r="C8" s="804" t="str">
        <f>OF!C9</f>
        <v>10 to 100 hectares</v>
      </c>
      <c r="D8" s="349">
        <f>OF!D9</f>
        <v>0</v>
      </c>
      <c r="E8" s="360">
        <v>5</v>
      </c>
      <c r="F8" s="96">
        <f t="shared" si="0"/>
        <v>0</v>
      </c>
      <c r="G8" s="811"/>
      <c r="H8" s="2146"/>
      <c r="I8" s="2612"/>
    </row>
    <row r="9" spans="1:76" ht="15.6" customHeight="1" thickBot="1">
      <c r="A9" s="2720"/>
      <c r="B9" s="2720"/>
      <c r="C9" s="797" t="str">
        <f>OF!C10</f>
        <v>&gt;100 hectares</v>
      </c>
      <c r="D9" s="346">
        <f>OF!D10</f>
        <v>0</v>
      </c>
      <c r="E9" s="360">
        <v>6</v>
      </c>
      <c r="F9" s="96">
        <f t="shared" si="0"/>
        <v>0</v>
      </c>
      <c r="G9" s="812"/>
      <c r="H9" s="2149"/>
      <c r="I9" s="2613"/>
    </row>
    <row r="10" spans="1:76" ht="21" customHeight="1" thickBot="1">
      <c r="A10" s="2729" t="str">
        <f>OF!A51</f>
        <v>OF10</v>
      </c>
      <c r="B10" s="2742" t="str">
        <f>OF!B51</f>
        <v>Distance to Nearest Maintained Road</v>
      </c>
      <c r="C10" s="776" t="str">
        <f>OF!C51</f>
        <v>From the center of the AA, the distance to the nearest maintained public road (dirt or paved) is:</v>
      </c>
      <c r="D10" s="252"/>
      <c r="E10" s="365"/>
      <c r="F10" s="218"/>
      <c r="G10" s="809">
        <f>MAX(F11:F16)/MAX(E11:E16)</f>
        <v>0</v>
      </c>
      <c r="H10" s="2148" t="s">
        <v>591</v>
      </c>
      <c r="I10" s="2611" t="s">
        <v>322</v>
      </c>
    </row>
    <row r="11" spans="1:76" ht="15" customHeight="1">
      <c r="A11" s="2734"/>
      <c r="B11" s="2725"/>
      <c r="C11" s="777" t="str">
        <f>OF!C52</f>
        <v>&lt;10 m</v>
      </c>
      <c r="D11" s="340">
        <f>OF!D52</f>
        <v>0</v>
      </c>
      <c r="E11" s="361">
        <v>0</v>
      </c>
      <c r="F11" s="96">
        <f t="shared" ref="F11:F16" si="1">D11*E11</f>
        <v>0</v>
      </c>
      <c r="G11" s="810"/>
      <c r="H11" s="2146"/>
      <c r="I11" s="2612"/>
    </row>
    <row r="12" spans="1:76" ht="15" customHeight="1">
      <c r="A12" s="2734"/>
      <c r="B12" s="2725"/>
      <c r="C12" s="778" t="str">
        <f>OF!C53</f>
        <v>10 - 25 m</v>
      </c>
      <c r="D12" s="341">
        <f>OF!D53</f>
        <v>0</v>
      </c>
      <c r="E12" s="361">
        <v>2</v>
      </c>
      <c r="F12" s="96">
        <f t="shared" si="1"/>
        <v>0</v>
      </c>
      <c r="G12" s="811"/>
      <c r="H12" s="2146"/>
      <c r="I12" s="2612"/>
    </row>
    <row r="13" spans="1:76" ht="15" customHeight="1">
      <c r="A13" s="2734"/>
      <c r="B13" s="2725"/>
      <c r="C13" s="778" t="str">
        <f>OF!C54</f>
        <v>25 - 50 m</v>
      </c>
      <c r="D13" s="341">
        <f>OF!D54</f>
        <v>0</v>
      </c>
      <c r="E13" s="361">
        <v>3</v>
      </c>
      <c r="F13" s="96">
        <f t="shared" si="1"/>
        <v>0</v>
      </c>
      <c r="G13" s="811"/>
      <c r="H13" s="2146"/>
      <c r="I13" s="2612"/>
    </row>
    <row r="14" spans="1:76" ht="15" customHeight="1">
      <c r="A14" s="2734"/>
      <c r="B14" s="2725"/>
      <c r="C14" s="778" t="str">
        <f>OF!C55</f>
        <v>50 - 100 m</v>
      </c>
      <c r="D14" s="341">
        <f>OF!D55</f>
        <v>0</v>
      </c>
      <c r="E14" s="361">
        <v>3</v>
      </c>
      <c r="F14" s="96">
        <f t="shared" si="1"/>
        <v>0</v>
      </c>
      <c r="G14" s="811"/>
      <c r="H14" s="2146"/>
      <c r="I14" s="2612"/>
    </row>
    <row r="15" spans="1:76" ht="15" customHeight="1">
      <c r="A15" s="2734"/>
      <c r="B15" s="2725"/>
      <c r="C15" s="778" t="str">
        <f>OF!C56</f>
        <v>100 - 500 m</v>
      </c>
      <c r="D15" s="341">
        <f>OF!D56</f>
        <v>0</v>
      </c>
      <c r="E15" s="361">
        <v>3</v>
      </c>
      <c r="F15" s="96">
        <f t="shared" si="1"/>
        <v>0</v>
      </c>
      <c r="G15" s="811"/>
      <c r="H15" s="2146"/>
      <c r="I15" s="2612"/>
    </row>
    <row r="16" spans="1:76" ht="15.6" customHeight="1" thickBot="1">
      <c r="A16" s="2735"/>
      <c r="B16" s="2743"/>
      <c r="C16" s="779" t="str">
        <f>OF!C57</f>
        <v>&gt;500 m</v>
      </c>
      <c r="D16" s="342">
        <f>OF!D57</f>
        <v>0</v>
      </c>
      <c r="E16" s="362">
        <v>3</v>
      </c>
      <c r="F16" s="216">
        <f t="shared" si="1"/>
        <v>0</v>
      </c>
      <c r="G16" s="812"/>
      <c r="H16" s="2149"/>
      <c r="I16" s="2613"/>
    </row>
    <row r="17" spans="1:9" ht="30" customHeight="1" thickBot="1">
      <c r="A17" s="2734" t="str">
        <f>OF!A59</f>
        <v>OF12</v>
      </c>
      <c r="B17" s="2725" t="str">
        <f>OF!B59</f>
        <v>Distance to Ponded Water</v>
      </c>
      <c r="C17" s="780" t="str">
        <f>OF!C59</f>
        <v>The distance from the AA edge to the closest (but separate) pond or lake is:</v>
      </c>
      <c r="D17" s="813"/>
      <c r="E17" s="360"/>
      <c r="F17" s="102"/>
      <c r="G17" s="1134" t="str">
        <f>IF((FenMarsh=1),MAX(F18:F24)/MAX(E18:E24),"")</f>
        <v/>
      </c>
      <c r="H17" s="2146" t="s">
        <v>1843</v>
      </c>
      <c r="I17" s="2611" t="s">
        <v>323</v>
      </c>
    </row>
    <row r="18" spans="1:9" ht="31.2" customHeight="1">
      <c r="A18" s="2730"/>
      <c r="B18" s="2726"/>
      <c r="C18" s="777" t="str">
        <f>OF!C60</f>
        <v xml:space="preserve">&lt;50 m, and not separated by any width of roads, stretches of open water, row crops, lawn, bare ground, or impervious surface. </v>
      </c>
      <c r="D18" s="340">
        <f>OF!D60</f>
        <v>0</v>
      </c>
      <c r="E18" s="361">
        <v>6</v>
      </c>
      <c r="F18" s="96">
        <f t="shared" ref="F18:F24" si="2">D18*E18</f>
        <v>0</v>
      </c>
      <c r="G18" s="1130"/>
      <c r="H18" s="2146"/>
      <c r="I18" s="2612"/>
    </row>
    <row r="19" spans="1:9" ht="15" customHeight="1">
      <c r="A19" s="2730"/>
      <c r="B19" s="2726"/>
      <c r="C19" s="777" t="str">
        <f>OF!C61</f>
        <v>&lt;50 m, but completely separated by those features.</v>
      </c>
      <c r="D19" s="340">
        <f>OF!D61</f>
        <v>0</v>
      </c>
      <c r="E19" s="361">
        <v>5</v>
      </c>
      <c r="F19" s="96">
        <f t="shared" si="2"/>
        <v>0</v>
      </c>
      <c r="G19" s="821"/>
      <c r="H19" s="2146"/>
      <c r="I19" s="2612"/>
    </row>
    <row r="20" spans="1:9" ht="15" customHeight="1">
      <c r="A20" s="2730"/>
      <c r="B20" s="2726"/>
      <c r="C20" s="777" t="str">
        <f>OF!C62</f>
        <v>50-500 m, and not separated.</v>
      </c>
      <c r="D20" s="340">
        <f>OF!D62</f>
        <v>0</v>
      </c>
      <c r="E20" s="361">
        <v>4</v>
      </c>
      <c r="F20" s="96">
        <f t="shared" si="2"/>
        <v>0</v>
      </c>
      <c r="G20" s="821"/>
      <c r="H20" s="2146"/>
      <c r="I20" s="2612"/>
    </row>
    <row r="21" spans="1:9" ht="15" customHeight="1">
      <c r="A21" s="2730"/>
      <c r="B21" s="2726"/>
      <c r="C21" s="777" t="str">
        <f>OF!C63</f>
        <v>50-500 m, but separated by those features.</v>
      </c>
      <c r="D21" s="340">
        <f>OF!D63</f>
        <v>0</v>
      </c>
      <c r="E21" s="361">
        <v>3</v>
      </c>
      <c r="F21" s="96">
        <f t="shared" si="2"/>
        <v>0</v>
      </c>
      <c r="G21" s="821"/>
      <c r="H21" s="2146"/>
      <c r="I21" s="2612"/>
    </row>
    <row r="22" spans="1:9" ht="15" customHeight="1">
      <c r="A22" s="2730"/>
      <c r="B22" s="2726"/>
      <c r="C22" s="777" t="str">
        <f>OF!C64</f>
        <v>0.5 - 1 km, and not separated.</v>
      </c>
      <c r="D22" s="340">
        <f>OF!D64</f>
        <v>0</v>
      </c>
      <c r="E22" s="361">
        <v>2</v>
      </c>
      <c r="F22" s="96">
        <f t="shared" si="2"/>
        <v>0</v>
      </c>
      <c r="G22" s="821"/>
      <c r="H22" s="2146"/>
      <c r="I22" s="2612"/>
    </row>
    <row r="23" spans="1:9" ht="15" customHeight="1">
      <c r="A23" s="2730"/>
      <c r="B23" s="2726"/>
      <c r="C23" s="777" t="str">
        <f>OF!C65</f>
        <v>0.5 - 1 km, but separated by those features.</v>
      </c>
      <c r="D23" s="340">
        <f>OF!D65</f>
        <v>0</v>
      </c>
      <c r="E23" s="364">
        <v>1</v>
      </c>
      <c r="F23" s="815">
        <f t="shared" si="2"/>
        <v>0</v>
      </c>
      <c r="G23" s="1131"/>
      <c r="H23" s="2146"/>
      <c r="I23" s="2612"/>
    </row>
    <row r="24" spans="1:9" ht="15" customHeight="1" thickBot="1">
      <c r="A24" s="2731"/>
      <c r="B24" s="2727"/>
      <c r="C24" s="807" t="str">
        <f>OF!C66</f>
        <v>none of the above (the closest patches or corridors that large are &gt;1 km away).</v>
      </c>
      <c r="D24" s="808">
        <f>OF!D66</f>
        <v>0</v>
      </c>
      <c r="E24" s="362">
        <v>0</v>
      </c>
      <c r="F24" s="216">
        <f t="shared" si="2"/>
        <v>0</v>
      </c>
      <c r="G24" s="822"/>
      <c r="H24" s="2149"/>
      <c r="I24" s="2613"/>
    </row>
    <row r="25" spans="1:9" ht="32.4" customHeight="1" thickBot="1">
      <c r="A25" s="2729" t="str">
        <f>OF!A67</f>
        <v>OF13</v>
      </c>
      <c r="B25" s="2742" t="str">
        <f>OF!B67</f>
        <v>Distance to Lake</v>
      </c>
      <c r="C25" s="776" t="str">
        <f>OF!C67</f>
        <v>The distance from the AA edge to the closest (but separate) lake (a non-tidal body of water that is ponded during most of the year and is larger than 8 hectares) during most of a normal year is:</v>
      </c>
      <c r="D25" s="252"/>
      <c r="E25" s="365"/>
      <c r="F25" s="817"/>
      <c r="G25" s="809" t="str">
        <f>IF((FenMarsh=1),MAX(F26:F31)/MAX(E26:E31),"")</f>
        <v/>
      </c>
      <c r="H25" s="2148" t="s">
        <v>2633</v>
      </c>
      <c r="I25" s="2611" t="s">
        <v>324</v>
      </c>
    </row>
    <row r="26" spans="1:9" ht="15" customHeight="1">
      <c r="A26" s="2730"/>
      <c r="B26" s="2726"/>
      <c r="C26" s="777" t="str">
        <f>OF!C68</f>
        <v>&lt;100 m</v>
      </c>
      <c r="D26" s="340">
        <f>OF!D68</f>
        <v>0</v>
      </c>
      <c r="E26" s="361">
        <v>5</v>
      </c>
      <c r="F26" s="96">
        <f>LakeNear13*E26</f>
        <v>0</v>
      </c>
      <c r="G26" s="810"/>
      <c r="H26" s="2146"/>
      <c r="I26" s="2612"/>
    </row>
    <row r="27" spans="1:9" ht="15" customHeight="1">
      <c r="A27" s="2730"/>
      <c r="B27" s="2726"/>
      <c r="C27" s="777" t="str">
        <f>OF!C69</f>
        <v>100 m - 1 km</v>
      </c>
      <c r="D27" s="340">
        <f>OF!D69</f>
        <v>0</v>
      </c>
      <c r="E27" s="361">
        <v>4</v>
      </c>
      <c r="F27" s="96">
        <f>LakeNear13*E27</f>
        <v>0</v>
      </c>
      <c r="G27" s="810"/>
      <c r="H27" s="2146"/>
      <c r="I27" s="2612"/>
    </row>
    <row r="28" spans="1:9" ht="15" customHeight="1">
      <c r="A28" s="2730"/>
      <c r="B28" s="2726"/>
      <c r="C28" s="777" t="str">
        <f>OF!C70</f>
        <v>1 -2 km</v>
      </c>
      <c r="D28" s="340">
        <f>OF!D70</f>
        <v>0</v>
      </c>
      <c r="E28" s="361">
        <v>3</v>
      </c>
      <c r="F28" s="96">
        <f>LakeNear13*E28</f>
        <v>0</v>
      </c>
      <c r="G28" s="810"/>
      <c r="H28" s="2146"/>
      <c r="I28" s="2612"/>
    </row>
    <row r="29" spans="1:9" ht="15" customHeight="1">
      <c r="A29" s="2730"/>
      <c r="B29" s="2726"/>
      <c r="C29" s="777" t="str">
        <f>OF!C71</f>
        <v>2-5 km</v>
      </c>
      <c r="D29" s="340">
        <f>OF!D71</f>
        <v>0</v>
      </c>
      <c r="E29" s="361">
        <v>2</v>
      </c>
      <c r="F29" s="96">
        <f>LakeNear13*E29</f>
        <v>0</v>
      </c>
      <c r="G29" s="810"/>
      <c r="H29" s="2146"/>
      <c r="I29" s="2612"/>
    </row>
    <row r="30" spans="1:9" ht="15" customHeight="1">
      <c r="A30" s="2730"/>
      <c r="B30" s="2726"/>
      <c r="C30" s="777" t="str">
        <f>OF!C72</f>
        <v>5-10 km</v>
      </c>
      <c r="D30" s="340">
        <f>OF!D72</f>
        <v>0</v>
      </c>
      <c r="E30" s="361">
        <v>1</v>
      </c>
      <c r="F30" s="96">
        <f>D30*E30</f>
        <v>0</v>
      </c>
      <c r="G30" s="811"/>
      <c r="H30" s="2146"/>
      <c r="I30" s="2612"/>
    </row>
    <row r="31" spans="1:9" ht="15.6" customHeight="1" thickBot="1">
      <c r="A31" s="2731"/>
      <c r="B31" s="2727"/>
      <c r="C31" s="807" t="str">
        <f>OF!C73</f>
        <v>&gt;10 km</v>
      </c>
      <c r="D31" s="808">
        <f>OF!D73</f>
        <v>0</v>
      </c>
      <c r="E31" s="362">
        <v>0</v>
      </c>
      <c r="F31" s="216">
        <f>D31*E31</f>
        <v>0</v>
      </c>
      <c r="G31" s="812"/>
      <c r="H31" s="2149"/>
      <c r="I31" s="2613"/>
    </row>
    <row r="32" spans="1:9" s="60" customFormat="1" ht="45" customHeight="1" thickBot="1">
      <c r="A32" s="2732" t="str">
        <f>OF!A95</f>
        <v>OF21</v>
      </c>
      <c r="B32" s="2728" t="str">
        <f>OF!B95</f>
        <v xml:space="preserve">Degraded Water Upstream </v>
      </c>
      <c r="C32" s="792" t="str">
        <f>OF!C95</f>
        <v xml:space="preserve">Sampling indicates a problem with concentrations of metals, hydrocarbons, nutrients, or other substances (excluding bacteria, high temperatures) being present at levels harmful to aquatic life or humans, and:  </v>
      </c>
      <c r="D32" s="813"/>
      <c r="E32" s="391"/>
      <c r="F32" s="702"/>
      <c r="G32" s="538">
        <f>IF((D36=1),"", IF((D35=1),1, IF((D34=1),0.2, 0)))</f>
        <v>0</v>
      </c>
      <c r="H32" s="2146" t="s">
        <v>357</v>
      </c>
      <c r="I32" s="2611" t="s">
        <v>751</v>
      </c>
    </row>
    <row r="33" spans="1:76" s="60" customFormat="1" ht="15" customHeight="1">
      <c r="A33" s="2732"/>
      <c r="B33" s="2728"/>
      <c r="C33" s="227" t="str">
        <f>OF!C96</f>
        <v>The condition is present within the AA.</v>
      </c>
      <c r="D33" s="344">
        <f>OF!D96</f>
        <v>0</v>
      </c>
      <c r="E33" s="385"/>
      <c r="F33" s="385"/>
      <c r="G33" s="629"/>
      <c r="H33" s="2146"/>
      <c r="I33" s="2612"/>
    </row>
    <row r="34" spans="1:76" s="60" customFormat="1" ht="27" customHeight="1">
      <c r="A34" s="2732"/>
      <c r="B34" s="2728"/>
      <c r="C34" s="793" t="str">
        <f>OF!C97</f>
        <v>The condition is present in waters within 1 km that flow into the AA, but has not been documented in the AA itself.</v>
      </c>
      <c r="D34" s="345">
        <f>OF!D97</f>
        <v>0</v>
      </c>
      <c r="E34" s="385"/>
      <c r="F34" s="385"/>
      <c r="G34" s="630"/>
      <c r="H34" s="2146"/>
      <c r="I34" s="2612"/>
    </row>
    <row r="35" spans="1:76" s="60" customFormat="1" ht="27" customHeight="1">
      <c r="A35" s="2732"/>
      <c r="B35" s="2728"/>
      <c r="C35" s="793" t="str">
        <f>OF!C98</f>
        <v>Sampling during both low water periods and times with high runoff (storms, snowmelt) indicates no problems in either the AA or inflowing waters.</v>
      </c>
      <c r="D35" s="345">
        <f>OF!D98</f>
        <v>0</v>
      </c>
      <c r="E35" s="385"/>
      <c r="F35" s="385"/>
      <c r="G35" s="630"/>
      <c r="H35" s="2146"/>
      <c r="I35" s="2612"/>
    </row>
    <row r="36" spans="1:76" s="60" customFormat="1" ht="27" customHeight="1" thickBot="1">
      <c r="A36" s="2733"/>
      <c r="B36" s="2728"/>
      <c r="C36" s="793" t="str">
        <f>OF!C99</f>
        <v>Data are insufficient (no or inadequate sampling within 1 km, or condition exists only at &gt;1 km upstream). This is the situation for nearly all NB wetlands.</v>
      </c>
      <c r="D36" s="345">
        <f>OF!D99</f>
        <v>0</v>
      </c>
      <c r="E36" s="387"/>
      <c r="F36" s="387"/>
      <c r="G36" s="639"/>
      <c r="H36" s="2146"/>
      <c r="I36" s="2613"/>
    </row>
    <row r="37" spans="1:76" ht="18.600000000000001" customHeight="1" thickBot="1">
      <c r="A37" s="2739" t="str">
        <f>OF!A136</f>
        <v>OF29</v>
      </c>
      <c r="B37" s="2736" t="str">
        <f>OF!B136</f>
        <v>Fish Access or Use</v>
      </c>
      <c r="C37" s="788" t="str">
        <f>OF!C136</f>
        <v>According to agency biologists and/or your own observations, the AA: [mark just the first choice that is true]:</v>
      </c>
      <c r="D37" s="252"/>
      <c r="E37" s="365"/>
      <c r="F37" s="252"/>
      <c r="G37" s="820" t="str">
        <f>IF((NoPonded=1),"",IF((D41=1),1, ""))</f>
        <v/>
      </c>
      <c r="H37" s="2148" t="s">
        <v>1576</v>
      </c>
      <c r="I37" s="2611" t="s">
        <v>1332</v>
      </c>
    </row>
    <row r="38" spans="1:76" ht="15" customHeight="1">
      <c r="A38" s="2740"/>
      <c r="B38" s="2737"/>
      <c r="C38" s="789" t="str">
        <f>OF!C137</f>
        <v xml:space="preserve">is known to support Atlantic salmon rearing and/or spawning.  In NB, consult Figure A-2 in Appendix A of the Manual, or local fishery biologists. </v>
      </c>
      <c r="D38" s="340">
        <f>OF!D137</f>
        <v>0</v>
      </c>
      <c r="E38" s="361">
        <v>1</v>
      </c>
      <c r="F38" s="96">
        <f>D38*E38</f>
        <v>0</v>
      </c>
      <c r="G38" s="821"/>
      <c r="H38" s="2146"/>
      <c r="I38" s="2612"/>
    </row>
    <row r="39" spans="1:76" ht="27" customHeight="1">
      <c r="A39" s="2740"/>
      <c r="B39" s="2737"/>
      <c r="C39" s="790" t="str">
        <f>OF!C138</f>
        <v xml:space="preserve">is connected to nearby waters containing Atlantic salmon and is probably salmon-accessible during some conditions, but anadromous salmon have not been documented in the AA. </v>
      </c>
      <c r="D39" s="341">
        <f>OF!D138</f>
        <v>0</v>
      </c>
      <c r="E39" s="361">
        <v>1</v>
      </c>
      <c r="F39" s="96">
        <f>D39*E39</f>
        <v>0</v>
      </c>
      <c r="G39" s="821"/>
      <c r="H39" s="2146"/>
      <c r="I39" s="2612"/>
    </row>
    <row r="40" spans="1:76" ht="27" customHeight="1">
      <c r="A40" s="2740"/>
      <c r="B40" s="2737"/>
      <c r="C40" s="790" t="str">
        <f>OF!C139</f>
        <v>is not connected to nearby salmon waters, but is known or likely to have other fish at least seasonally.  In NB: includes but not limited to:  http://www2.gnb.ca/content/gnb/en/departments/natural_resources/fish/content/StockedWaters.html</v>
      </c>
      <c r="D40" s="341">
        <f>OF!D139</f>
        <v>0</v>
      </c>
      <c r="E40" s="361">
        <v>1</v>
      </c>
      <c r="F40" s="96">
        <f>D40*E40</f>
        <v>0</v>
      </c>
      <c r="G40" s="821"/>
      <c r="H40" s="2146"/>
      <c r="I40" s="2612"/>
    </row>
    <row r="41" spans="1:76" ht="17.399999999999999" customHeight="1" thickBot="1">
      <c r="A41" s="2741"/>
      <c r="B41" s="2738"/>
      <c r="C41" s="791" t="str">
        <f>OF!C140</f>
        <v xml:space="preserve">is known or likely to be fishless (e.g., too small, dry, and/or not accessible even temporarily). </v>
      </c>
      <c r="D41" s="342">
        <f>OF!D140</f>
        <v>0</v>
      </c>
      <c r="E41" s="362">
        <v>2</v>
      </c>
      <c r="F41" s="216">
        <f>D41*E41</f>
        <v>0</v>
      </c>
      <c r="G41" s="822"/>
      <c r="H41" s="2149"/>
      <c r="I41" s="2613"/>
    </row>
    <row r="42" spans="1:76" ht="33" customHeight="1" thickBot="1">
      <c r="A42" s="206" t="str">
        <f>OF!A148</f>
        <v>OF32</v>
      </c>
      <c r="B42" s="206" t="str">
        <f>OF!B148</f>
        <v>Black Duck Nesting Area</v>
      </c>
      <c r="C42" s="1248" t="str">
        <f>OF!C148</f>
        <v>The AA is within an area mapped as generally high suitability (&gt;20 pairs/25 sq km) for nesting American Black Duck.  See Figure A-5 in Appendix A of the Manual.  Enter 1= yes, 0= no.</v>
      </c>
      <c r="D42" s="1803">
        <f>OF!D148</f>
        <v>0</v>
      </c>
      <c r="E42" s="384"/>
      <c r="F42" s="213"/>
      <c r="G42" s="1382" t="str">
        <f>IF((D42=1),1,"")</f>
        <v/>
      </c>
      <c r="H42" s="136" t="s">
        <v>1987</v>
      </c>
      <c r="I42" s="1709" t="s">
        <v>1985</v>
      </c>
    </row>
    <row r="43" spans="1:76" s="85" customFormat="1" ht="21" customHeight="1" thickBot="1">
      <c r="A43" s="2718" t="str">
        <f>F!A4</f>
        <v>F1</v>
      </c>
      <c r="B43" s="2719" t="str">
        <f>F!B4</f>
        <v>Wetland Type</v>
      </c>
      <c r="C43" s="802" t="str">
        <f>F!C4</f>
        <v>The vegetated part of the Assessment Area (AA) is mostly a (select ONE):</v>
      </c>
      <c r="D43" s="813"/>
      <c r="E43" s="391"/>
      <c r="F43" s="382"/>
      <c r="G43" s="506">
        <f>MAX(F44:F47)/MAX(E44:E47)</f>
        <v>0</v>
      </c>
      <c r="H43" s="2146" t="s">
        <v>1872</v>
      </c>
      <c r="I43" s="2148" t="s">
        <v>303</v>
      </c>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row>
    <row r="44" spans="1:76" s="85" customFormat="1" ht="55.2">
      <c r="A44" s="2719"/>
      <c r="B44" s="2719"/>
      <c r="C44" s="795"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44" s="344">
        <f>F!D5</f>
        <v>0</v>
      </c>
      <c r="E44" s="391">
        <v>1</v>
      </c>
      <c r="F44" s="385">
        <f>D44*E44</f>
        <v>0</v>
      </c>
      <c r="G44" s="382"/>
      <c r="H44" s="2146"/>
      <c r="I44" s="214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c r="BW44" s="56"/>
      <c r="BX44" s="56"/>
    </row>
    <row r="45" spans="1:76" s="85" customFormat="1" ht="69">
      <c r="A45" s="2719"/>
      <c r="B45" s="2719"/>
      <c r="C45" s="796"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45" s="345">
        <f>F!D6</f>
        <v>0</v>
      </c>
      <c r="E45" s="391">
        <v>2</v>
      </c>
      <c r="F45" s="385">
        <f>D45*E45</f>
        <v>0</v>
      </c>
      <c r="G45" s="382"/>
      <c r="H45" s="2146"/>
      <c r="I45" s="214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row>
    <row r="46" spans="1:76" s="85" customFormat="1" ht="69">
      <c r="A46" s="2719"/>
      <c r="B46" s="2719"/>
      <c r="C46" s="796"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46" s="345">
        <f>F!D7</f>
        <v>0</v>
      </c>
      <c r="E46" s="391">
        <v>3</v>
      </c>
      <c r="F46" s="385">
        <f>D46*E46</f>
        <v>0</v>
      </c>
      <c r="G46" s="382"/>
      <c r="H46" s="2146"/>
      <c r="I46" s="214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row>
    <row r="47" spans="1:76" s="85" customFormat="1" ht="69.599999999999994" thickBot="1">
      <c r="A47" s="2720"/>
      <c r="B47" s="2720"/>
      <c r="C47" s="796"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47" s="345">
        <f>F!D8</f>
        <v>0</v>
      </c>
      <c r="E47" s="391">
        <v>4</v>
      </c>
      <c r="F47" s="385">
        <f>D47*E47</f>
        <v>0</v>
      </c>
      <c r="G47" s="382"/>
      <c r="H47" s="2146"/>
      <c r="I47" s="2149"/>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row>
    <row r="48" spans="1:76" s="86" customFormat="1" ht="45" customHeight="1" thickBot="1">
      <c r="A48" s="2729" t="str">
        <f>F!A21</f>
        <v>F4</v>
      </c>
      <c r="B48" s="2742" t="str">
        <f>F!B21</f>
        <v>Woody Diameter Classes</v>
      </c>
      <c r="C48" s="776" t="str">
        <f>F!C21</f>
        <v>Mark ALL the types that comprise &gt;5% of the woody canopy cover in the AA or &gt;5% of the wooded areas (if any) along its upland edge (perimeter).  The edge should include only the trees whose canopies extend into the AA.</v>
      </c>
      <c r="D48" s="252"/>
      <c r="E48" s="499"/>
      <c r="F48" s="817"/>
      <c r="G48" s="828" t="str">
        <f>IF((SUM(F!D15:D18)=0),"",  (MAX(F49:F56)/MAX(E49:E56)))</f>
        <v/>
      </c>
      <c r="H48" s="2148" t="s">
        <v>1411</v>
      </c>
      <c r="I48" s="2411" t="s">
        <v>315</v>
      </c>
    </row>
    <row r="49" spans="1:9" s="86" customFormat="1" ht="15" customHeight="1">
      <c r="A49" s="2734"/>
      <c r="B49" s="2725"/>
      <c r="C49" s="777" t="str">
        <f>F!C22</f>
        <v>coniferous, 1-9 cm diameter and &gt;1 m tall.</v>
      </c>
      <c r="D49" s="340">
        <f>F!D22</f>
        <v>0</v>
      </c>
      <c r="E49" s="385">
        <v>0</v>
      </c>
      <c r="F49" s="96">
        <f t="shared" ref="F49:F56" si="3">D49*E49</f>
        <v>0</v>
      </c>
      <c r="G49" s="810"/>
      <c r="H49" s="2146"/>
      <c r="I49" s="2412"/>
    </row>
    <row r="50" spans="1:9" s="86" customFormat="1" ht="15" customHeight="1">
      <c r="A50" s="2734"/>
      <c r="B50" s="2725"/>
      <c r="C50" s="778" t="str">
        <f>F!C23</f>
        <v>broad-leaved deciduous 1-9 cm diameter and &gt;1 m tall.</v>
      </c>
      <c r="D50" s="341">
        <f>F!D23</f>
        <v>0</v>
      </c>
      <c r="E50" s="385">
        <v>0</v>
      </c>
      <c r="F50" s="96">
        <f t="shared" si="3"/>
        <v>0</v>
      </c>
      <c r="G50" s="811"/>
      <c r="H50" s="2146"/>
      <c r="I50" s="2412"/>
    </row>
    <row r="51" spans="1:9" s="86" customFormat="1" ht="15" customHeight="1">
      <c r="A51" s="2734"/>
      <c r="B51" s="2725"/>
      <c r="C51" s="778" t="str">
        <f>F!C24</f>
        <v>coniferous, 10-19 cm diameter.</v>
      </c>
      <c r="D51" s="341">
        <f>F!D24</f>
        <v>0</v>
      </c>
      <c r="E51" s="385">
        <v>0</v>
      </c>
      <c r="F51" s="96">
        <f t="shared" si="3"/>
        <v>0</v>
      </c>
      <c r="G51" s="811"/>
      <c r="H51" s="2146"/>
      <c r="I51" s="2412"/>
    </row>
    <row r="52" spans="1:9" s="86" customFormat="1" ht="15" customHeight="1">
      <c r="A52" s="2734"/>
      <c r="B52" s="2725"/>
      <c r="C52" s="778" t="str">
        <f>F!C25</f>
        <v>broad-leaved deciduous 10-19 cm diameter.</v>
      </c>
      <c r="D52" s="341">
        <f>F!D25</f>
        <v>0</v>
      </c>
      <c r="E52" s="385">
        <v>0</v>
      </c>
      <c r="F52" s="96">
        <f t="shared" si="3"/>
        <v>0</v>
      </c>
      <c r="G52" s="811"/>
      <c r="H52" s="2146"/>
      <c r="I52" s="2412"/>
    </row>
    <row r="53" spans="1:9" s="86" customFormat="1" ht="15" customHeight="1">
      <c r="A53" s="2734"/>
      <c r="B53" s="2725"/>
      <c r="C53" s="778" t="str">
        <f>F!C26</f>
        <v>coniferous, 20-40 cm diameter.</v>
      </c>
      <c r="D53" s="341">
        <f>F!D26</f>
        <v>0</v>
      </c>
      <c r="E53" s="385">
        <v>2</v>
      </c>
      <c r="F53" s="96">
        <f t="shared" si="3"/>
        <v>0</v>
      </c>
      <c r="G53" s="811"/>
      <c r="H53" s="2146"/>
      <c r="I53" s="2412"/>
    </row>
    <row r="54" spans="1:9" s="86" customFormat="1" ht="15" customHeight="1">
      <c r="A54" s="2734"/>
      <c r="B54" s="2725"/>
      <c r="C54" s="778" t="str">
        <f>F!C27</f>
        <v>broad-leaved deciduous 20-40 cm diameter.</v>
      </c>
      <c r="D54" s="341">
        <f>F!D27</f>
        <v>0</v>
      </c>
      <c r="E54" s="385">
        <v>2</v>
      </c>
      <c r="F54" s="96">
        <f t="shared" si="3"/>
        <v>0</v>
      </c>
      <c r="G54" s="811"/>
      <c r="H54" s="2146"/>
      <c r="I54" s="2412"/>
    </row>
    <row r="55" spans="1:9" s="86" customFormat="1" ht="15" customHeight="1">
      <c r="A55" s="2734"/>
      <c r="B55" s="2725"/>
      <c r="C55" s="778" t="str">
        <f>F!C28</f>
        <v>coniferous, &gt;40 cm diameter.</v>
      </c>
      <c r="D55" s="341">
        <f>F!D28</f>
        <v>0</v>
      </c>
      <c r="E55" s="385">
        <v>3</v>
      </c>
      <c r="F55" s="96">
        <f t="shared" si="3"/>
        <v>0</v>
      </c>
      <c r="G55" s="811"/>
      <c r="H55" s="2146"/>
      <c r="I55" s="2412"/>
    </row>
    <row r="56" spans="1:9" s="86" customFormat="1" ht="15" customHeight="1" thickBot="1">
      <c r="A56" s="2735"/>
      <c r="B56" s="2743"/>
      <c r="C56" s="779" t="str">
        <f>F!C29</f>
        <v>broad-leaved deciduous &gt;40 cm diameter.</v>
      </c>
      <c r="D56" s="342">
        <f>F!D29</f>
        <v>0</v>
      </c>
      <c r="E56" s="389">
        <v>3</v>
      </c>
      <c r="F56" s="221">
        <f t="shared" si="3"/>
        <v>0</v>
      </c>
      <c r="G56" s="812"/>
      <c r="H56" s="2149"/>
      <c r="I56" s="2413"/>
    </row>
    <row r="57" spans="1:9" s="86" customFormat="1" ht="30" customHeight="1" thickBot="1">
      <c r="A57" s="2722" t="str">
        <f>F!A35</f>
        <v>F6</v>
      </c>
      <c r="B57" s="2718" t="str">
        <f>F!B35</f>
        <v>Large Snags (Dead Standing Trees)</v>
      </c>
      <c r="C57" s="794" t="str">
        <f>F!C35</f>
        <v>Including the adjoining upland area within 10 m of the wetland edge, the number of snags in the AA with diameter &gt;25 cm is:</v>
      </c>
      <c r="D57" s="252"/>
      <c r="E57" s="499"/>
      <c r="F57" s="218"/>
      <c r="G57" s="809" t="str">
        <f>IF((SUM(F!D15:D18)=0),"", MAX(F58:F60)/MAX(E58:E60))</f>
        <v/>
      </c>
      <c r="H57" s="2148" t="s">
        <v>1700</v>
      </c>
      <c r="I57" s="2411" t="s">
        <v>314</v>
      </c>
    </row>
    <row r="58" spans="1:9" s="86" customFormat="1" ht="15" customHeight="1">
      <c r="A58" s="2723"/>
      <c r="B58" s="2719"/>
      <c r="C58" s="803" t="str">
        <f>F!C36</f>
        <v>None, or fewer than 8/ hectare which exceed this diameter.</v>
      </c>
      <c r="D58" s="348">
        <f>F!D36</f>
        <v>0</v>
      </c>
      <c r="E58" s="385">
        <v>0</v>
      </c>
      <c r="F58" s="96">
        <f>D58*E58</f>
        <v>0</v>
      </c>
      <c r="G58" s="810"/>
      <c r="H58" s="2146"/>
      <c r="I58" s="2412"/>
    </row>
    <row r="59" spans="1:9" s="86" customFormat="1" ht="15" customHeight="1">
      <c r="A59" s="2723"/>
      <c r="B59" s="2719"/>
      <c r="C59" s="804" t="str">
        <f>F!C37</f>
        <v>Several ( &gt;8/hectare) and a pond, lake, or slow-flowing water wider than 10 m is within 1 km.</v>
      </c>
      <c r="D59" s="349">
        <f>F!D37</f>
        <v>0</v>
      </c>
      <c r="E59" s="385">
        <v>3</v>
      </c>
      <c r="F59" s="96">
        <f>D59*E59</f>
        <v>0</v>
      </c>
      <c r="G59" s="810"/>
      <c r="H59" s="2146"/>
      <c r="I59" s="2412"/>
    </row>
    <row r="60" spans="1:9" s="86" customFormat="1" ht="15.6" customHeight="1" thickBot="1">
      <c r="A60" s="2724"/>
      <c r="B60" s="2720"/>
      <c r="C60" s="797" t="str">
        <f>F!C38</f>
        <v>Several ( &gt;8/hectare) but above not true.</v>
      </c>
      <c r="D60" s="346">
        <f>F!D38</f>
        <v>0</v>
      </c>
      <c r="E60" s="389">
        <v>2</v>
      </c>
      <c r="F60" s="216">
        <f>D60*E60</f>
        <v>0</v>
      </c>
      <c r="G60" s="812"/>
      <c r="H60" s="2149"/>
      <c r="I60" s="2413"/>
    </row>
    <row r="61" spans="1:9" s="60" customFormat="1" ht="30" customHeight="1" thickBot="1">
      <c r="A61" s="2744" t="str">
        <f>F!A82</f>
        <v>F16</v>
      </c>
      <c r="B61" s="2725" t="str">
        <f>F!B82</f>
        <v>Herbaceous % of Vegetated Wetland</v>
      </c>
      <c r="C61" s="780" t="str">
        <f>F!C82</f>
        <v>In aerial ("ducks eye") view, the maximum annual cover of herbaceous vegetation (excluding moss) is:</v>
      </c>
      <c r="D61" s="252"/>
      <c r="E61" s="360"/>
      <c r="F61" s="818"/>
      <c r="G61" s="814">
        <f>MAX(F62:F66)/MAX(E62:E66)</f>
        <v>0</v>
      </c>
      <c r="H61" s="2146" t="s">
        <v>1844</v>
      </c>
      <c r="I61" s="2611" t="s">
        <v>313</v>
      </c>
    </row>
    <row r="62" spans="1:9" s="60" customFormat="1" ht="27" customHeight="1">
      <c r="A62" s="2744"/>
      <c r="B62" s="2725"/>
      <c r="C62" s="777" t="str">
        <f>F!C83</f>
        <v>&lt;5% of the vegetated part of the AA or &lt;0.01 hectare (whichever is less). Mark "1" here and SKIP to F20 (Invasive Plant Cover).</v>
      </c>
      <c r="D62" s="340">
        <f>F!D83</f>
        <v>0</v>
      </c>
      <c r="E62" s="361">
        <v>0</v>
      </c>
      <c r="F62" s="96">
        <f>D62*E62</f>
        <v>0</v>
      </c>
      <c r="G62" s="810"/>
      <c r="H62" s="2146"/>
      <c r="I62" s="2612"/>
    </row>
    <row r="63" spans="1:9" s="60" customFormat="1" ht="15" customHeight="1">
      <c r="A63" s="2744"/>
      <c r="B63" s="2725"/>
      <c r="C63" s="778" t="str">
        <f>F!C84</f>
        <v>5-25% of the vegetated part of the AA.</v>
      </c>
      <c r="D63" s="341">
        <f>F!D84</f>
        <v>0</v>
      </c>
      <c r="E63" s="361">
        <v>2</v>
      </c>
      <c r="F63" s="96">
        <f>D63*E63</f>
        <v>0</v>
      </c>
      <c r="G63" s="811"/>
      <c r="H63" s="2146"/>
      <c r="I63" s="2612"/>
    </row>
    <row r="64" spans="1:9" s="60" customFormat="1" ht="15" customHeight="1">
      <c r="A64" s="2744"/>
      <c r="B64" s="2725"/>
      <c r="C64" s="778" t="str">
        <f>F!C85</f>
        <v>25-50% of the vegetated part of the AA.</v>
      </c>
      <c r="D64" s="341">
        <f>F!D85</f>
        <v>0</v>
      </c>
      <c r="E64" s="361">
        <v>3</v>
      </c>
      <c r="F64" s="96">
        <f>D64*E64</f>
        <v>0</v>
      </c>
      <c r="G64" s="811"/>
      <c r="H64" s="2146"/>
      <c r="I64" s="2612"/>
    </row>
    <row r="65" spans="1:76" s="60" customFormat="1" ht="15" customHeight="1">
      <c r="A65" s="2744"/>
      <c r="B65" s="2725"/>
      <c r="C65" s="778" t="str">
        <f>F!C86</f>
        <v>50-95% of the vegetated part of the AA.</v>
      </c>
      <c r="D65" s="341">
        <f>F!D86</f>
        <v>0</v>
      </c>
      <c r="E65" s="361">
        <v>4</v>
      </c>
      <c r="F65" s="96">
        <f>D65*E65</f>
        <v>0</v>
      </c>
      <c r="G65" s="811"/>
      <c r="H65" s="2146"/>
      <c r="I65" s="2612"/>
    </row>
    <row r="66" spans="1:76" s="60" customFormat="1" ht="15" customHeight="1" thickBot="1">
      <c r="A66" s="2744"/>
      <c r="B66" s="2725"/>
      <c r="C66" s="781" t="str">
        <f>F!C87</f>
        <v>&gt;95% of the vegetated part of the AA.</v>
      </c>
      <c r="D66" s="343">
        <f>F!D87</f>
        <v>0</v>
      </c>
      <c r="E66" s="364">
        <v>5</v>
      </c>
      <c r="F66" s="815">
        <f>D66*E66</f>
        <v>0</v>
      </c>
      <c r="G66" s="816"/>
      <c r="H66" s="2146"/>
      <c r="I66" s="2613"/>
    </row>
    <row r="67" spans="1:76" s="55" customFormat="1" ht="60" customHeight="1" thickBot="1">
      <c r="A67" s="775" t="str">
        <f>F!A113</f>
        <v>F22</v>
      </c>
      <c r="B67" s="208" t="str">
        <f>F!B113</f>
        <v>Fringe Wetland</v>
      </c>
      <c r="C67" s="805" t="str">
        <f>F!C113</f>
        <v xml:space="preserve">If both are true, enter "1" and continue. If false, leave the 0 and continue: (a) Open water that adjoins the vegetated AA in a lake, stream, or river during annual low water condition is much wider than the vegetated AA, and (b) the maximum dimension of the lake, stream, or river (measured parallel with flow, if any) is greater than 1 km. </v>
      </c>
      <c r="D67" s="350">
        <f>F!D113</f>
        <v>0</v>
      </c>
      <c r="E67" s="1210"/>
      <c r="F67" s="1065"/>
      <c r="G67" s="1066">
        <f>IF((AllSat1&gt;0),"",IF((NoPersis=1),"", F!D113))</f>
        <v>0</v>
      </c>
      <c r="H67" s="81" t="s">
        <v>2324</v>
      </c>
      <c r="I67" s="123" t="s">
        <v>304</v>
      </c>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row>
    <row r="68" spans="1:76" s="57" customFormat="1" ht="102" customHeight="1" thickBot="1">
      <c r="A68" s="1054" t="str">
        <f>F!A114</f>
        <v>F23</v>
      </c>
      <c r="B68" s="1053" t="str">
        <f>F!B114</f>
        <v>Lacustrine Wetland</v>
      </c>
      <c r="C68" s="1062" t="str">
        <f>F!C114</f>
        <v>The vegetated part of the AA borders a lake, i.e., a body of non-tidal standing open water whose size exceeds 8 hectares during most of a normal year.</v>
      </c>
      <c r="D68" s="1063">
        <f>F!D114</f>
        <v>0</v>
      </c>
      <c r="E68" s="738"/>
      <c r="F68" s="1064"/>
      <c r="G68" s="814" t="str">
        <f>IF((D68=1),1,"")</f>
        <v/>
      </c>
      <c r="H68" s="1443" t="s">
        <v>2325</v>
      </c>
      <c r="I68" s="5" t="s">
        <v>2089</v>
      </c>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row>
    <row r="69" spans="1:76" s="56" customFormat="1" ht="30" customHeight="1" thickBot="1">
      <c r="A69" s="2751" t="str">
        <f>F!A115</f>
        <v>F24</v>
      </c>
      <c r="B69" s="2718" t="str">
        <f>F!B115</f>
        <v>% of AA Without Surface Water</v>
      </c>
      <c r="C69" s="776" t="str">
        <f>F!C115</f>
        <v>The percentage of the AA that never contains surface water during an average year (that is, except perhaps for a few hours after snowmelt or rainstorms), but which is still a wetland, is:</v>
      </c>
      <c r="D69" s="252"/>
      <c r="E69" s="376"/>
      <c r="F69" s="252"/>
      <c r="G69" s="828">
        <f>MAX(F70:F75)/MAX(E70:E75)</f>
        <v>0</v>
      </c>
      <c r="H69" s="2148" t="s">
        <v>1047</v>
      </c>
      <c r="I69" s="2148" t="s">
        <v>797</v>
      </c>
    </row>
    <row r="70" spans="1:76" s="56" customFormat="1" ht="27" customHeight="1">
      <c r="A70" s="2752"/>
      <c r="B70" s="2719"/>
      <c r="C70" s="798" t="str">
        <f>F!C116</f>
        <v xml:space="preserve">&lt;1% AND &lt;0.01 hectare (about 10 m on a side) never has surface water. In other words, all or nearly all of the AA is covered by water permanently or at least seasonally.  </v>
      </c>
      <c r="D70" s="347">
        <f>F!D116</f>
        <v>0</v>
      </c>
      <c r="E70" s="361">
        <v>4</v>
      </c>
      <c r="F70" s="96">
        <f t="shared" ref="F70:F75" si="4">D70*E70</f>
        <v>0</v>
      </c>
      <c r="G70" s="827"/>
      <c r="H70" s="2146"/>
      <c r="I70" s="2146"/>
    </row>
    <row r="71" spans="1:76" s="56" customFormat="1" ht="15" customHeight="1">
      <c r="A71" s="2752"/>
      <c r="B71" s="2719"/>
      <c r="C71" s="798" t="str">
        <f>F!C117</f>
        <v>1-25% of the AA,  or &lt;1% but &gt;0.01 ha, never contains surface water.</v>
      </c>
      <c r="D71" s="347">
        <f>F!D117</f>
        <v>0</v>
      </c>
      <c r="E71" s="361">
        <v>5</v>
      </c>
      <c r="F71" s="96">
        <f t="shared" si="4"/>
        <v>0</v>
      </c>
      <c r="G71" s="827"/>
      <c r="H71" s="2146"/>
      <c r="I71" s="2146"/>
    </row>
    <row r="72" spans="1:76" s="56" customFormat="1" ht="15" customHeight="1">
      <c r="A72" s="2752"/>
      <c r="B72" s="2719"/>
      <c r="C72" s="798" t="str">
        <f>F!C118</f>
        <v>25-50% of the AA never contains surface water.</v>
      </c>
      <c r="D72" s="347">
        <f>F!D118</f>
        <v>0</v>
      </c>
      <c r="E72" s="361">
        <v>3</v>
      </c>
      <c r="F72" s="96">
        <f t="shared" si="4"/>
        <v>0</v>
      </c>
      <c r="G72" s="827"/>
      <c r="H72" s="2146"/>
      <c r="I72" s="2146"/>
    </row>
    <row r="73" spans="1:76" s="56" customFormat="1" ht="15" customHeight="1">
      <c r="A73" s="2752"/>
      <c r="B73" s="2719"/>
      <c r="C73" s="798" t="str">
        <f>F!C119</f>
        <v>50-75% of the AA never contains surface water.</v>
      </c>
      <c r="D73" s="347">
        <f>F!D119</f>
        <v>0</v>
      </c>
      <c r="E73" s="361">
        <v>2</v>
      </c>
      <c r="F73" s="96">
        <f t="shared" si="4"/>
        <v>0</v>
      </c>
      <c r="G73" s="827"/>
      <c r="H73" s="2146"/>
      <c r="I73" s="2146"/>
    </row>
    <row r="74" spans="1:76" s="56" customFormat="1" ht="15" customHeight="1">
      <c r="A74" s="2752"/>
      <c r="B74" s="2719"/>
      <c r="C74" s="798" t="str">
        <f>F!C120</f>
        <v>75-99% of the AA never contains surface water.</v>
      </c>
      <c r="D74" s="347">
        <f>F!D120</f>
        <v>0</v>
      </c>
      <c r="E74" s="361">
        <v>1</v>
      </c>
      <c r="F74" s="96">
        <f t="shared" si="4"/>
        <v>0</v>
      </c>
      <c r="G74" s="827"/>
      <c r="H74" s="2146"/>
      <c r="I74" s="2146"/>
    </row>
    <row r="75" spans="1:76" s="56" customFormat="1" ht="27" customHeight="1" thickBot="1">
      <c r="A75" s="2752"/>
      <c r="B75" s="2719"/>
      <c r="C75" s="1787" t="str">
        <f>F!C121</f>
        <v>100%. True for many bogs, meadow marshes, swamps that lack vernal pools.  Enter "1" and SKIP to F42 (Channel Connection).</v>
      </c>
      <c r="D75" s="1788">
        <f>F!D121</f>
        <v>0</v>
      </c>
      <c r="E75" s="364">
        <v>0</v>
      </c>
      <c r="F75" s="815">
        <f t="shared" si="4"/>
        <v>0</v>
      </c>
      <c r="G75" s="827"/>
      <c r="H75" s="2146"/>
      <c r="I75" s="2149"/>
    </row>
    <row r="76" spans="1:76" s="55" customFormat="1" ht="45" customHeight="1" thickBot="1">
      <c r="A76" s="2722" t="str">
        <f>F!A122</f>
        <v>F25</v>
      </c>
      <c r="B76" s="2718" t="str">
        <f>F!B122</f>
        <v>% of AA with Persistent Surface Water</v>
      </c>
      <c r="C76" s="794"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252"/>
      <c r="E76" s="365"/>
      <c r="F76" s="218"/>
      <c r="G76" s="828">
        <f>IF((AllSat1&gt;0),"", MAX(F77:F81)/MAX(E77:E81))</f>
        <v>0</v>
      </c>
      <c r="H76" s="2148" t="s">
        <v>1526</v>
      </c>
      <c r="I76" s="2212" t="s">
        <v>306</v>
      </c>
    </row>
    <row r="77" spans="1:76" s="55" customFormat="1" ht="27" customHeight="1">
      <c r="A77" s="2723"/>
      <c r="B77" s="2719"/>
      <c r="C77" s="799" t="str">
        <f>F!C123</f>
        <v>none. The AA dries up completely (no water in channels either) or never has surface water during most years.</v>
      </c>
      <c r="D77" s="345">
        <f>F!D123</f>
        <v>0</v>
      </c>
      <c r="E77" s="360">
        <v>1</v>
      </c>
      <c r="F77" s="96">
        <f>D77*E77</f>
        <v>0</v>
      </c>
      <c r="G77" s="811"/>
      <c r="H77" s="2146"/>
      <c r="I77" s="2213"/>
    </row>
    <row r="78" spans="1:76" s="55" customFormat="1" ht="15" customHeight="1">
      <c r="A78" s="2723"/>
      <c r="B78" s="2719"/>
      <c r="C78" s="799" t="str">
        <f>F!C124</f>
        <v>1-20% of the AA.</v>
      </c>
      <c r="D78" s="345">
        <f>F!D124</f>
        <v>0</v>
      </c>
      <c r="E78" s="360">
        <v>2</v>
      </c>
      <c r="F78" s="96">
        <f>D78*E78</f>
        <v>0</v>
      </c>
      <c r="G78" s="811"/>
      <c r="H78" s="2146"/>
      <c r="I78" s="2213"/>
    </row>
    <row r="79" spans="1:76" ht="15" customHeight="1">
      <c r="A79" s="2723"/>
      <c r="B79" s="2719"/>
      <c r="C79" s="799" t="str">
        <f>F!C125</f>
        <v>20-50% of the AA.</v>
      </c>
      <c r="D79" s="345">
        <f>F!D125</f>
        <v>0</v>
      </c>
      <c r="E79" s="361">
        <v>3</v>
      </c>
      <c r="F79" s="96">
        <f>D79*E79</f>
        <v>0</v>
      </c>
      <c r="G79" s="811"/>
      <c r="H79" s="2146"/>
      <c r="I79" s="2213"/>
    </row>
    <row r="80" spans="1:76" ht="15" customHeight="1">
      <c r="A80" s="2723"/>
      <c r="B80" s="2719"/>
      <c r="C80" s="799" t="str">
        <f>F!C126</f>
        <v>50-95% of the AA.</v>
      </c>
      <c r="D80" s="345">
        <f>F!D126</f>
        <v>0</v>
      </c>
      <c r="E80" s="361">
        <v>4</v>
      </c>
      <c r="F80" s="96">
        <f>D80*E80</f>
        <v>0</v>
      </c>
      <c r="G80" s="811"/>
      <c r="H80" s="2146"/>
      <c r="I80" s="2213"/>
    </row>
    <row r="81" spans="1:9" ht="15" customHeight="1" thickBot="1">
      <c r="A81" s="2724"/>
      <c r="B81" s="2720"/>
      <c r="C81" s="800" t="str">
        <f>F!C127</f>
        <v>&gt;95% of the AA. True for many fringe wetlands.</v>
      </c>
      <c r="D81" s="346">
        <f>F!D127</f>
        <v>0</v>
      </c>
      <c r="E81" s="362">
        <v>3</v>
      </c>
      <c r="F81" s="216">
        <f>D81*E81</f>
        <v>0</v>
      </c>
      <c r="G81" s="812"/>
      <c r="H81" s="2149"/>
      <c r="I81" s="2377"/>
    </row>
    <row r="82" spans="1:9" ht="30" customHeight="1" thickBot="1">
      <c r="A82" s="2746" t="str">
        <f>F!A134</f>
        <v>F27</v>
      </c>
      <c r="B82" s="2736" t="str">
        <f>F!B134</f>
        <v>% of AA that is Flooded Only Seasonally</v>
      </c>
      <c r="C82" s="785" t="str">
        <f>F!C134</f>
        <v>The percentage of the AA that is covered by unfrozen surface water only during the wettest time of the year during most years is:</v>
      </c>
      <c r="D82" s="252"/>
      <c r="E82" s="365"/>
      <c r="F82" s="218"/>
      <c r="G82" s="809">
        <f>IF((AllSat1&gt;0),"",MAX(F83:F87)/MAX(E83:E87))</f>
        <v>0</v>
      </c>
      <c r="H82" s="2148" t="s">
        <v>1404</v>
      </c>
      <c r="I82" s="2611" t="s">
        <v>327</v>
      </c>
    </row>
    <row r="83" spans="1:9" ht="15" customHeight="1">
      <c r="A83" s="2747"/>
      <c r="B83" s="2737"/>
      <c r="C83" s="786" t="str">
        <f>F!C135</f>
        <v xml:space="preserve">None, or &lt;0.01 hectare and &lt;1% of the AA. </v>
      </c>
      <c r="D83" s="340">
        <f>F!D135</f>
        <v>0</v>
      </c>
      <c r="E83" s="361">
        <v>4</v>
      </c>
      <c r="F83" s="96">
        <f>D83*E83</f>
        <v>0</v>
      </c>
      <c r="G83" s="810"/>
      <c r="H83" s="2146"/>
      <c r="I83" s="2612"/>
    </row>
    <row r="84" spans="1:9" ht="15" customHeight="1">
      <c r="A84" s="2747"/>
      <c r="B84" s="2737"/>
      <c r="C84" s="787" t="str">
        <f>F!C136</f>
        <v>1-20% of the AA, or &lt;1% but &gt;0.01 ha.</v>
      </c>
      <c r="D84" s="341">
        <f>F!D136</f>
        <v>0</v>
      </c>
      <c r="E84" s="361">
        <v>5</v>
      </c>
      <c r="F84" s="96">
        <f>D84*E84</f>
        <v>0</v>
      </c>
      <c r="G84" s="811"/>
      <c r="H84" s="2146"/>
      <c r="I84" s="2612"/>
    </row>
    <row r="85" spans="1:9" ht="15" customHeight="1">
      <c r="A85" s="2747"/>
      <c r="B85" s="2737"/>
      <c r="C85" s="787" t="str">
        <f>F!C137</f>
        <v>20-50% of the AA.</v>
      </c>
      <c r="D85" s="341">
        <f>F!D137</f>
        <v>0</v>
      </c>
      <c r="E85" s="361">
        <v>3</v>
      </c>
      <c r="F85" s="96">
        <f>D85*E85</f>
        <v>0</v>
      </c>
      <c r="G85" s="811"/>
      <c r="H85" s="2146"/>
      <c r="I85" s="2612"/>
    </row>
    <row r="86" spans="1:9" ht="15" customHeight="1">
      <c r="A86" s="2747"/>
      <c r="B86" s="2737"/>
      <c r="C86" s="787" t="str">
        <f>F!C138</f>
        <v>50-95% of the AA.</v>
      </c>
      <c r="D86" s="341">
        <f>F!D138</f>
        <v>0</v>
      </c>
      <c r="E86" s="361">
        <v>2</v>
      </c>
      <c r="F86" s="96">
        <f>D86*E86</f>
        <v>0</v>
      </c>
      <c r="G86" s="811"/>
      <c r="H86" s="2146"/>
      <c r="I86" s="2612"/>
    </row>
    <row r="87" spans="1:9" ht="15" customHeight="1" thickBot="1">
      <c r="A87" s="2748"/>
      <c r="B87" s="2738"/>
      <c r="C87" s="801" t="str">
        <f>F!C139</f>
        <v xml:space="preserve">&gt;95% of the AA. </v>
      </c>
      <c r="D87" s="342">
        <f>F!D139</f>
        <v>0</v>
      </c>
      <c r="E87" s="378">
        <v>1</v>
      </c>
      <c r="F87" s="216">
        <f>D87*E87</f>
        <v>0</v>
      </c>
      <c r="G87" s="812"/>
      <c r="H87" s="2149"/>
      <c r="I87" s="2613"/>
    </row>
    <row r="88" spans="1:9" ht="30" customHeight="1" thickBot="1">
      <c r="A88" s="2744" t="str">
        <f>F!A140</f>
        <v>F28</v>
      </c>
      <c r="B88" s="2725" t="str">
        <f>F!B140</f>
        <v>Annual Water Fluctuation Range</v>
      </c>
      <c r="C88" s="780" t="str">
        <f>F!C140</f>
        <v>The annual fluctuation in surface water level within most of the parts of the AA that contain surface water is:</v>
      </c>
      <c r="D88" s="252"/>
      <c r="E88" s="360"/>
      <c r="F88" s="818"/>
      <c r="G88" s="814">
        <f>IF((AllSat1&gt;0),"", IF((NoSeasonal=1),"",MAX(F89:F92)/MAX(E89:E92)))</f>
        <v>0</v>
      </c>
      <c r="H88" s="2146" t="s">
        <v>1405</v>
      </c>
      <c r="I88" s="2611" t="s">
        <v>305</v>
      </c>
    </row>
    <row r="89" spans="1:9" ht="15" customHeight="1">
      <c r="A89" s="2745"/>
      <c r="B89" s="2726"/>
      <c r="C89" s="777" t="str">
        <f>F!C141</f>
        <v>&lt;10 cm change (stable or nearly so).</v>
      </c>
      <c r="D89" s="340">
        <f>F!D141</f>
        <v>0</v>
      </c>
      <c r="E89" s="361">
        <v>0</v>
      </c>
      <c r="F89" s="96">
        <f>D89*E89</f>
        <v>0</v>
      </c>
      <c r="G89" s="810"/>
      <c r="H89" s="2146"/>
      <c r="I89" s="2612"/>
    </row>
    <row r="90" spans="1:9" ht="15" customHeight="1">
      <c r="A90" s="2745"/>
      <c r="B90" s="2726"/>
      <c r="C90" s="778" t="str">
        <f>F!C142</f>
        <v>10 cm - 50 cm change.</v>
      </c>
      <c r="D90" s="341">
        <f>F!D142</f>
        <v>0</v>
      </c>
      <c r="E90" s="361">
        <v>1</v>
      </c>
      <c r="F90" s="96">
        <f>D90*E90</f>
        <v>0</v>
      </c>
      <c r="G90" s="811"/>
      <c r="H90" s="2146"/>
      <c r="I90" s="2612"/>
    </row>
    <row r="91" spans="1:9" ht="15" customHeight="1">
      <c r="A91" s="2745"/>
      <c r="B91" s="2726"/>
      <c r="C91" s="778" t="str">
        <f>F!C143</f>
        <v>0.5 - 1 m change.</v>
      </c>
      <c r="D91" s="341">
        <f>F!D143</f>
        <v>0</v>
      </c>
      <c r="E91" s="361">
        <v>2</v>
      </c>
      <c r="F91" s="96">
        <f>D91*E91</f>
        <v>0</v>
      </c>
      <c r="G91" s="811"/>
      <c r="H91" s="2146"/>
      <c r="I91" s="2612"/>
    </row>
    <row r="92" spans="1:9" ht="15" customHeight="1" thickBot="1">
      <c r="A92" s="2745"/>
      <c r="B92" s="2726"/>
      <c r="C92" s="781" t="str">
        <f>F!C144</f>
        <v>1-2 m change.</v>
      </c>
      <c r="D92" s="343">
        <f>F!D144</f>
        <v>0</v>
      </c>
      <c r="E92" s="364">
        <v>2</v>
      </c>
      <c r="F92" s="815">
        <f>D92*E92</f>
        <v>0</v>
      </c>
      <c r="G92" s="816"/>
      <c r="H92" s="2146"/>
      <c r="I92" s="2613"/>
    </row>
    <row r="93" spans="1:9" ht="30" customHeight="1" thickBot="1">
      <c r="A93" s="2729" t="str">
        <f>F!A147</f>
        <v>F29</v>
      </c>
      <c r="B93" s="2742" t="str">
        <f>F!B147</f>
        <v>Predominant Depth Class</v>
      </c>
      <c r="C93" s="776" t="str">
        <f>F!C147</f>
        <v>During most of the time when surface water is present during the growing season, its depth, averaged over the entire inundated part of the AA, is:</v>
      </c>
      <c r="D93" s="252"/>
      <c r="E93" s="365"/>
      <c r="F93" s="817"/>
      <c r="G93" s="828">
        <f>IF((AllSat1&gt;0),"",IF((TooSmall=1),"",MAX(F94:F98)/MAX(E94:E98)))</f>
        <v>0</v>
      </c>
      <c r="H93" s="2148" t="s">
        <v>1406</v>
      </c>
      <c r="I93" s="2611" t="s">
        <v>308</v>
      </c>
    </row>
    <row r="94" spans="1:9" ht="15" customHeight="1">
      <c r="A94" s="2730"/>
      <c r="B94" s="2726"/>
      <c r="C94" s="777" t="str">
        <f>F!C148</f>
        <v>&lt;10 cm deep (but &gt;0).</v>
      </c>
      <c r="D94" s="340">
        <f>F!D148</f>
        <v>0</v>
      </c>
      <c r="E94" s="361">
        <v>1</v>
      </c>
      <c r="F94" s="96">
        <f>D94*E94</f>
        <v>0</v>
      </c>
      <c r="G94" s="810"/>
      <c r="H94" s="2146"/>
      <c r="I94" s="2612"/>
    </row>
    <row r="95" spans="1:9" ht="15" customHeight="1">
      <c r="A95" s="2730"/>
      <c r="B95" s="2726"/>
      <c r="C95" s="778" t="str">
        <f>F!C149</f>
        <v>10 - 50 cm deep.</v>
      </c>
      <c r="D95" s="341">
        <f>F!D149</f>
        <v>0</v>
      </c>
      <c r="E95" s="637">
        <v>3</v>
      </c>
      <c r="F95" s="96">
        <f>D95*E95</f>
        <v>0</v>
      </c>
      <c r="G95" s="811"/>
      <c r="H95" s="2146"/>
      <c r="I95" s="2612"/>
    </row>
    <row r="96" spans="1:9" ht="15" customHeight="1">
      <c r="A96" s="2730"/>
      <c r="B96" s="2726"/>
      <c r="C96" s="778" t="str">
        <f>F!C150</f>
        <v>0.5 - 1 m deep.</v>
      </c>
      <c r="D96" s="341">
        <f>F!D150</f>
        <v>0</v>
      </c>
      <c r="E96" s="637">
        <v>7</v>
      </c>
      <c r="F96" s="96">
        <f>D96*E96</f>
        <v>0</v>
      </c>
      <c r="G96" s="811"/>
      <c r="H96" s="2146"/>
      <c r="I96" s="2612"/>
    </row>
    <row r="97" spans="1:9" ht="15" customHeight="1">
      <c r="A97" s="2730"/>
      <c r="B97" s="2726"/>
      <c r="C97" s="778" t="str">
        <f>F!C151</f>
        <v>1 - 2 m deep.</v>
      </c>
      <c r="D97" s="341">
        <f>F!D151</f>
        <v>0</v>
      </c>
      <c r="E97" s="637">
        <v>5</v>
      </c>
      <c r="F97" s="96">
        <f>D97*E97</f>
        <v>0</v>
      </c>
      <c r="G97" s="811"/>
      <c r="H97" s="2146"/>
      <c r="I97" s="2612"/>
    </row>
    <row r="98" spans="1:9" ht="15" customHeight="1" thickBot="1">
      <c r="A98" s="2731"/>
      <c r="B98" s="2727"/>
      <c r="C98" s="779" t="str">
        <f>F!C152</f>
        <v>&gt;2 m deep. True for many fringe wetlands.</v>
      </c>
      <c r="D98" s="342">
        <f>F!D152</f>
        <v>0</v>
      </c>
      <c r="E98" s="640">
        <v>2</v>
      </c>
      <c r="F98" s="216">
        <f>D98*E98</f>
        <v>0</v>
      </c>
      <c r="G98" s="812"/>
      <c r="H98" s="2149"/>
      <c r="I98" s="2613"/>
    </row>
    <row r="99" spans="1:9" ht="21" customHeight="1" thickBot="1">
      <c r="A99" s="2744" t="str">
        <f>F!A153</f>
        <v>F30</v>
      </c>
      <c r="B99" s="2725" t="str">
        <f>F!B153</f>
        <v>Depth Classes - Evenness of Proportions</v>
      </c>
      <c r="C99" s="780" t="str">
        <f>F!C153</f>
        <v>When present, surface water in most of the AA usually consists of (select one):</v>
      </c>
      <c r="D99" s="252"/>
      <c r="E99" s="360"/>
      <c r="F99" s="102"/>
      <c r="G99" s="819">
        <f>IF((AllSat1&gt;0),"",IF((TooSmall=1),"",MAX(F100:F102)/MAX(E100:E102)))</f>
        <v>0</v>
      </c>
      <c r="H99" s="2148" t="s">
        <v>1407</v>
      </c>
      <c r="I99" s="2611" t="s">
        <v>309</v>
      </c>
    </row>
    <row r="100" spans="1:9" ht="27" customHeight="1">
      <c r="A100" s="2745"/>
      <c r="B100" s="2726"/>
      <c r="C100" s="777" t="str">
        <f>F!C154</f>
        <v xml:space="preserve">One depth class that comprises &gt;90% of the AA’s inundated area (use the classes in the question above). </v>
      </c>
      <c r="D100" s="340">
        <f>F!D154</f>
        <v>0</v>
      </c>
      <c r="E100" s="360">
        <v>0</v>
      </c>
      <c r="F100" s="813">
        <f>D100*E100</f>
        <v>0</v>
      </c>
      <c r="G100" s="810"/>
      <c r="H100" s="2146"/>
      <c r="I100" s="2612"/>
    </row>
    <row r="101" spans="1:9" ht="15" customHeight="1">
      <c r="A101" s="2745"/>
      <c r="B101" s="2726"/>
      <c r="C101" s="778" t="str">
        <f>F!C155</f>
        <v>One depth class that comprises 50-90% of the AA's inundated area.</v>
      </c>
      <c r="D101" s="341">
        <f>F!D155</f>
        <v>0</v>
      </c>
      <c r="E101" s="361">
        <v>1</v>
      </c>
      <c r="F101" s="96">
        <f>D101*E101</f>
        <v>0</v>
      </c>
      <c r="G101" s="811"/>
      <c r="H101" s="2146"/>
      <c r="I101" s="2612"/>
    </row>
    <row r="102" spans="1:9" ht="15" customHeight="1" thickBot="1">
      <c r="A102" s="2745"/>
      <c r="B102" s="2726"/>
      <c r="C102" s="781" t="str">
        <f>F!C156</f>
        <v>Neither of above. There are 3 or more depth classes and none occupy &gt;50%.</v>
      </c>
      <c r="D102" s="343">
        <f>F!D156</f>
        <v>0</v>
      </c>
      <c r="E102" s="364">
        <v>2</v>
      </c>
      <c r="F102" s="815">
        <f>D102*E102</f>
        <v>0</v>
      </c>
      <c r="G102" s="816"/>
      <c r="H102" s="2146"/>
      <c r="I102" s="2613"/>
    </row>
    <row r="103" spans="1:9" ht="30" customHeight="1" thickBot="1">
      <c r="A103" s="2722" t="str">
        <f>F!A157</f>
        <v>F31</v>
      </c>
      <c r="B103" s="2718" t="str">
        <f>F!B157</f>
        <v>% of Water That Is Ponded (not Flowing)</v>
      </c>
      <c r="C103" s="776" t="str">
        <f>F!C157</f>
        <v>During most times when surface water is present, the percentage that is ponded (stagnant, or flows so slowly that fine sediment is not held in suspension) is:</v>
      </c>
      <c r="D103" s="252"/>
      <c r="E103" s="365"/>
      <c r="F103" s="218"/>
      <c r="G103" s="828">
        <f>IF((AllSat1&gt;0),"", MAX(F104:F108)/MAX(E104:E108))</f>
        <v>0</v>
      </c>
      <c r="H103" s="2148" t="s">
        <v>1409</v>
      </c>
      <c r="I103" s="2611" t="s">
        <v>307</v>
      </c>
    </row>
    <row r="104" spans="1:9" ht="27" customHeight="1">
      <c r="A104" s="2723"/>
      <c r="B104" s="2719"/>
      <c r="C104" s="777" t="str">
        <f>F!C158</f>
        <v>&lt;5% of the water, or it occupies &lt;100 sq.m cumulatively. Nearly all the surface water is flowing. SKIP to F34.</v>
      </c>
      <c r="D104" s="1189">
        <f>F!D158</f>
        <v>0</v>
      </c>
      <c r="E104" s="361">
        <v>0</v>
      </c>
      <c r="F104" s="96">
        <f>D104*E104</f>
        <v>0</v>
      </c>
      <c r="G104" s="811"/>
      <c r="H104" s="2146"/>
      <c r="I104" s="2612"/>
    </row>
    <row r="105" spans="1:9" ht="15" customHeight="1">
      <c r="A105" s="2723"/>
      <c r="B105" s="2719"/>
      <c r="C105" s="778" t="str">
        <f>F!C159</f>
        <v>5-30% of the water.</v>
      </c>
      <c r="D105" s="1190">
        <f>F!D159</f>
        <v>0</v>
      </c>
      <c r="E105" s="361">
        <v>3</v>
      </c>
      <c r="F105" s="96">
        <f>D105*E105</f>
        <v>0</v>
      </c>
      <c r="G105" s="811"/>
      <c r="H105" s="2146"/>
      <c r="I105" s="2612"/>
    </row>
    <row r="106" spans="1:9" ht="15" customHeight="1">
      <c r="A106" s="2723"/>
      <c r="B106" s="2719"/>
      <c r="C106" s="778" t="str">
        <f>F!C160</f>
        <v>30-70% of the water.</v>
      </c>
      <c r="D106" s="1190">
        <f>F!D160</f>
        <v>0</v>
      </c>
      <c r="E106" s="361">
        <v>4</v>
      </c>
      <c r="F106" s="96">
        <f>D106*E106</f>
        <v>0</v>
      </c>
      <c r="G106" s="816"/>
      <c r="H106" s="2146"/>
      <c r="I106" s="2612"/>
    </row>
    <row r="107" spans="1:9" ht="15" customHeight="1">
      <c r="A107" s="2723"/>
      <c r="B107" s="2719"/>
      <c r="C107" s="778" t="str">
        <f>F!C161</f>
        <v>70-95% of the water.</v>
      </c>
      <c r="D107" s="1190">
        <f>F!D161</f>
        <v>0</v>
      </c>
      <c r="E107" s="361">
        <v>5</v>
      </c>
      <c r="F107" s="96">
        <f>D107*E107</f>
        <v>0</v>
      </c>
      <c r="G107" s="816"/>
      <c r="H107" s="2146"/>
      <c r="I107" s="2612"/>
    </row>
    <row r="108" spans="1:9" ht="15" customHeight="1" thickBot="1">
      <c r="A108" s="2724"/>
      <c r="B108" s="2720"/>
      <c r="C108" s="779" t="str">
        <f>F!C162</f>
        <v>&gt;95% of the water.</v>
      </c>
      <c r="D108" s="1191">
        <f>F!D162</f>
        <v>0</v>
      </c>
      <c r="E108" s="362">
        <v>5</v>
      </c>
      <c r="F108" s="216">
        <f>D108*E108</f>
        <v>0</v>
      </c>
      <c r="G108" s="812"/>
      <c r="H108" s="2149"/>
      <c r="I108" s="2613"/>
    </row>
    <row r="109" spans="1:9" ht="30" customHeight="1" thickBot="1">
      <c r="A109" s="2753" t="str">
        <f>F!A164</f>
        <v>F33</v>
      </c>
      <c r="B109" s="2753" t="str">
        <f>F!B164</f>
        <v xml:space="preserve">% of Ponded Water that is Open </v>
      </c>
      <c r="C109" s="205" t="str">
        <f>F!C164</f>
        <v>In ducks-eye aerial view, the percentage of the ponded water that is open (lacking emergent vegetation during most of the growing season, and unhidden by a forest or shrub canopy) is:</v>
      </c>
      <c r="D109" s="829"/>
      <c r="E109" s="376"/>
      <c r="F109" s="218"/>
      <c r="G109" s="809">
        <f>IF((AllSat1&gt;0),"",IF((TooSmall=1),"",IF((NoPonded=1),"",MAX(F110:F115)/MAX(E110:E115))))</f>
        <v>0</v>
      </c>
      <c r="H109" s="2148" t="s">
        <v>2326</v>
      </c>
      <c r="I109" s="2611" t="s">
        <v>312</v>
      </c>
    </row>
    <row r="110" spans="1:9" ht="27" customHeight="1">
      <c r="A110" s="2754"/>
      <c r="B110" s="2754"/>
      <c r="C110" s="1264" t="str">
        <f>F!C165</f>
        <v>None, or &lt;1% of the AA and largest pool occupies &lt;0.01 hectares. Enter "1" and SKIP to F41 (Floating Algae &amp; Duckweed).</v>
      </c>
      <c r="D110" s="343">
        <f>F!D165</f>
        <v>0</v>
      </c>
      <c r="E110" s="361">
        <v>1</v>
      </c>
      <c r="F110" s="96">
        <f t="shared" ref="F110:F115" si="5">D110*E110</f>
        <v>0</v>
      </c>
      <c r="G110" s="810"/>
      <c r="H110" s="2146"/>
      <c r="I110" s="2612"/>
    </row>
    <row r="111" spans="1:9" ht="15" customHeight="1">
      <c r="A111" s="2754"/>
      <c r="B111" s="2754"/>
      <c r="C111" s="1255" t="str">
        <f>F!C166</f>
        <v>1-4% of the ponded water. Enter "1" and SKIP to F40 (Floating Algae &amp; Duckweed).</v>
      </c>
      <c r="D111" s="341">
        <f>F!D166</f>
        <v>0</v>
      </c>
      <c r="E111" s="361">
        <v>3</v>
      </c>
      <c r="F111" s="96">
        <f t="shared" si="5"/>
        <v>0</v>
      </c>
      <c r="G111" s="811"/>
      <c r="H111" s="2146"/>
      <c r="I111" s="2612"/>
    </row>
    <row r="112" spans="1:9" ht="15" customHeight="1">
      <c r="A112" s="2754"/>
      <c r="B112" s="2754"/>
      <c r="C112" s="1255" t="str">
        <f>F!C167</f>
        <v>5-30% of the ponded water.</v>
      </c>
      <c r="D112" s="341">
        <f>F!D167</f>
        <v>0</v>
      </c>
      <c r="E112" s="361">
        <v>4</v>
      </c>
      <c r="F112" s="96">
        <f t="shared" si="5"/>
        <v>0</v>
      </c>
      <c r="G112" s="811"/>
      <c r="H112" s="2146"/>
      <c r="I112" s="2612"/>
    </row>
    <row r="113" spans="1:9" ht="15" customHeight="1">
      <c r="A113" s="2754"/>
      <c r="B113" s="2754"/>
      <c r="C113" s="1255" t="str">
        <f>F!C168</f>
        <v>30-70% of the ponded water.</v>
      </c>
      <c r="D113" s="341">
        <f>F!D168</f>
        <v>0</v>
      </c>
      <c r="E113" s="361">
        <v>6</v>
      </c>
      <c r="F113" s="96">
        <f t="shared" si="5"/>
        <v>0</v>
      </c>
      <c r="G113" s="811"/>
      <c r="H113" s="2146"/>
      <c r="I113" s="2612"/>
    </row>
    <row r="114" spans="1:9" ht="15" customHeight="1">
      <c r="A114" s="2754"/>
      <c r="B114" s="2754"/>
      <c r="C114" s="1255" t="str">
        <f>F!C169</f>
        <v>70-99% of the ponded water.</v>
      </c>
      <c r="D114" s="341">
        <f>F!D169</f>
        <v>0</v>
      </c>
      <c r="E114" s="361">
        <v>4</v>
      </c>
      <c r="F114" s="96">
        <f t="shared" si="5"/>
        <v>0</v>
      </c>
      <c r="G114" s="811"/>
      <c r="H114" s="2146"/>
      <c r="I114" s="2612"/>
    </row>
    <row r="115" spans="1:9" ht="15" customHeight="1" thickBot="1">
      <c r="A115" s="2755"/>
      <c r="B115" s="2755"/>
      <c r="C115" s="1383" t="str">
        <f>F!C170</f>
        <v xml:space="preserve">100% of the ponded water. </v>
      </c>
      <c r="D115" s="808">
        <f>F!D170</f>
        <v>0</v>
      </c>
      <c r="E115" s="738">
        <v>2</v>
      </c>
      <c r="F115" s="216">
        <f t="shared" si="5"/>
        <v>0</v>
      </c>
      <c r="G115" s="812"/>
      <c r="H115" s="2149"/>
      <c r="I115" s="2613"/>
    </row>
    <row r="116" spans="1:9" ht="30" customHeight="1" thickBot="1">
      <c r="A116" s="2750" t="str">
        <f>F!A171</f>
        <v>F34</v>
      </c>
      <c r="B116" s="2719" t="str">
        <f>F!B171</f>
        <v>Width of Vegetated Zone within Wetland</v>
      </c>
      <c r="C116" s="802" t="str">
        <f>F!C171</f>
        <v>At the time during the growing season when the AA's water level is lowest, the average width of vegetated area in the AA that separates adjoining uplands from open water within the AA is:</v>
      </c>
      <c r="D116" s="813"/>
      <c r="E116" s="360"/>
      <c r="F116" s="818"/>
      <c r="G116" s="814">
        <f>IF((AllSat1&gt;0),"",IF((TooSmall=1),"",IF((NoOpenPonded=1),"",MAX(F117:F122)/MAX(E117:E122))))</f>
        <v>0</v>
      </c>
      <c r="H116" s="2146" t="s">
        <v>1408</v>
      </c>
      <c r="I116" s="2611" t="s">
        <v>311</v>
      </c>
    </row>
    <row r="117" spans="1:9" ht="15" customHeight="1">
      <c r="A117" s="2750"/>
      <c r="B117" s="2719"/>
      <c r="C117" s="795" t="str">
        <f>F!C172</f>
        <v>&lt;1 m</v>
      </c>
      <c r="D117" s="344">
        <f>F!D172</f>
        <v>0</v>
      </c>
      <c r="E117" s="361">
        <v>0</v>
      </c>
      <c r="F117" s="96">
        <f t="shared" ref="F117:F122" si="6">D117*E117</f>
        <v>0</v>
      </c>
      <c r="G117" s="810"/>
      <c r="H117" s="2146"/>
      <c r="I117" s="2612"/>
    </row>
    <row r="118" spans="1:9" ht="15" customHeight="1">
      <c r="A118" s="2750"/>
      <c r="B118" s="2719"/>
      <c r="C118" s="796" t="str">
        <f>F!C173</f>
        <v>1 - 9 m</v>
      </c>
      <c r="D118" s="345">
        <f>F!D173</f>
        <v>0</v>
      </c>
      <c r="E118" s="361">
        <v>1</v>
      </c>
      <c r="F118" s="96">
        <f t="shared" si="6"/>
        <v>0</v>
      </c>
      <c r="G118" s="811"/>
      <c r="H118" s="2146"/>
      <c r="I118" s="2612"/>
    </row>
    <row r="119" spans="1:9" ht="15" customHeight="1">
      <c r="A119" s="2750"/>
      <c r="B119" s="2719"/>
      <c r="C119" s="796" t="str">
        <f>F!C174</f>
        <v>10 - 29 m</v>
      </c>
      <c r="D119" s="345">
        <f>F!D174</f>
        <v>0</v>
      </c>
      <c r="E119" s="361">
        <v>2</v>
      </c>
      <c r="F119" s="96">
        <f t="shared" si="6"/>
        <v>0</v>
      </c>
      <c r="G119" s="811"/>
      <c r="H119" s="2146"/>
      <c r="I119" s="2612"/>
    </row>
    <row r="120" spans="1:9" ht="15" customHeight="1">
      <c r="A120" s="2750"/>
      <c r="B120" s="2719"/>
      <c r="C120" s="796" t="str">
        <f>F!C175</f>
        <v>30 - 49 m</v>
      </c>
      <c r="D120" s="345">
        <f>F!D175</f>
        <v>0</v>
      </c>
      <c r="E120" s="361">
        <v>2</v>
      </c>
      <c r="F120" s="96">
        <f t="shared" si="6"/>
        <v>0</v>
      </c>
      <c r="G120" s="811"/>
      <c r="H120" s="2146"/>
      <c r="I120" s="2612"/>
    </row>
    <row r="121" spans="1:9" ht="15" customHeight="1">
      <c r="A121" s="2750"/>
      <c r="B121" s="2719"/>
      <c r="C121" s="796" t="str">
        <f>F!C176</f>
        <v>50 - 100 m</v>
      </c>
      <c r="D121" s="345">
        <f>F!D176</f>
        <v>0</v>
      </c>
      <c r="E121" s="361">
        <v>3</v>
      </c>
      <c r="F121" s="96">
        <f t="shared" si="6"/>
        <v>0</v>
      </c>
      <c r="G121" s="811"/>
      <c r="H121" s="2146"/>
      <c r="I121" s="2612"/>
    </row>
    <row r="122" spans="1:9" ht="15" customHeight="1" thickBot="1">
      <c r="A122" s="2750"/>
      <c r="B122" s="2719"/>
      <c r="C122" s="796" t="str">
        <f>F!C177</f>
        <v>&gt; 100 m</v>
      </c>
      <c r="D122" s="345">
        <f>F!D177</f>
        <v>0</v>
      </c>
      <c r="E122" s="364">
        <v>3</v>
      </c>
      <c r="F122" s="815">
        <f t="shared" si="6"/>
        <v>0</v>
      </c>
      <c r="G122" s="816"/>
      <c r="H122" s="2146"/>
      <c r="I122" s="2613"/>
    </row>
    <row r="123" spans="1:9" ht="30" customHeight="1" thickBot="1">
      <c r="A123" s="2722" t="str">
        <f>F!A178</f>
        <v>F35</v>
      </c>
      <c r="B123" s="2718" t="str">
        <f>F!B178</f>
        <v>Flat Shoreline Extent</v>
      </c>
      <c r="C123" s="794" t="str">
        <f>F!C178</f>
        <v>During most of the part of the growing season when water is present, the percentage of the AA's water edge length that is  nearly flat (a slope less than about 5%) is:</v>
      </c>
      <c r="D123" s="252"/>
      <c r="E123" s="365"/>
      <c r="F123" s="218"/>
      <c r="G123" s="828">
        <f>IF((AllSat1&gt;0),"",IF((TooSmall=1),"",IF((NoOpenPonded=1),"",MAX(F124:F128)/MAX(E124:E128))))</f>
        <v>0</v>
      </c>
      <c r="H123" s="2148" t="s">
        <v>1694</v>
      </c>
      <c r="I123" s="2611" t="s">
        <v>321</v>
      </c>
    </row>
    <row r="124" spans="1:9" ht="15" customHeight="1">
      <c r="A124" s="2723"/>
      <c r="B124" s="2719"/>
      <c r="C124" s="795" t="str">
        <f>F!C179</f>
        <v>&lt;1% of the water edge.</v>
      </c>
      <c r="D124" s="344">
        <f>F!D179</f>
        <v>0</v>
      </c>
      <c r="E124" s="361">
        <v>0</v>
      </c>
      <c r="F124" s="96">
        <f>D124*E124</f>
        <v>0</v>
      </c>
      <c r="G124" s="810"/>
      <c r="H124" s="2146"/>
      <c r="I124" s="2612"/>
    </row>
    <row r="125" spans="1:9" ht="15" customHeight="1">
      <c r="A125" s="2723"/>
      <c r="B125" s="2719"/>
      <c r="C125" s="796" t="str">
        <f>F!C180</f>
        <v>1-25% of the water edge.</v>
      </c>
      <c r="D125" s="345">
        <f>F!D180</f>
        <v>0</v>
      </c>
      <c r="E125" s="361">
        <v>1</v>
      </c>
      <c r="F125" s="96">
        <f>D125*E125</f>
        <v>0</v>
      </c>
      <c r="G125" s="811"/>
      <c r="H125" s="2146"/>
      <c r="I125" s="2612"/>
    </row>
    <row r="126" spans="1:9" ht="15" customHeight="1">
      <c r="A126" s="2723"/>
      <c r="B126" s="2719"/>
      <c r="C126" s="796" t="str">
        <f>F!C181</f>
        <v>25-50% of the water edge.</v>
      </c>
      <c r="D126" s="345">
        <f>F!D181</f>
        <v>0</v>
      </c>
      <c r="E126" s="361">
        <v>2</v>
      </c>
      <c r="F126" s="96">
        <f>D126*E126</f>
        <v>0</v>
      </c>
      <c r="G126" s="811"/>
      <c r="H126" s="2146"/>
      <c r="I126" s="2612"/>
    </row>
    <row r="127" spans="1:9" ht="15" customHeight="1">
      <c r="A127" s="2723"/>
      <c r="B127" s="2719"/>
      <c r="C127" s="796" t="str">
        <f>F!C182</f>
        <v>50-75% of the water edge.</v>
      </c>
      <c r="D127" s="345">
        <f>F!D182</f>
        <v>0</v>
      </c>
      <c r="E127" s="361">
        <v>3</v>
      </c>
      <c r="F127" s="96">
        <f>D127*E127</f>
        <v>0</v>
      </c>
      <c r="G127" s="811"/>
      <c r="H127" s="2146"/>
      <c r="I127" s="2612"/>
    </row>
    <row r="128" spans="1:9" ht="15" customHeight="1" thickBot="1">
      <c r="A128" s="2724"/>
      <c r="B128" s="2720"/>
      <c r="C128" s="797" t="str">
        <f>F!C183</f>
        <v>&gt;75% of the water edge.</v>
      </c>
      <c r="D128" s="346">
        <f>F!D183</f>
        <v>0</v>
      </c>
      <c r="E128" s="362">
        <v>4</v>
      </c>
      <c r="F128" s="216">
        <f>D128*E128</f>
        <v>0</v>
      </c>
      <c r="G128" s="812"/>
      <c r="H128" s="2149"/>
      <c r="I128" s="2613"/>
    </row>
    <row r="129" spans="1:9" ht="30" customHeight="1" thickBot="1">
      <c r="A129" s="2722" t="str">
        <f>F!A189</f>
        <v>F37</v>
      </c>
      <c r="B129" s="2718" t="str">
        <f>F!B189</f>
        <v>Interspersion of Robust Emergents &amp; Open Water</v>
      </c>
      <c r="C129" s="794" t="str">
        <f>F!C189</f>
        <v>During most of the part of the growing season when water is present, the spatial pattern of robust herbaceous vegetation (e.g., cattail, tall bulrush, buckbean) is mostly:</v>
      </c>
      <c r="D129" s="252"/>
      <c r="E129" s="365"/>
      <c r="F129" s="817"/>
      <c r="G129" s="809">
        <f>IF((AllSat1&gt;0),"",IF((TooSmall=1),"",IF((NoPonded=1),"",IF((NoOpenPonded+NoOpenPonded1&gt;0),"",IF((AllOpenPond=1),"",MAX(F130:F132)/MAX(E130:E132))))))</f>
        <v>0</v>
      </c>
      <c r="H129" s="2148" t="s">
        <v>2057</v>
      </c>
      <c r="I129" s="2611" t="s">
        <v>310</v>
      </c>
    </row>
    <row r="130" spans="1:9" ht="15" customHeight="1">
      <c r="A130" s="2723"/>
      <c r="B130" s="2719"/>
      <c r="C130" s="803" t="str">
        <f>F!C190</f>
        <v>Scattered. More than 30% of such vegetation forms small islands or corridors surrounded by water.</v>
      </c>
      <c r="D130" s="348">
        <f>F!D190</f>
        <v>0</v>
      </c>
      <c r="E130" s="361">
        <v>3</v>
      </c>
      <c r="F130" s="385">
        <f>D130*E130</f>
        <v>0</v>
      </c>
      <c r="G130" s="818"/>
      <c r="H130" s="2146"/>
      <c r="I130" s="2612"/>
    </row>
    <row r="131" spans="1:9" ht="15" customHeight="1">
      <c r="A131" s="2723"/>
      <c r="B131" s="2719"/>
      <c r="C131" s="804" t="str">
        <f>F!C191</f>
        <v>Intermediate.</v>
      </c>
      <c r="D131" s="349">
        <f>F!D191</f>
        <v>0</v>
      </c>
      <c r="E131" s="361">
        <v>2</v>
      </c>
      <c r="F131" s="385">
        <f>D131*E131</f>
        <v>0</v>
      </c>
      <c r="G131" s="818"/>
      <c r="H131" s="2146"/>
      <c r="I131" s="2612"/>
    </row>
    <row r="132" spans="1:9" ht="27" customHeight="1" thickBot="1">
      <c r="A132" s="2723"/>
      <c r="B132" s="2719"/>
      <c r="C132" s="796" t="str">
        <f>F!C192</f>
        <v>Clumped. More than 70% of such vegetation is in bands along the wetland perimeter or is clumped at one or a few sides of the surface water area.</v>
      </c>
      <c r="D132" s="345">
        <f>F!D192</f>
        <v>0</v>
      </c>
      <c r="E132" s="364">
        <v>1</v>
      </c>
      <c r="F132" s="387">
        <f>D132*E132</f>
        <v>0</v>
      </c>
      <c r="G132" s="830"/>
      <c r="H132" s="2146"/>
      <c r="I132" s="2613"/>
    </row>
    <row r="133" spans="1:9" ht="60" customHeight="1" thickBot="1">
      <c r="A133" s="775" t="str">
        <f>F!A198</f>
        <v>F40</v>
      </c>
      <c r="B133" s="208" t="str">
        <f>F!B198</f>
        <v>Isolated Island</v>
      </c>
      <c r="C133" s="1245" t="str">
        <f>F!C198</f>
        <v>The AA contains (or is part of) an island or beaver lodge within a lake, pond, or river, and is isolated from the shore by water depths &gt;2 m on all sides during an average June. The island may be solid, or it may be a floating vegetation mat that is sufficiently large and dense to support a waterbird nest.</v>
      </c>
      <c r="D133" s="1180">
        <f>F!D198</f>
        <v>0</v>
      </c>
      <c r="E133" s="381"/>
      <c r="F133" s="213"/>
      <c r="G133" s="809" t="str">
        <f>IF((TooSmall=1),"",IF((D133=0),"",D133))</f>
        <v/>
      </c>
      <c r="H133" s="81" t="s">
        <v>1410</v>
      </c>
      <c r="I133" s="1709" t="s">
        <v>1225</v>
      </c>
    </row>
    <row r="134" spans="1:9" ht="40.200000000000003" customHeight="1" thickBot="1">
      <c r="A134" s="2718" t="str">
        <f>F!A218</f>
        <v>F47</v>
      </c>
      <c r="B134" s="2718" t="str">
        <f>F!B218</f>
        <v>pH Measurement</v>
      </c>
      <c r="C134" s="208" t="str">
        <f>F!C218</f>
        <v>The pH in most of the AA's surface water:</v>
      </c>
      <c r="D134" s="829"/>
      <c r="E134" s="365"/>
      <c r="F134" s="252"/>
      <c r="G134" s="1152" t="str">
        <f>IF((D137&gt;0&lt;5),0, IF((D136=1),0, ""))</f>
        <v/>
      </c>
      <c r="H134" s="2389" t="s">
        <v>2349</v>
      </c>
      <c r="I134" s="2611" t="s">
        <v>325</v>
      </c>
    </row>
    <row r="135" spans="1:9" ht="21" customHeight="1">
      <c r="A135" s="2719"/>
      <c r="B135" s="2719"/>
      <c r="C135" s="803" t="str">
        <f>F!C219</f>
        <v>was not measured because no surface water could be found during this visit. Enter "1".</v>
      </c>
      <c r="D135" s="349">
        <f>F!D219</f>
        <v>0</v>
      </c>
      <c r="E135" s="361"/>
      <c r="F135" s="96"/>
      <c r="G135" s="96"/>
      <c r="H135" s="2390"/>
      <c r="I135" s="2612"/>
    </row>
    <row r="136" spans="1:9" ht="33" customHeight="1">
      <c r="A136" s="2719"/>
      <c r="B136" s="2719"/>
      <c r="C136" s="804" t="str">
        <f>F!C220</f>
        <v xml:space="preserve">was not measured but surface water is present and is darkly tea-coloured.  Or if no surface water, then mosses and plants that indicate peatland (e.g., Labrador tea) are prevalent. Enter "1". </v>
      </c>
      <c r="D136" s="349">
        <f>F!D220</f>
        <v>0</v>
      </c>
      <c r="E136" s="361"/>
      <c r="F136" s="96"/>
      <c r="G136" s="96"/>
      <c r="H136" s="2390"/>
      <c r="I136" s="2612"/>
    </row>
    <row r="137" spans="1:9" ht="21" customHeight="1" thickBot="1">
      <c r="A137" s="2720"/>
      <c r="B137" s="2720"/>
      <c r="C137" s="797" t="str">
        <f>F!C221</f>
        <v>was measured, and is:  [enter the reading in the column to the right]:</v>
      </c>
      <c r="D137" s="1153">
        <f>F!D221</f>
        <v>0</v>
      </c>
      <c r="E137" s="362"/>
      <c r="F137" s="216"/>
      <c r="G137" s="216"/>
      <c r="H137" s="2391"/>
      <c r="I137" s="2613"/>
    </row>
    <row r="138" spans="1:9" ht="21" customHeight="1" thickBot="1">
      <c r="A138" s="2722" t="str">
        <f>F!A227</f>
        <v>F49</v>
      </c>
      <c r="B138" s="2718" t="str">
        <f>F!B227</f>
        <v>Beaver Probability</v>
      </c>
      <c r="C138" s="794" t="str">
        <f>F!C227</f>
        <v>Use of the AA by beaver during the past 5 years is (select most applicable ONE):</v>
      </c>
      <c r="D138" s="252"/>
      <c r="E138" s="365"/>
      <c r="F138" s="252"/>
      <c r="G138" s="809">
        <f>IF((AllSat1&gt;0),"",MAX(F139:F141)/MAX(E139:E141))</f>
        <v>0</v>
      </c>
      <c r="H138" s="2148" t="s">
        <v>1376</v>
      </c>
      <c r="I138" s="2611" t="s">
        <v>326</v>
      </c>
    </row>
    <row r="139" spans="1:9" ht="27" customHeight="1">
      <c r="A139" s="2723"/>
      <c r="B139" s="2719"/>
      <c r="C139" s="803" t="str">
        <f>F!C228</f>
        <v>evident from direct observation or presence of gnawed limbs, dams, tracks, dens, lodges, or extensive stands of water-killed trees (snags).</v>
      </c>
      <c r="D139" s="348">
        <f>F!D228</f>
        <v>0</v>
      </c>
      <c r="E139" s="361">
        <v>3</v>
      </c>
      <c r="F139" s="96">
        <f>D139*E139</f>
        <v>0</v>
      </c>
      <c r="G139" s="811"/>
      <c r="H139" s="2146"/>
      <c r="I139" s="2612"/>
    </row>
    <row r="140" spans="1:9" ht="57" customHeight="1">
      <c r="A140" s="2723"/>
      <c r="B140" s="2719"/>
      <c r="C140" s="804"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40" s="349">
        <f>F!D229</f>
        <v>0</v>
      </c>
      <c r="E140" s="361">
        <v>2</v>
      </c>
      <c r="F140" s="96">
        <f>D140*E140</f>
        <v>0</v>
      </c>
      <c r="G140" s="811"/>
      <c r="H140" s="2146"/>
      <c r="I140" s="2612"/>
    </row>
    <row r="141" spans="1:9" ht="27" customHeight="1" thickBot="1">
      <c r="A141" s="2723"/>
      <c r="B141" s="2719"/>
      <c r="C141" s="796" t="str">
        <f>F!C230</f>
        <v xml:space="preserve">unlikely because site characteristics above are deficient, and/or this is a settled area or other area where beaver are routinely removed. </v>
      </c>
      <c r="D141" s="345">
        <f>F!D230</f>
        <v>0</v>
      </c>
      <c r="E141" s="364">
        <v>0</v>
      </c>
      <c r="F141" s="815">
        <f>D141*E141</f>
        <v>0</v>
      </c>
      <c r="G141" s="816"/>
      <c r="H141" s="2146"/>
      <c r="I141" s="2613"/>
    </row>
    <row r="142" spans="1:9" s="1790" customFormat="1" ht="21" customHeight="1" thickBot="1">
      <c r="A142" s="2721" t="str">
        <f>F!A235</f>
        <v>F51</v>
      </c>
      <c r="B142" s="2721" t="str">
        <f>F!B235</f>
        <v>Internal Gradient</v>
      </c>
      <c r="C142" s="1789" t="str">
        <f>F!C235</f>
        <v>The gradient along most of the flow path within the AA is:</v>
      </c>
      <c r="D142" s="365"/>
      <c r="E142" s="365"/>
      <c r="F142" s="383"/>
      <c r="G142" s="500">
        <f>MAX(F143:F146)/MAX(E143:E146)</f>
        <v>0</v>
      </c>
      <c r="H142" s="2514" t="s">
        <v>139</v>
      </c>
      <c r="I142" s="2611" t="s">
        <v>316</v>
      </c>
    </row>
    <row r="143" spans="1:9" s="1790" customFormat="1" ht="15" customHeight="1" thickBot="1">
      <c r="A143" s="2208"/>
      <c r="B143" s="2208"/>
      <c r="C143" s="1804" t="str">
        <f>F!C236</f>
        <v>&lt;2% or the AA has no surface water outlet (not even seasonally)</v>
      </c>
      <c r="D143" s="1791">
        <f>F!D236</f>
        <v>0</v>
      </c>
      <c r="E143" s="361">
        <v>4</v>
      </c>
      <c r="F143" s="361">
        <f>Steep13*E143</f>
        <v>0</v>
      </c>
      <c r="G143" s="501"/>
      <c r="H143" s="2159"/>
      <c r="I143" s="2612"/>
    </row>
    <row r="144" spans="1:9" s="1790" customFormat="1" ht="15" customHeight="1" thickBot="1">
      <c r="A144" s="2208"/>
      <c r="B144" s="2208"/>
      <c r="C144" s="1805" t="str">
        <f>F!C237</f>
        <v>2-5%</v>
      </c>
      <c r="D144" s="1791">
        <f>F!D237</f>
        <v>0</v>
      </c>
      <c r="E144" s="361">
        <v>2</v>
      </c>
      <c r="F144" s="361">
        <f>D144*E144</f>
        <v>0</v>
      </c>
      <c r="G144" s="502"/>
      <c r="H144" s="2159"/>
      <c r="I144" s="2612"/>
    </row>
    <row r="145" spans="1:9" s="1790" customFormat="1" ht="15" customHeight="1" thickBot="1">
      <c r="A145" s="2208"/>
      <c r="B145" s="2208"/>
      <c r="C145" s="1807" t="str">
        <f>F!C238</f>
        <v>6-10%</v>
      </c>
      <c r="D145" s="1791">
        <f>F!D238</f>
        <v>0</v>
      </c>
      <c r="E145" s="361">
        <v>1</v>
      </c>
      <c r="F145" s="361">
        <f>D145*E145</f>
        <v>0</v>
      </c>
      <c r="G145" s="502"/>
      <c r="H145" s="2159"/>
      <c r="I145" s="2612"/>
    </row>
    <row r="146" spans="1:9" s="1790" customFormat="1" ht="15" customHeight="1" thickBot="1">
      <c r="A146" s="2210"/>
      <c r="B146" s="2210"/>
      <c r="C146" s="1806" t="str">
        <f>F!C239</f>
        <v>&gt;10%</v>
      </c>
      <c r="D146" s="1791">
        <f>F!D239</f>
        <v>0</v>
      </c>
      <c r="E146" s="530">
        <v>0</v>
      </c>
      <c r="F146" s="364">
        <f>D146*E146</f>
        <v>0</v>
      </c>
      <c r="G146" s="511"/>
      <c r="H146" s="2515"/>
      <c r="I146" s="2613"/>
    </row>
    <row r="147" spans="1:9" s="86" customFormat="1" ht="30" customHeight="1" thickBot="1">
      <c r="A147" s="2749" t="str">
        <f>F!A240</f>
        <v>F52</v>
      </c>
      <c r="B147" s="2749" t="str">
        <f>F!B240</f>
        <v>Vegetated Buffer as % of Perimeter</v>
      </c>
      <c r="C147" s="776" t="str">
        <f>F!C240</f>
        <v>Along the wetland-upland edge and extending 30 m laterally upslope, the percentage of the upland that contains vegetation cover (except lawns, row crops, heavily grazed land, conifer plantations) is:</v>
      </c>
      <c r="D147" s="1179"/>
      <c r="E147" s="365"/>
      <c r="F147" s="218"/>
      <c r="G147" s="828">
        <f>MAX(F148:F152)/MAX(E148:E152)</f>
        <v>0</v>
      </c>
      <c r="H147" s="2148" t="s">
        <v>749</v>
      </c>
      <c r="I147" s="2411" t="s">
        <v>319</v>
      </c>
    </row>
    <row r="148" spans="1:9" s="86" customFormat="1" ht="15" customHeight="1">
      <c r="A148" s="2726"/>
      <c r="B148" s="2726"/>
      <c r="C148" s="1253" t="str">
        <f>F!C241</f>
        <v xml:space="preserve">&lt;5% </v>
      </c>
      <c r="D148" s="341">
        <f>F!D241</f>
        <v>0</v>
      </c>
      <c r="E148" s="377">
        <v>0</v>
      </c>
      <c r="F148" s="96">
        <f>D148*E148</f>
        <v>0</v>
      </c>
      <c r="G148" s="810"/>
      <c r="H148" s="2146"/>
      <c r="I148" s="2412"/>
    </row>
    <row r="149" spans="1:9" s="86" customFormat="1" ht="15" customHeight="1">
      <c r="A149" s="2726"/>
      <c r="B149" s="2726"/>
      <c r="C149" s="1255" t="str">
        <f>F!C242</f>
        <v>5 to 30%</v>
      </c>
      <c r="D149" s="341">
        <f>F!D242</f>
        <v>0</v>
      </c>
      <c r="E149" s="377">
        <v>2</v>
      </c>
      <c r="F149" s="96">
        <f>D149*E149</f>
        <v>0</v>
      </c>
      <c r="G149" s="811"/>
      <c r="H149" s="2146"/>
      <c r="I149" s="2412"/>
    </row>
    <row r="150" spans="1:9" s="86" customFormat="1" ht="15" customHeight="1">
      <c r="A150" s="2726"/>
      <c r="B150" s="2726"/>
      <c r="C150" s="1256" t="str">
        <f>F!C243</f>
        <v>30 to 60%</v>
      </c>
      <c r="D150" s="340">
        <f>F!D243</f>
        <v>0</v>
      </c>
      <c r="E150" s="377">
        <v>3</v>
      </c>
      <c r="F150" s="96">
        <f>D150*E150</f>
        <v>0</v>
      </c>
      <c r="G150" s="811"/>
      <c r="H150" s="2146"/>
      <c r="I150" s="2412"/>
    </row>
    <row r="151" spans="1:9" s="86" customFormat="1" ht="15" customHeight="1">
      <c r="A151" s="2726"/>
      <c r="B151" s="2726"/>
      <c r="C151" s="1264" t="str">
        <f>F!C244</f>
        <v>60 to 90%</v>
      </c>
      <c r="D151" s="340">
        <f>F!D244</f>
        <v>0</v>
      </c>
      <c r="E151" s="377">
        <v>4</v>
      </c>
      <c r="F151" s="96">
        <f>D151*E151</f>
        <v>0</v>
      </c>
      <c r="G151" s="811"/>
      <c r="H151" s="2146"/>
      <c r="I151" s="2412"/>
    </row>
    <row r="152" spans="1:9" s="86" customFormat="1" ht="15" customHeight="1" thickBot="1">
      <c r="A152" s="2727"/>
      <c r="B152" s="2727"/>
      <c r="C152" s="1254" t="str">
        <f>F!C245</f>
        <v>&gt;90%, or all the area within 30 m of the AA edge is other wetlands. SKIP to F55.</v>
      </c>
      <c r="D152" s="808">
        <f>F!D245</f>
        <v>0</v>
      </c>
      <c r="E152" s="378">
        <v>6</v>
      </c>
      <c r="F152" s="216">
        <f>D152*E152</f>
        <v>0</v>
      </c>
      <c r="G152" s="812"/>
      <c r="H152" s="2149"/>
      <c r="I152" s="2413"/>
    </row>
    <row r="153" spans="1:9" s="86" customFormat="1" ht="30" customHeight="1" thickBot="1">
      <c r="A153" s="2725" t="str">
        <f>F!A246</f>
        <v>F53</v>
      </c>
      <c r="B153" s="2725" t="str">
        <f>F!B246</f>
        <v>Type of Cover in Buffer</v>
      </c>
      <c r="C153" s="205" t="str">
        <f>F!C246</f>
        <v>Within 30 m upslope of where the wetland transitions to upland, the upland land cover that is NOT natural is mostly (mark ONE):</v>
      </c>
      <c r="D153" s="1265"/>
      <c r="E153" s="360"/>
      <c r="F153" s="102"/>
      <c r="G153" s="814">
        <f>IF((BuffAllNat=1),"", MAX(F154:F155)/MAX(E154:E155))</f>
        <v>0</v>
      </c>
      <c r="H153" s="2158" t="s">
        <v>2885</v>
      </c>
      <c r="I153" s="2411" t="s">
        <v>320</v>
      </c>
    </row>
    <row r="154" spans="1:9" s="86" customFormat="1" ht="15" customHeight="1">
      <c r="A154" s="2725"/>
      <c r="B154" s="2725"/>
      <c r="C154" s="1256" t="str">
        <f>F!C247</f>
        <v>impervious surface, e.g., paved road, parking lot, building, exposed rock.</v>
      </c>
      <c r="D154" s="1808">
        <f>F!D247</f>
        <v>0</v>
      </c>
      <c r="E154" s="377">
        <v>0</v>
      </c>
      <c r="F154" s="96">
        <f>D154*E154</f>
        <v>0</v>
      </c>
      <c r="G154" s="810"/>
      <c r="H154" s="2159"/>
      <c r="I154" s="2412"/>
    </row>
    <row r="155" spans="1:9" s="86" customFormat="1" ht="27" customHeight="1" thickBot="1">
      <c r="A155" s="2725"/>
      <c r="B155" s="2725"/>
      <c r="C155" s="1254" t="str">
        <f>F!C248</f>
        <v>bare or nearly bare pervious surface or managed vegetation, e.g., lawn, row crops, unpaved road, dike, landslide.</v>
      </c>
      <c r="D155" s="342">
        <f>F!D248</f>
        <v>0</v>
      </c>
      <c r="E155" s="530">
        <v>1</v>
      </c>
      <c r="F155" s="815">
        <f>D155*E155</f>
        <v>0</v>
      </c>
      <c r="G155" s="816"/>
      <c r="H155" s="2160"/>
      <c r="I155" s="2413"/>
    </row>
    <row r="156" spans="1:9" ht="60" customHeight="1" thickBot="1">
      <c r="A156" s="2742" t="str">
        <f>F!A280</f>
        <v>F61</v>
      </c>
      <c r="B156" s="2742" t="str">
        <f>F!B280</f>
        <v xml:space="preserve">Unvisited Core Area </v>
      </c>
      <c r="C156" s="776"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56" s="1179"/>
      <c r="E156" s="499"/>
      <c r="F156" s="817"/>
      <c r="G156" s="809">
        <f>MAX(F157:F162)/MAX(E157:E162)</f>
        <v>0</v>
      </c>
      <c r="H156" s="2148" t="s">
        <v>1841</v>
      </c>
      <c r="I156" s="2611" t="s">
        <v>317</v>
      </c>
    </row>
    <row r="157" spans="1:9" ht="15" customHeight="1">
      <c r="A157" s="2725"/>
      <c r="B157" s="2725"/>
      <c r="C157" s="1263" t="str">
        <f>F!C281</f>
        <v>&lt;5% and no inhabited building is within 100 m of the AA.</v>
      </c>
      <c r="D157" s="343">
        <f>F!D281</f>
        <v>0</v>
      </c>
      <c r="E157" s="1162">
        <v>1</v>
      </c>
      <c r="F157" s="96">
        <f t="shared" ref="F157:F162" si="7">D157*E157</f>
        <v>0</v>
      </c>
      <c r="G157" s="810"/>
      <c r="H157" s="2146"/>
      <c r="I157" s="2612"/>
    </row>
    <row r="158" spans="1:9" ht="15" customHeight="1">
      <c r="A158" s="2725"/>
      <c r="B158" s="2725"/>
      <c r="C158" s="1255" t="str">
        <f>F!C282</f>
        <v>&lt;5% and inhabited building is within 100 m of the AA.</v>
      </c>
      <c r="D158" s="343">
        <f>F!D282</f>
        <v>0</v>
      </c>
      <c r="E158" s="1162">
        <v>0</v>
      </c>
      <c r="F158" s="96">
        <f t="shared" si="7"/>
        <v>0</v>
      </c>
      <c r="G158" s="811"/>
      <c r="H158" s="2146"/>
      <c r="I158" s="2612"/>
    </row>
    <row r="159" spans="1:9" ht="15" customHeight="1">
      <c r="A159" s="2725"/>
      <c r="B159" s="2725"/>
      <c r="C159" s="1255" t="str">
        <f>F!C283</f>
        <v>5-50% and no inhabited building is within 100 m of the AA.</v>
      </c>
      <c r="D159" s="343">
        <f>F!D283</f>
        <v>0</v>
      </c>
      <c r="E159" s="1162">
        <v>3</v>
      </c>
      <c r="F159" s="96">
        <f t="shared" si="7"/>
        <v>0</v>
      </c>
      <c r="G159" s="811"/>
      <c r="H159" s="2146"/>
      <c r="I159" s="2612"/>
    </row>
    <row r="160" spans="1:9" ht="15" customHeight="1">
      <c r="A160" s="2725"/>
      <c r="B160" s="2725"/>
      <c r="C160" s="1256" t="str">
        <f>F!C284</f>
        <v>5-50% and inhabited building is within 100 m of the AA.</v>
      </c>
      <c r="D160" s="343">
        <f>F!D284</f>
        <v>0</v>
      </c>
      <c r="E160" s="1162">
        <v>2</v>
      </c>
      <c r="F160" s="96">
        <f t="shared" si="7"/>
        <v>0</v>
      </c>
      <c r="G160" s="816"/>
      <c r="H160" s="2146"/>
      <c r="I160" s="2612"/>
    </row>
    <row r="161" spans="1:9" ht="15" customHeight="1">
      <c r="A161" s="2725"/>
      <c r="B161" s="2725"/>
      <c r="C161" s="1264" t="str">
        <f>F!C285</f>
        <v>50-95%</v>
      </c>
      <c r="D161" s="343">
        <f>F!D285</f>
        <v>0</v>
      </c>
      <c r="E161" s="1162">
        <v>4</v>
      </c>
      <c r="F161" s="96">
        <f t="shared" si="7"/>
        <v>0</v>
      </c>
      <c r="G161" s="816"/>
      <c r="H161" s="2146"/>
      <c r="I161" s="2612"/>
    </row>
    <row r="162" spans="1:9" ht="15" customHeight="1" thickBot="1">
      <c r="A162" s="2743"/>
      <c r="B162" s="2743"/>
      <c r="C162" s="1254" t="str">
        <f>F!C286</f>
        <v>&gt;95% of the AA</v>
      </c>
      <c r="D162" s="342">
        <f>F!D286</f>
        <v>0</v>
      </c>
      <c r="E162" s="1232">
        <v>5</v>
      </c>
      <c r="F162" s="216">
        <f t="shared" si="7"/>
        <v>0</v>
      </c>
      <c r="G162" s="812"/>
      <c r="H162" s="2149"/>
      <c r="I162" s="2613"/>
    </row>
    <row r="163" spans="1:9" ht="60" customHeight="1" thickBot="1">
      <c r="A163" s="2725" t="str">
        <f>F!A287</f>
        <v>F62</v>
      </c>
      <c r="B163" s="2725" t="str">
        <f>F!B287</f>
        <v>Frequently Visited Area</v>
      </c>
      <c r="C163" s="776"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163" s="1179"/>
      <c r="E163" s="391"/>
      <c r="F163" s="818"/>
      <c r="G163" s="819">
        <f>MAX(F164:F167)/MAX(E164:E167)</f>
        <v>0</v>
      </c>
      <c r="H163" s="2146" t="s">
        <v>166</v>
      </c>
      <c r="I163" s="2611" t="s">
        <v>318</v>
      </c>
    </row>
    <row r="164" spans="1:9" ht="15" customHeight="1">
      <c r="A164" s="2725"/>
      <c r="B164" s="2725"/>
      <c r="C164" s="1253" t="str">
        <f>F!C288</f>
        <v>&lt;5%. If F61 was answered "&gt;95%" (mostly never visited), SKIP to F65.</v>
      </c>
      <c r="D164" s="343">
        <f>F!D288</f>
        <v>0</v>
      </c>
      <c r="E164" s="1162">
        <v>2</v>
      </c>
      <c r="F164" s="96">
        <f>D164*E164</f>
        <v>0</v>
      </c>
      <c r="G164" s="810"/>
      <c r="H164" s="2146"/>
      <c r="I164" s="2612"/>
    </row>
    <row r="165" spans="1:9" ht="15" customHeight="1">
      <c r="A165" s="2725"/>
      <c r="B165" s="2725"/>
      <c r="C165" s="1255" t="str">
        <f>F!C289</f>
        <v>5-50%</v>
      </c>
      <c r="D165" s="343">
        <f>F!D289</f>
        <v>0</v>
      </c>
      <c r="E165" s="1162">
        <v>1</v>
      </c>
      <c r="F165" s="96">
        <f>D165*E165</f>
        <v>0</v>
      </c>
      <c r="G165" s="811"/>
      <c r="H165" s="2146"/>
      <c r="I165" s="2612"/>
    </row>
    <row r="166" spans="1:9" ht="15" customHeight="1">
      <c r="A166" s="2725"/>
      <c r="B166" s="2725"/>
      <c r="C166" s="1256" t="str">
        <f>F!C290</f>
        <v>50-95%</v>
      </c>
      <c r="D166" s="341">
        <f>F!D290</f>
        <v>0</v>
      </c>
      <c r="E166" s="1162">
        <v>0</v>
      </c>
      <c r="F166" s="96">
        <f>D166*E166</f>
        <v>0</v>
      </c>
      <c r="G166" s="811"/>
      <c r="H166" s="2146"/>
      <c r="I166" s="2612"/>
    </row>
    <row r="167" spans="1:9" ht="15" customHeight="1" thickBot="1">
      <c r="A167" s="2725"/>
      <c r="B167" s="2725"/>
      <c r="C167" s="1254" t="str">
        <f>F!C291</f>
        <v>&gt;95% of the AA.</v>
      </c>
      <c r="D167" s="808">
        <f>F!D291</f>
        <v>0</v>
      </c>
      <c r="E167" s="1252">
        <v>0</v>
      </c>
      <c r="F167" s="815">
        <f>D167*E167</f>
        <v>0</v>
      </c>
      <c r="G167" s="816"/>
      <c r="H167" s="2146"/>
      <c r="I167" s="2613"/>
    </row>
    <row r="168" spans="1:9" ht="75" customHeight="1" thickBot="1">
      <c r="A168" s="776" t="str">
        <f>F!A293</f>
        <v>F64</v>
      </c>
      <c r="B168" s="776" t="str">
        <f>F!B293</f>
        <v>BMP - Wildlife Protection</v>
      </c>
      <c r="C168" s="1257" t="str">
        <f>F!C293</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68" s="1249">
        <f>F!D293</f>
        <v>0</v>
      </c>
      <c r="E168" s="395"/>
      <c r="F168" s="831"/>
      <c r="G168" s="809">
        <f>IF((D162+D164&gt;1),"",D168)</f>
        <v>0</v>
      </c>
      <c r="H168" s="81" t="s">
        <v>744</v>
      </c>
      <c r="I168" s="1709" t="s">
        <v>1214</v>
      </c>
    </row>
    <row r="169" spans="1:9" s="1796" customFormat="1" ht="36" customHeight="1" thickBot="1">
      <c r="A169" s="1581" t="s">
        <v>168</v>
      </c>
      <c r="B169" s="1582" t="s">
        <v>2417</v>
      </c>
      <c r="C169" s="1584" t="s">
        <v>1354</v>
      </c>
      <c r="D169" s="1795" t="s">
        <v>64</v>
      </c>
      <c r="E169" s="1746" t="s">
        <v>1383</v>
      </c>
      <c r="F169" s="1706" t="s">
        <v>1384</v>
      </c>
      <c r="G169" s="1747" t="s">
        <v>1293</v>
      </c>
      <c r="H169" s="1582" t="s">
        <v>1294</v>
      </c>
      <c r="I169" s="1710" t="s">
        <v>2622</v>
      </c>
    </row>
    <row r="170" spans="1:9" s="60" customFormat="1" ht="156" customHeight="1" thickBot="1">
      <c r="A170" s="1132" t="str">
        <f>OF!A34</f>
        <v>OF5</v>
      </c>
      <c r="B170" s="1132" t="str">
        <f>OF!B34</f>
        <v>Herbaceous Uniqueness</v>
      </c>
      <c r="C170" s="1258" t="str">
        <f>OF!C34</f>
        <v xml:space="preserve">Does the AA contain the largest unmanaged herbaceous* patch within 5 km of the AA's edge? (or is the AA's vegetation mostly herbaceous but uplands within 5 km have &lt;10% herbaceous cover?). If so, enter "3" and continue to OF6.  If not, consider: 
Does the AA have the largest unmanaged herbaceous patch within 1 km? (or is the AA's vegetation mostly herbaceous but uplands within 1 km have &lt;10% herbaceous cover?); if so enter "2" and continue to OF6.  If not, consider: 
Does  the AA have the largest unmanaged patch of herbaceous vegetation within 100 m? (or is the AA's vegetation mostly herbaceous but uplands within 100 m have &lt;10% herbaceous cover?)  If so, enter "1"  
[* NOTE: Exclude lawns, row crops, heavily grazed lands, forest, shrublands. Include moss as well as grasslike plants in this use of "herbaceous vegetation"]
</v>
      </c>
      <c r="D170" s="1260">
        <f>OF!D34</f>
        <v>0</v>
      </c>
      <c r="E170" s="392"/>
      <c r="F170" s="499"/>
      <c r="G170" s="519">
        <f>D170/3</f>
        <v>0</v>
      </c>
      <c r="H170" s="1262" t="s">
        <v>2900</v>
      </c>
      <c r="I170" s="1797" t="s">
        <v>2090</v>
      </c>
    </row>
    <row r="171" spans="1:9" s="60" customFormat="1" ht="44.4" customHeight="1" thickBot="1">
      <c r="A171" s="1112" t="str">
        <f>OF!A141</f>
        <v>OF30</v>
      </c>
      <c r="B171" s="1112" t="str">
        <f>OF!B141</f>
        <v>Species of Conservation Concern</v>
      </c>
      <c r="C171" s="1259" t="str">
        <f>OF!C144</f>
        <v>Presence of one or more of the waterbird species of conservation concern (WBF, WBN) as listed in the Wildlife_Rare worksheet of the accompanying SuppInfo file, during their nesting season (May-July for most species).</v>
      </c>
      <c r="D171" s="1261">
        <f>OF!D144</f>
        <v>0</v>
      </c>
      <c r="E171" s="1250"/>
      <c r="F171" s="1246"/>
      <c r="G171" s="1247">
        <f>D171</f>
        <v>0</v>
      </c>
      <c r="H171" s="1198" t="s">
        <v>1588</v>
      </c>
      <c r="I171" s="1709" t="s">
        <v>1217</v>
      </c>
    </row>
    <row r="172" spans="1:9" s="60" customFormat="1" ht="45" customHeight="1" thickBot="1">
      <c r="A172" s="1248" t="str">
        <f>OF!A147</f>
        <v>OF31</v>
      </c>
      <c r="B172" s="206" t="str">
        <f>OF!B147</f>
        <v>Designated Important Bird Area (IBA)</v>
      </c>
      <c r="C172" s="1248" t="str">
        <f>OF!C147</f>
        <v xml:space="preserve">The AA is all or part of the West Shepody Bay or St. Johns River Important Bird Areas (IBA). See Figures A-3 &amp; A-4 in Appendix A of the Manual. Enter 1= yes, 0= no. </v>
      </c>
      <c r="D172" s="1249">
        <f>OF!D147</f>
        <v>0</v>
      </c>
      <c r="E172" s="1250"/>
      <c r="F172" s="1251"/>
      <c r="G172" s="832">
        <f>D172</f>
        <v>0</v>
      </c>
      <c r="H172" s="81" t="s">
        <v>2911</v>
      </c>
      <c r="I172" s="1709" t="s">
        <v>1216</v>
      </c>
    </row>
    <row r="173" spans="1:9" s="60" customFormat="1" ht="21" customHeight="1" thickBot="1">
      <c r="A173" s="2705"/>
      <c r="B173" s="2705"/>
      <c r="C173" s="2705"/>
      <c r="D173" s="2705"/>
      <c r="E173" s="2705"/>
      <c r="F173" s="2705"/>
      <c r="G173" s="2705"/>
      <c r="H173" s="2705"/>
      <c r="I173" s="17"/>
    </row>
    <row r="174" spans="1:9" s="60" customFormat="1" ht="21" customHeight="1">
      <c r="A174" s="2705"/>
      <c r="B174" s="2705"/>
      <c r="C174" s="2705"/>
      <c r="D174" s="2707" t="s">
        <v>241</v>
      </c>
      <c r="E174" s="2708"/>
      <c r="F174" s="2708"/>
      <c r="G174" s="1691">
        <f>AVERAGE(ISOdry13, SatPct13,Fluctu13,MAX(SeasWpct13, PermWpct13), Depth13, DepthEven13)</f>
        <v>0</v>
      </c>
      <c r="H174" s="1897" t="s">
        <v>1331</v>
      </c>
      <c r="I174" s="1898" t="s">
        <v>2773</v>
      </c>
    </row>
    <row r="175" spans="1:9" s="60" customFormat="1" ht="21" customHeight="1">
      <c r="A175" s="2705"/>
      <c r="B175" s="2705"/>
      <c r="C175" s="2705"/>
      <c r="D175" s="2709" t="s">
        <v>201</v>
      </c>
      <c r="E175" s="2710"/>
      <c r="F175" s="2710"/>
      <c r="G175" s="1692">
        <f>IF((NoPonded=1),"",AVERAGE(Interspers13, AVERAGE(AqPlantCov13,EmPct13,SizeHerbac13,SnagB13,VwidthAbs13)))</f>
        <v>0</v>
      </c>
      <c r="H175" s="1858" t="s">
        <v>1986</v>
      </c>
      <c r="I175" s="1899" t="s">
        <v>2774</v>
      </c>
    </row>
    <row r="176" spans="1:9" s="60" customFormat="1" ht="21" customHeight="1">
      <c r="A176" s="2705"/>
      <c r="B176" s="2705"/>
      <c r="C176" s="2705"/>
      <c r="D176" s="2709" t="s">
        <v>232</v>
      </c>
      <c r="E176" s="2710"/>
      <c r="F176" s="2710"/>
      <c r="G176" s="1692">
        <f>AVERAGE(Wettype13,Fringe13, Gradient13, Acidic13,ShoreSlope13,fISH13A, Island13)</f>
        <v>0</v>
      </c>
      <c r="H176" s="1920" t="s">
        <v>2824</v>
      </c>
      <c r="I176" s="1899" t="s">
        <v>2775</v>
      </c>
    </row>
    <row r="177" spans="1:9" s="60" customFormat="1" ht="21" customHeight="1">
      <c r="A177" s="2705"/>
      <c r="B177" s="2705"/>
      <c r="C177" s="2705"/>
      <c r="D177" s="2709" t="s">
        <v>279</v>
      </c>
      <c r="E177" s="2710"/>
      <c r="F177" s="2710"/>
      <c r="G177" s="1692">
        <f>MAX(Bduck13,AVERAGE(Lacus13a,LakeProx13,Fringe13,Beaver13,PondProx13))</f>
        <v>0</v>
      </c>
      <c r="H177" s="1920" t="s">
        <v>2822</v>
      </c>
      <c r="I177" s="1899" t="s">
        <v>2776</v>
      </c>
    </row>
    <row r="178" spans="1:9" s="60" customFormat="1" ht="21" customHeight="1">
      <c r="A178" s="2705"/>
      <c r="B178" s="2705"/>
      <c r="C178" s="2705"/>
      <c r="D178" s="2709" t="s">
        <v>1327</v>
      </c>
      <c r="E178" s="2710"/>
      <c r="F178" s="2710"/>
      <c r="G178" s="1712">
        <f>AVERAGE(Core1_13,Core2_13, _BMP13, toxics13)</f>
        <v>0</v>
      </c>
      <c r="H178" s="1920" t="s">
        <v>2823</v>
      </c>
      <c r="I178" s="1899" t="s">
        <v>2777</v>
      </c>
    </row>
    <row r="179" spans="1:9" s="60" customFormat="1" ht="21" customHeight="1" thickBot="1">
      <c r="A179" s="2705"/>
      <c r="B179" s="2705"/>
      <c r="C179" s="2705"/>
      <c r="D179" s="2711" t="s">
        <v>198</v>
      </c>
      <c r="E179" s="2712"/>
      <c r="F179" s="2712"/>
      <c r="G179" s="1693">
        <f>AVERAGE(BuffLUtype13, BuffNatPct13,RdDis13)</f>
        <v>0</v>
      </c>
      <c r="H179" s="1900" t="s">
        <v>2655</v>
      </c>
      <c r="I179" s="1901" t="s">
        <v>2778</v>
      </c>
    </row>
    <row r="180" spans="1:9" ht="21" customHeight="1" thickBot="1">
      <c r="A180" s="2705"/>
      <c r="B180" s="2705"/>
      <c r="C180" s="2705"/>
      <c r="D180" s="2716"/>
      <c r="E180" s="2716"/>
      <c r="F180" s="2717"/>
      <c r="G180" s="2717"/>
      <c r="H180" s="2716"/>
    </row>
    <row r="181" spans="1:9" s="60" customFormat="1" ht="45" customHeight="1" thickBot="1">
      <c r="A181" s="2705"/>
      <c r="B181" s="2706"/>
      <c r="C181" s="2713" t="s">
        <v>100</v>
      </c>
      <c r="D181" s="2714"/>
      <c r="E181" s="2715"/>
      <c r="F181" s="1690" t="s">
        <v>75</v>
      </c>
      <c r="G181" s="1800">
        <f>IF((AllSat1&gt;0),0, IF((TooSteep13=1),0, IF((TooSmall=1),0, 10*(3*AVERAGE(AqPlantCov13, SizeHerbac13, Wettype13,Wscape) +2*AVERAGE(Hydro13,Struc13,Produc13) + AVERAGE(Stressors13,Lscape13))/6)))</f>
        <v>0</v>
      </c>
      <c r="H181" s="2363" t="s">
        <v>2656</v>
      </c>
      <c r="I181" s="2364"/>
    </row>
    <row r="182" spans="1:9" s="60" customFormat="1" ht="30" customHeight="1" thickBot="1">
      <c r="A182" s="2705"/>
      <c r="B182" s="2706"/>
      <c r="C182" s="2713" t="s">
        <v>2418</v>
      </c>
      <c r="D182" s="2714"/>
      <c r="E182" s="2715"/>
      <c r="F182" s="1690" t="s">
        <v>2888</v>
      </c>
      <c r="G182" s="1801">
        <f>10*(IF((Rare13=1), IF(( _IBA13=1),1, HerbUniq13)))</f>
        <v>0</v>
      </c>
      <c r="H182" s="2363" t="s">
        <v>1580</v>
      </c>
      <c r="I182" s="2364"/>
    </row>
    <row r="183" spans="1:9" s="60" customFormat="1" ht="21" customHeight="1" thickBot="1">
      <c r="A183" s="58"/>
      <c r="B183" s="58"/>
      <c r="C183" s="58"/>
      <c r="D183" s="58"/>
      <c r="E183" s="58"/>
      <c r="F183" s="58"/>
      <c r="G183" s="58"/>
      <c r="H183" s="15"/>
      <c r="I183" s="17"/>
    </row>
    <row r="184" spans="1:9" s="60" customFormat="1" ht="21" customHeight="1" thickBot="1">
      <c r="A184" s="58"/>
      <c r="B184" s="58"/>
      <c r="C184" s="58"/>
      <c r="D184" s="58"/>
      <c r="E184" s="58"/>
      <c r="F184" s="58"/>
      <c r="G184" s="58"/>
      <c r="H184" s="2609" t="s">
        <v>806</v>
      </c>
      <c r="I184" s="2610"/>
    </row>
    <row r="185" spans="1:9" s="60" customFormat="1" ht="27" customHeight="1">
      <c r="A185" s="58"/>
      <c r="B185" s="58"/>
      <c r="C185" s="58"/>
      <c r="D185" s="58"/>
      <c r="E185" s="58"/>
      <c r="F185" s="58"/>
      <c r="G185" s="58"/>
      <c r="H185" s="2694" t="s">
        <v>1276</v>
      </c>
      <c r="I185" s="2695"/>
    </row>
    <row r="186" spans="1:9" s="60" customFormat="1" ht="21" customHeight="1">
      <c r="A186" s="58"/>
      <c r="B186" s="58"/>
      <c r="C186" s="58"/>
      <c r="D186" s="58"/>
      <c r="E186" s="58"/>
      <c r="F186" s="58"/>
      <c r="G186" s="58"/>
      <c r="H186" s="2367" t="s">
        <v>996</v>
      </c>
      <c r="I186" s="2368"/>
    </row>
    <row r="187" spans="1:9" s="60" customFormat="1" ht="27" customHeight="1">
      <c r="A187" s="58"/>
      <c r="B187" s="58"/>
      <c r="C187" s="58"/>
      <c r="D187" s="58"/>
      <c r="E187" s="58"/>
      <c r="F187" s="58"/>
      <c r="G187" s="58"/>
      <c r="H187" s="2367" t="s">
        <v>1202</v>
      </c>
      <c r="I187" s="2368"/>
    </row>
    <row r="188" spans="1:9" s="60" customFormat="1" ht="42" customHeight="1">
      <c r="A188" s="58"/>
      <c r="B188" s="58"/>
      <c r="C188" s="58"/>
      <c r="D188" s="58"/>
      <c r="E188" s="58"/>
      <c r="F188" s="58"/>
      <c r="G188" s="58"/>
      <c r="H188" s="2367" t="s">
        <v>997</v>
      </c>
      <c r="I188" s="2368"/>
    </row>
    <row r="189" spans="1:9" ht="27" customHeight="1">
      <c r="A189" s="58"/>
      <c r="B189" s="58"/>
      <c r="C189" s="58"/>
      <c r="D189" s="58"/>
      <c r="E189" s="58"/>
      <c r="F189" s="58"/>
      <c r="G189" s="58"/>
      <c r="H189" s="2371" t="s">
        <v>1660</v>
      </c>
      <c r="I189" s="2372"/>
    </row>
    <row r="190" spans="1:9" ht="27" customHeight="1">
      <c r="A190" s="58"/>
      <c r="B190" s="58"/>
      <c r="C190" s="58"/>
      <c r="D190" s="58"/>
      <c r="E190" s="58"/>
      <c r="F190" s="58"/>
      <c r="G190" s="58"/>
      <c r="H190" s="2371" t="s">
        <v>1661</v>
      </c>
      <c r="I190" s="2372"/>
    </row>
    <row r="191" spans="1:9" ht="27" customHeight="1">
      <c r="A191" s="58"/>
      <c r="B191" s="58"/>
      <c r="C191" s="58"/>
      <c r="D191" s="58"/>
      <c r="E191" s="58"/>
      <c r="F191" s="58"/>
      <c r="G191" s="58"/>
      <c r="H191" s="2367" t="s">
        <v>1204</v>
      </c>
      <c r="I191" s="2368"/>
    </row>
    <row r="192" spans="1:9" ht="27" customHeight="1">
      <c r="A192" s="58"/>
      <c r="B192" s="58"/>
      <c r="C192" s="58"/>
      <c r="D192" s="58"/>
      <c r="E192" s="58"/>
      <c r="F192" s="58"/>
      <c r="G192" s="58"/>
      <c r="H192" s="2367" t="s">
        <v>999</v>
      </c>
      <c r="I192" s="2368"/>
    </row>
    <row r="193" spans="1:9" ht="27" customHeight="1">
      <c r="A193" s="58"/>
      <c r="B193" s="58"/>
      <c r="C193" s="58"/>
      <c r="D193" s="58"/>
      <c r="E193" s="58"/>
      <c r="F193" s="58"/>
      <c r="G193" s="58"/>
      <c r="H193" s="2632" t="s">
        <v>1280</v>
      </c>
      <c r="I193" s="2702"/>
    </row>
    <row r="194" spans="1:9" s="1209" customFormat="1" ht="42" customHeight="1">
      <c r="A194" s="11"/>
      <c r="B194" s="4"/>
      <c r="C194" s="15"/>
      <c r="D194" s="757"/>
      <c r="E194" s="757"/>
      <c r="F194" s="1731"/>
      <c r="G194" s="1802"/>
      <c r="H194" s="2373" t="s">
        <v>2181</v>
      </c>
      <c r="I194" s="2374"/>
    </row>
    <row r="195" spans="1:9" s="1209" customFormat="1" ht="27" customHeight="1">
      <c r="A195" s="11"/>
      <c r="B195" s="4"/>
      <c r="C195" s="15"/>
      <c r="D195" s="757"/>
      <c r="E195" s="757"/>
      <c r="F195" s="1731"/>
      <c r="G195" s="1802"/>
      <c r="H195" s="2549" t="s">
        <v>2631</v>
      </c>
      <c r="I195" s="2550"/>
    </row>
    <row r="196" spans="1:9" s="1790" customFormat="1" ht="27" customHeight="1">
      <c r="A196" s="12"/>
      <c r="B196" s="12"/>
      <c r="C196" s="7"/>
      <c r="D196" s="359"/>
      <c r="E196" s="359"/>
      <c r="F196" s="359"/>
      <c r="G196" s="1016"/>
      <c r="H196" s="2549" t="s">
        <v>2630</v>
      </c>
      <c r="I196" s="2550"/>
    </row>
    <row r="197" spans="1:9" ht="27" customHeight="1">
      <c r="A197" s="58"/>
      <c r="B197" s="58"/>
      <c r="C197" s="58"/>
      <c r="D197" s="58"/>
      <c r="E197" s="58"/>
      <c r="F197" s="58"/>
      <c r="G197" s="58"/>
      <c r="H197" s="2371" t="s">
        <v>1662</v>
      </c>
      <c r="I197" s="2372"/>
    </row>
    <row r="198" spans="1:9" ht="27" customHeight="1">
      <c r="A198" s="58"/>
      <c r="B198" s="58"/>
      <c r="C198" s="58"/>
      <c r="D198" s="58"/>
      <c r="E198" s="58"/>
      <c r="F198" s="58"/>
      <c r="G198" s="58"/>
      <c r="H198" s="2371" t="s">
        <v>1663</v>
      </c>
      <c r="I198" s="2372"/>
    </row>
    <row r="199" spans="1:9" ht="27" customHeight="1">
      <c r="A199" s="58"/>
      <c r="B199" s="58"/>
      <c r="C199" s="58"/>
      <c r="D199" s="58"/>
      <c r="E199" s="58"/>
      <c r="F199" s="58"/>
      <c r="G199" s="58"/>
      <c r="H199" s="2703" t="s">
        <v>1277</v>
      </c>
      <c r="I199" s="2704"/>
    </row>
    <row r="200" spans="1:9" ht="27" customHeight="1">
      <c r="A200" s="58"/>
      <c r="B200" s="58"/>
      <c r="C200" s="58"/>
      <c r="D200" s="58"/>
      <c r="E200" s="58"/>
      <c r="F200" s="58"/>
      <c r="G200" s="58"/>
      <c r="H200" s="2549" t="s">
        <v>1278</v>
      </c>
      <c r="I200" s="2550"/>
    </row>
    <row r="201" spans="1:9" ht="42" customHeight="1">
      <c r="A201" s="58"/>
      <c r="B201" s="58"/>
      <c r="C201" s="58"/>
      <c r="D201" s="58"/>
      <c r="E201" s="58"/>
      <c r="F201" s="58"/>
      <c r="G201" s="58"/>
      <c r="H201" s="2700" t="s">
        <v>1695</v>
      </c>
      <c r="I201" s="2701"/>
    </row>
    <row r="202" spans="1:9" s="1209" customFormat="1" ht="27" customHeight="1" thickBot="1">
      <c r="A202" s="11"/>
      <c r="B202" s="4"/>
      <c r="C202" s="15"/>
      <c r="D202" s="757"/>
      <c r="E202" s="757"/>
      <c r="F202" s="1731"/>
      <c r="G202" s="1802"/>
      <c r="H202" s="2696" t="s">
        <v>2632</v>
      </c>
      <c r="I202" s="2697"/>
    </row>
    <row r="203" spans="1:9" s="1209" customFormat="1">
      <c r="A203" s="11"/>
      <c r="B203" s="4"/>
      <c r="C203" s="15"/>
      <c r="D203" s="757"/>
      <c r="E203" s="757"/>
      <c r="F203" s="1731"/>
      <c r="G203" s="1802"/>
      <c r="H203" s="24"/>
      <c r="I203" s="12"/>
    </row>
    <row r="204" spans="1:9" s="1209" customFormat="1">
      <c r="A204" s="11"/>
      <c r="B204" s="4"/>
      <c r="C204" s="15"/>
      <c r="D204" s="757"/>
      <c r="E204" s="757"/>
      <c r="F204" s="1731"/>
      <c r="G204" s="1802"/>
      <c r="H204" s="1732"/>
      <c r="I204" s="17"/>
    </row>
    <row r="205" spans="1:9" s="60" customFormat="1">
      <c r="A205" s="58"/>
      <c r="B205" s="46"/>
      <c r="C205" s="59"/>
      <c r="D205" s="837"/>
      <c r="E205" s="837"/>
      <c r="F205" s="834"/>
      <c r="G205" s="838"/>
      <c r="H205" s="23"/>
      <c r="I205" s="17"/>
    </row>
    <row r="206" spans="1:9" s="60" customFormat="1">
      <c r="A206" s="58"/>
      <c r="B206" s="46"/>
      <c r="C206" s="59"/>
      <c r="D206" s="837"/>
      <c r="E206" s="837"/>
      <c r="F206" s="834"/>
      <c r="G206" s="838"/>
      <c r="H206" s="23"/>
      <c r="I206" s="17"/>
    </row>
    <row r="207" spans="1:9" s="60" customFormat="1">
      <c r="A207" s="58"/>
      <c r="B207" s="46"/>
      <c r="C207" s="59"/>
      <c r="D207" s="837"/>
      <c r="E207" s="837"/>
      <c r="F207" s="834"/>
      <c r="G207" s="838"/>
      <c r="H207" s="23"/>
      <c r="I207" s="17"/>
    </row>
    <row r="208" spans="1:9" s="60" customFormat="1">
      <c r="A208" s="58"/>
      <c r="B208" s="46"/>
      <c r="C208" s="59"/>
      <c r="D208" s="837"/>
      <c r="E208" s="837"/>
      <c r="F208" s="834"/>
      <c r="G208" s="838"/>
      <c r="H208" s="23"/>
      <c r="I208" s="17"/>
    </row>
    <row r="209" spans="1:9" s="60" customFormat="1">
      <c r="A209" s="58"/>
      <c r="B209" s="46"/>
      <c r="C209" s="59"/>
      <c r="D209" s="837"/>
      <c r="E209" s="837"/>
      <c r="F209" s="834"/>
      <c r="G209" s="838"/>
      <c r="H209" s="23"/>
      <c r="I209" s="17"/>
    </row>
    <row r="210" spans="1:9" s="60" customFormat="1">
      <c r="A210" s="58"/>
      <c r="B210" s="46"/>
      <c r="C210" s="59"/>
      <c r="D210" s="837"/>
      <c r="E210" s="837"/>
      <c r="F210" s="834"/>
      <c r="G210" s="838"/>
      <c r="H210" s="23"/>
      <c r="I210" s="17"/>
    </row>
    <row r="211" spans="1:9" s="60" customFormat="1">
      <c r="A211" s="58"/>
      <c r="B211" s="46"/>
      <c r="C211" s="59"/>
      <c r="D211" s="837"/>
      <c r="E211" s="837"/>
      <c r="F211" s="834"/>
      <c r="G211" s="838"/>
      <c r="H211" s="23"/>
      <c r="I211" s="17"/>
    </row>
    <row r="212" spans="1:9" s="60" customFormat="1">
      <c r="A212" s="58"/>
      <c r="B212" s="46"/>
      <c r="C212" s="59"/>
      <c r="D212" s="837"/>
      <c r="E212" s="837"/>
      <c r="F212" s="834"/>
      <c r="G212" s="838"/>
      <c r="H212" s="23"/>
      <c r="I212" s="17"/>
    </row>
    <row r="213" spans="1:9" s="60" customFormat="1">
      <c r="A213" s="58"/>
      <c r="B213" s="46"/>
      <c r="C213" s="59"/>
      <c r="D213" s="837"/>
      <c r="E213" s="837"/>
      <c r="F213" s="834"/>
      <c r="G213" s="838"/>
      <c r="H213" s="23"/>
      <c r="I213" s="17"/>
    </row>
    <row r="214" spans="1:9" s="60" customFormat="1">
      <c r="A214" s="58"/>
      <c r="B214" s="46"/>
      <c r="C214" s="59"/>
      <c r="D214" s="837"/>
      <c r="E214" s="837"/>
      <c r="F214" s="834"/>
      <c r="G214" s="838"/>
      <c r="H214" s="23"/>
      <c r="I214" s="17"/>
    </row>
    <row r="215" spans="1:9" s="60" customFormat="1">
      <c r="A215" s="58"/>
      <c r="B215" s="46"/>
      <c r="C215" s="59"/>
      <c r="D215" s="837"/>
      <c r="E215" s="837"/>
      <c r="F215" s="834"/>
      <c r="G215" s="838"/>
      <c r="H215" s="23"/>
      <c r="I215" s="17"/>
    </row>
    <row r="216" spans="1:9" s="60" customFormat="1">
      <c r="A216" s="58"/>
      <c r="B216" s="46"/>
      <c r="C216" s="59"/>
      <c r="D216" s="837"/>
      <c r="E216" s="837"/>
      <c r="F216" s="834"/>
      <c r="G216" s="838"/>
      <c r="H216" s="23"/>
      <c r="I216" s="17"/>
    </row>
    <row r="217" spans="1:9" s="60" customFormat="1">
      <c r="A217" s="58"/>
      <c r="B217" s="46"/>
      <c r="C217" s="59"/>
      <c r="D217" s="837"/>
      <c r="E217" s="837"/>
      <c r="F217" s="834"/>
      <c r="G217" s="838"/>
      <c r="H217" s="23"/>
      <c r="I217" s="17"/>
    </row>
    <row r="218" spans="1:9" s="60" customFormat="1">
      <c r="A218" s="58"/>
      <c r="B218" s="46"/>
      <c r="C218" s="59"/>
      <c r="D218" s="837"/>
      <c r="E218" s="837"/>
      <c r="F218" s="834"/>
      <c r="G218" s="838"/>
      <c r="H218" s="23"/>
      <c r="I218" s="17"/>
    </row>
    <row r="219" spans="1:9" s="60" customFormat="1">
      <c r="A219" s="58"/>
      <c r="B219" s="46"/>
      <c r="C219" s="59"/>
      <c r="D219" s="837"/>
      <c r="E219" s="837"/>
      <c r="F219" s="834"/>
      <c r="G219" s="838"/>
      <c r="H219" s="23"/>
      <c r="I219" s="17"/>
    </row>
    <row r="220" spans="1:9" s="60" customFormat="1">
      <c r="A220" s="58"/>
      <c r="B220" s="46"/>
      <c r="C220" s="59"/>
      <c r="D220" s="837"/>
      <c r="E220" s="837"/>
      <c r="F220" s="834"/>
      <c r="G220" s="838"/>
      <c r="H220" s="23"/>
      <c r="I220" s="17"/>
    </row>
    <row r="221" spans="1:9" s="60" customFormat="1">
      <c r="A221" s="58"/>
      <c r="B221" s="46"/>
      <c r="C221" s="59"/>
      <c r="D221" s="837"/>
      <c r="E221" s="837"/>
      <c r="F221" s="834"/>
      <c r="G221" s="838"/>
      <c r="H221" s="23"/>
      <c r="I221" s="17"/>
    </row>
    <row r="222" spans="1:9" s="60" customFormat="1">
      <c r="A222" s="58"/>
      <c r="B222" s="46"/>
      <c r="C222" s="59"/>
      <c r="D222" s="837"/>
      <c r="E222" s="837"/>
      <c r="F222" s="834"/>
      <c r="G222" s="838"/>
      <c r="H222" s="23"/>
      <c r="I222" s="17"/>
    </row>
    <row r="223" spans="1:9" s="60" customFormat="1">
      <c r="A223" s="58"/>
      <c r="B223" s="46"/>
      <c r="C223" s="59"/>
      <c r="D223" s="837"/>
      <c r="E223" s="837"/>
      <c r="F223" s="834"/>
      <c r="G223" s="838"/>
      <c r="H223" s="23"/>
      <c r="I223" s="17"/>
    </row>
    <row r="224" spans="1:9" s="60" customFormat="1">
      <c r="A224" s="58"/>
      <c r="B224" s="46"/>
      <c r="C224" s="59"/>
      <c r="D224" s="837"/>
      <c r="E224" s="837"/>
      <c r="F224" s="834"/>
      <c r="G224" s="838"/>
      <c r="H224" s="23"/>
      <c r="I224" s="17"/>
    </row>
    <row r="225" spans="1:9" s="60" customFormat="1">
      <c r="A225" s="58"/>
      <c r="B225" s="46"/>
      <c r="C225" s="59"/>
      <c r="D225" s="837"/>
      <c r="E225" s="837"/>
      <c r="F225" s="834"/>
      <c r="G225" s="838"/>
      <c r="H225" s="23"/>
      <c r="I225" s="17"/>
    </row>
    <row r="226" spans="1:9" s="60" customFormat="1">
      <c r="A226" s="58"/>
      <c r="B226" s="46"/>
      <c r="C226" s="59"/>
      <c r="D226" s="837"/>
      <c r="E226" s="837"/>
      <c r="F226" s="834"/>
      <c r="G226" s="838"/>
      <c r="H226" s="23"/>
      <c r="I226" s="17"/>
    </row>
    <row r="227" spans="1:9" s="60" customFormat="1">
      <c r="A227" s="58"/>
      <c r="B227" s="46"/>
      <c r="C227" s="59"/>
      <c r="D227" s="837"/>
      <c r="E227" s="837"/>
      <c r="F227" s="834"/>
      <c r="G227" s="838"/>
      <c r="H227" s="23"/>
      <c r="I227" s="17"/>
    </row>
    <row r="228" spans="1:9" s="60" customFormat="1">
      <c r="A228" s="58"/>
      <c r="B228" s="46"/>
      <c r="C228" s="59"/>
      <c r="D228" s="837"/>
      <c r="E228" s="837"/>
      <c r="F228" s="834"/>
      <c r="G228" s="838"/>
      <c r="H228" s="23"/>
      <c r="I228" s="17"/>
    </row>
    <row r="229" spans="1:9" s="60" customFormat="1">
      <c r="A229" s="58"/>
      <c r="B229" s="46"/>
      <c r="C229" s="59"/>
      <c r="D229" s="837"/>
      <c r="E229" s="837"/>
      <c r="F229" s="834"/>
      <c r="G229" s="838"/>
      <c r="H229" s="23"/>
      <c r="I229" s="17"/>
    </row>
    <row r="230" spans="1:9" s="60" customFormat="1">
      <c r="A230" s="58"/>
      <c r="B230" s="46"/>
      <c r="C230" s="59"/>
      <c r="D230" s="837"/>
      <c r="E230" s="837"/>
      <c r="F230" s="834"/>
      <c r="G230" s="838"/>
      <c r="H230" s="23"/>
      <c r="I230" s="17"/>
    </row>
    <row r="231" spans="1:9" s="60" customFormat="1">
      <c r="A231" s="58"/>
      <c r="B231" s="46"/>
      <c r="C231" s="59"/>
      <c r="D231" s="837"/>
      <c r="E231" s="837"/>
      <c r="F231" s="834"/>
      <c r="G231" s="838"/>
      <c r="H231" s="23"/>
      <c r="I231" s="17"/>
    </row>
    <row r="232" spans="1:9" s="60" customFormat="1">
      <c r="A232" s="58"/>
      <c r="B232" s="46"/>
      <c r="C232" s="59"/>
      <c r="D232" s="837"/>
      <c r="E232" s="837"/>
      <c r="F232" s="834"/>
      <c r="G232" s="838"/>
      <c r="H232" s="23"/>
      <c r="I232" s="17"/>
    </row>
    <row r="233" spans="1:9" s="60" customFormat="1">
      <c r="A233" s="58"/>
      <c r="B233" s="46"/>
      <c r="C233" s="59"/>
      <c r="D233" s="837"/>
      <c r="E233" s="837"/>
      <c r="F233" s="834"/>
      <c r="G233" s="838"/>
      <c r="H233" s="23"/>
      <c r="I233" s="17"/>
    </row>
    <row r="234" spans="1:9" s="60" customFormat="1">
      <c r="A234" s="58"/>
      <c r="B234" s="46"/>
      <c r="C234" s="59"/>
      <c r="D234" s="837"/>
      <c r="E234" s="837"/>
      <c r="F234" s="834"/>
      <c r="G234" s="838"/>
      <c r="H234" s="23"/>
      <c r="I234" s="17"/>
    </row>
    <row r="235" spans="1:9" s="60" customFormat="1">
      <c r="A235" s="58"/>
      <c r="B235" s="46"/>
      <c r="C235" s="59"/>
      <c r="D235" s="837"/>
      <c r="E235" s="837"/>
      <c r="F235" s="834"/>
      <c r="G235" s="838"/>
      <c r="H235" s="23"/>
      <c r="I235" s="17"/>
    </row>
    <row r="236" spans="1:9" s="60" customFormat="1">
      <c r="A236" s="58"/>
      <c r="B236" s="46"/>
      <c r="C236" s="59"/>
      <c r="D236" s="837"/>
      <c r="E236" s="837"/>
      <c r="F236" s="834"/>
      <c r="G236" s="838"/>
      <c r="H236" s="23"/>
      <c r="I236" s="17"/>
    </row>
    <row r="237" spans="1:9" s="60" customFormat="1">
      <c r="A237" s="58"/>
      <c r="B237" s="46"/>
      <c r="C237" s="59"/>
      <c r="D237" s="837"/>
      <c r="E237" s="837"/>
      <c r="F237" s="834"/>
      <c r="G237" s="838"/>
      <c r="H237" s="23"/>
      <c r="I237" s="17"/>
    </row>
    <row r="238" spans="1:9" s="60" customFormat="1">
      <c r="A238" s="58"/>
      <c r="B238" s="46"/>
      <c r="C238" s="59"/>
      <c r="D238" s="837"/>
      <c r="E238" s="837"/>
      <c r="F238" s="834"/>
      <c r="G238" s="838"/>
      <c r="H238" s="23"/>
      <c r="I238" s="17"/>
    </row>
    <row r="239" spans="1:9" s="60" customFormat="1">
      <c r="A239" s="58"/>
      <c r="B239" s="46"/>
      <c r="C239" s="59"/>
      <c r="D239" s="837"/>
      <c r="E239" s="837"/>
      <c r="F239" s="834"/>
      <c r="G239" s="838"/>
      <c r="H239" s="23"/>
      <c r="I239" s="17"/>
    </row>
    <row r="240" spans="1:9" s="60" customFormat="1">
      <c r="A240" s="58"/>
      <c r="B240" s="46"/>
      <c r="C240" s="59"/>
      <c r="D240" s="837"/>
      <c r="E240" s="837"/>
      <c r="F240" s="834"/>
      <c r="G240" s="838"/>
      <c r="H240" s="23"/>
      <c r="I240" s="17"/>
    </row>
    <row r="241" spans="1:9" s="60" customFormat="1">
      <c r="A241" s="58"/>
      <c r="B241" s="46"/>
      <c r="C241" s="59"/>
      <c r="D241" s="837"/>
      <c r="E241" s="837"/>
      <c r="F241" s="834"/>
      <c r="G241" s="838"/>
      <c r="H241" s="23"/>
      <c r="I241" s="17"/>
    </row>
    <row r="242" spans="1:9" s="60" customFormat="1">
      <c r="A242" s="58"/>
      <c r="B242" s="46"/>
      <c r="C242" s="59"/>
      <c r="D242" s="837"/>
      <c r="E242" s="837"/>
      <c r="F242" s="834"/>
      <c r="G242" s="838"/>
      <c r="H242" s="23"/>
      <c r="I242" s="17"/>
    </row>
    <row r="243" spans="1:9" s="60" customFormat="1">
      <c r="A243" s="58"/>
      <c r="B243" s="46"/>
      <c r="C243" s="59"/>
      <c r="D243" s="837"/>
      <c r="E243" s="837"/>
      <c r="F243" s="834"/>
      <c r="G243" s="838"/>
      <c r="H243" s="23"/>
      <c r="I243" s="17"/>
    </row>
    <row r="244" spans="1:9" s="60" customFormat="1">
      <c r="A244" s="58"/>
      <c r="B244" s="46"/>
      <c r="C244" s="59"/>
      <c r="D244" s="837"/>
      <c r="E244" s="837"/>
      <c r="F244" s="834"/>
      <c r="G244" s="838"/>
      <c r="H244" s="23"/>
      <c r="I244" s="17"/>
    </row>
    <row r="245" spans="1:9" s="60" customFormat="1">
      <c r="A245" s="58"/>
      <c r="B245" s="46"/>
      <c r="C245" s="59"/>
      <c r="D245" s="837"/>
      <c r="E245" s="837"/>
      <c r="F245" s="834"/>
      <c r="G245" s="838"/>
      <c r="H245" s="23"/>
      <c r="I245" s="17"/>
    </row>
    <row r="246" spans="1:9" s="60" customFormat="1">
      <c r="A246" s="58"/>
      <c r="B246" s="46"/>
      <c r="C246" s="59"/>
      <c r="D246" s="837"/>
      <c r="E246" s="837"/>
      <c r="F246" s="834"/>
      <c r="G246" s="838"/>
      <c r="H246" s="23"/>
      <c r="I246" s="17"/>
    </row>
    <row r="247" spans="1:9" s="60" customFormat="1">
      <c r="A247" s="58"/>
      <c r="B247" s="46"/>
      <c r="C247" s="59"/>
      <c r="D247" s="837"/>
      <c r="E247" s="837"/>
      <c r="F247" s="834"/>
      <c r="G247" s="838"/>
      <c r="H247" s="23"/>
      <c r="I247" s="17"/>
    </row>
    <row r="248" spans="1:9" s="60" customFormat="1">
      <c r="A248" s="58"/>
      <c r="B248" s="46"/>
      <c r="C248" s="59"/>
      <c r="D248" s="837"/>
      <c r="E248" s="837"/>
      <c r="F248" s="834"/>
      <c r="G248" s="838"/>
      <c r="H248" s="23"/>
      <c r="I248" s="17"/>
    </row>
    <row r="249" spans="1:9" s="60" customFormat="1">
      <c r="A249" s="58"/>
      <c r="B249" s="46"/>
      <c r="C249" s="59"/>
      <c r="D249" s="837"/>
      <c r="E249" s="837"/>
      <c r="F249" s="834"/>
      <c r="G249" s="838"/>
      <c r="H249" s="23"/>
      <c r="I249" s="17"/>
    </row>
    <row r="250" spans="1:9" s="60" customFormat="1">
      <c r="A250" s="58"/>
      <c r="B250" s="46"/>
      <c r="C250" s="59"/>
      <c r="D250" s="837"/>
      <c r="E250" s="837"/>
      <c r="F250" s="834"/>
      <c r="G250" s="838"/>
      <c r="H250" s="23"/>
      <c r="I250" s="17"/>
    </row>
    <row r="251" spans="1:9" s="60" customFormat="1">
      <c r="A251" s="58"/>
      <c r="B251" s="46"/>
      <c r="C251" s="59"/>
      <c r="D251" s="837"/>
      <c r="E251" s="837"/>
      <c r="F251" s="834"/>
      <c r="G251" s="838"/>
      <c r="H251" s="23"/>
      <c r="I251" s="17"/>
    </row>
    <row r="252" spans="1:9" s="60" customFormat="1">
      <c r="A252" s="58"/>
      <c r="B252" s="46"/>
      <c r="C252" s="59"/>
      <c r="D252" s="837"/>
      <c r="E252" s="837"/>
      <c r="F252" s="834"/>
      <c r="G252" s="838"/>
      <c r="H252" s="23"/>
      <c r="I252" s="17"/>
    </row>
    <row r="253" spans="1:9" s="60" customFormat="1">
      <c r="A253" s="58"/>
      <c r="B253" s="46"/>
      <c r="C253" s="59"/>
      <c r="D253" s="837"/>
      <c r="E253" s="837"/>
      <c r="F253" s="834"/>
      <c r="G253" s="838"/>
      <c r="H253" s="23"/>
      <c r="I253" s="17"/>
    </row>
    <row r="254" spans="1:9" s="60" customFormat="1">
      <c r="A254" s="58"/>
      <c r="B254" s="46"/>
      <c r="C254" s="59"/>
      <c r="D254" s="837"/>
      <c r="E254" s="837"/>
      <c r="F254" s="834"/>
      <c r="G254" s="838"/>
      <c r="H254" s="23"/>
      <c r="I254" s="17"/>
    </row>
    <row r="255" spans="1:9" s="60" customFormat="1">
      <c r="A255" s="58"/>
      <c r="B255" s="46"/>
      <c r="C255" s="59"/>
      <c r="D255" s="837"/>
      <c r="E255" s="837"/>
      <c r="F255" s="834"/>
      <c r="G255" s="838"/>
      <c r="H255" s="23"/>
      <c r="I255" s="17"/>
    </row>
    <row r="256" spans="1:9" s="60" customFormat="1">
      <c r="A256" s="58"/>
      <c r="B256" s="46"/>
      <c r="C256" s="59"/>
      <c r="D256" s="837"/>
      <c r="E256" s="837"/>
      <c r="F256" s="834"/>
      <c r="G256" s="838"/>
      <c r="H256" s="23"/>
      <c r="I256" s="17"/>
    </row>
    <row r="257" spans="1:9" s="60" customFormat="1">
      <c r="A257" s="58"/>
      <c r="B257" s="46"/>
      <c r="C257" s="59"/>
      <c r="D257" s="837"/>
      <c r="E257" s="837"/>
      <c r="F257" s="834"/>
      <c r="G257" s="838"/>
      <c r="H257" s="23"/>
      <c r="I257" s="17"/>
    </row>
    <row r="258" spans="1:9" s="60" customFormat="1">
      <c r="A258" s="58"/>
      <c r="B258" s="46"/>
      <c r="C258" s="59"/>
      <c r="D258" s="837"/>
      <c r="E258" s="837"/>
      <c r="F258" s="834"/>
      <c r="G258" s="838"/>
      <c r="H258" s="23"/>
      <c r="I258" s="17"/>
    </row>
    <row r="259" spans="1:9" s="60" customFormat="1">
      <c r="A259" s="58"/>
      <c r="B259" s="46"/>
      <c r="C259" s="59"/>
      <c r="D259" s="837"/>
      <c r="E259" s="837"/>
      <c r="F259" s="834"/>
      <c r="G259" s="838"/>
      <c r="H259" s="23"/>
      <c r="I259" s="17"/>
    </row>
    <row r="260" spans="1:9" s="60" customFormat="1">
      <c r="A260" s="58"/>
      <c r="B260" s="46"/>
      <c r="C260" s="59"/>
      <c r="D260" s="837"/>
      <c r="E260" s="837"/>
      <c r="F260" s="834"/>
      <c r="G260" s="838"/>
      <c r="H260" s="23"/>
      <c r="I260" s="17"/>
    </row>
    <row r="261" spans="1:9" s="60" customFormat="1">
      <c r="A261" s="58"/>
      <c r="B261" s="46"/>
      <c r="C261" s="59"/>
      <c r="D261" s="837"/>
      <c r="E261" s="837"/>
      <c r="F261" s="834"/>
      <c r="G261" s="838"/>
      <c r="H261" s="23"/>
      <c r="I261" s="17"/>
    </row>
    <row r="262" spans="1:9" s="60" customFormat="1">
      <c r="A262" s="58"/>
      <c r="B262" s="46"/>
      <c r="C262" s="59"/>
      <c r="D262" s="837"/>
      <c r="E262" s="837"/>
      <c r="F262" s="834"/>
      <c r="G262" s="838"/>
      <c r="H262" s="23"/>
      <c r="I262" s="17"/>
    </row>
    <row r="263" spans="1:9" s="60" customFormat="1">
      <c r="A263" s="58"/>
      <c r="B263" s="46"/>
      <c r="C263" s="59"/>
      <c r="D263" s="837"/>
      <c r="E263" s="837"/>
      <c r="F263" s="834"/>
      <c r="G263" s="838"/>
      <c r="H263" s="23"/>
      <c r="I263" s="17"/>
    </row>
    <row r="264" spans="1:9" s="60" customFormat="1">
      <c r="A264" s="58"/>
      <c r="B264" s="46"/>
      <c r="C264" s="59"/>
      <c r="D264" s="837"/>
      <c r="E264" s="837"/>
      <c r="F264" s="834"/>
      <c r="G264" s="838"/>
      <c r="H264" s="23"/>
      <c r="I264" s="17"/>
    </row>
    <row r="265" spans="1:9" s="60" customFormat="1">
      <c r="A265" s="58"/>
      <c r="B265" s="46"/>
      <c r="C265" s="59"/>
      <c r="D265" s="837"/>
      <c r="E265" s="837"/>
      <c r="F265" s="834"/>
      <c r="G265" s="838"/>
      <c r="H265" s="23"/>
      <c r="I265" s="17"/>
    </row>
    <row r="266" spans="1:9" s="60" customFormat="1">
      <c r="A266" s="58"/>
      <c r="B266" s="46"/>
      <c r="C266" s="59"/>
      <c r="D266" s="837"/>
      <c r="E266" s="837"/>
      <c r="F266" s="834"/>
      <c r="G266" s="838"/>
      <c r="H266" s="23"/>
      <c r="I266" s="17"/>
    </row>
    <row r="267" spans="1:9" s="60" customFormat="1">
      <c r="A267" s="58"/>
      <c r="B267" s="46"/>
      <c r="C267" s="59"/>
      <c r="D267" s="837"/>
      <c r="E267" s="837"/>
      <c r="F267" s="834"/>
      <c r="G267" s="838"/>
      <c r="H267" s="23"/>
      <c r="I267" s="17"/>
    </row>
    <row r="268" spans="1:9" s="60" customFormat="1">
      <c r="A268" s="58"/>
      <c r="B268" s="46"/>
      <c r="C268" s="59"/>
      <c r="D268" s="837"/>
      <c r="E268" s="837"/>
      <c r="F268" s="834"/>
      <c r="G268" s="838"/>
      <c r="H268" s="23"/>
      <c r="I268" s="17"/>
    </row>
    <row r="269" spans="1:9" s="60" customFormat="1">
      <c r="A269" s="58"/>
      <c r="B269" s="46"/>
      <c r="C269" s="59"/>
      <c r="D269" s="837"/>
      <c r="E269" s="837"/>
      <c r="F269" s="834"/>
      <c r="G269" s="838"/>
      <c r="H269" s="23"/>
      <c r="I269" s="17"/>
    </row>
    <row r="270" spans="1:9" s="60" customFormat="1">
      <c r="A270" s="58"/>
      <c r="B270" s="46"/>
      <c r="C270" s="59"/>
      <c r="D270" s="837"/>
      <c r="E270" s="837"/>
      <c r="F270" s="834"/>
      <c r="G270" s="838"/>
      <c r="H270" s="23"/>
      <c r="I270" s="17"/>
    </row>
    <row r="271" spans="1:9" s="60" customFormat="1">
      <c r="A271" s="58"/>
      <c r="B271" s="46"/>
      <c r="C271" s="59"/>
      <c r="D271" s="837"/>
      <c r="E271" s="837"/>
      <c r="F271" s="834"/>
      <c r="G271" s="838"/>
      <c r="H271" s="23"/>
      <c r="I271" s="17"/>
    </row>
    <row r="272" spans="1:9" s="60" customFormat="1">
      <c r="A272" s="58"/>
      <c r="B272" s="46"/>
      <c r="C272" s="59"/>
      <c r="D272" s="837"/>
      <c r="E272" s="837"/>
      <c r="F272" s="834"/>
      <c r="G272" s="838"/>
      <c r="H272" s="23"/>
      <c r="I272" s="17"/>
    </row>
    <row r="273" spans="1:9" s="60" customFormat="1">
      <c r="A273" s="58"/>
      <c r="B273" s="46"/>
      <c r="C273" s="59"/>
      <c r="D273" s="837"/>
      <c r="E273" s="837"/>
      <c r="F273" s="834"/>
      <c r="G273" s="838"/>
      <c r="H273" s="23"/>
      <c r="I273" s="17"/>
    </row>
    <row r="274" spans="1:9" s="60" customFormat="1">
      <c r="A274" s="58"/>
      <c r="B274" s="46"/>
      <c r="C274" s="59"/>
      <c r="D274" s="837"/>
      <c r="E274" s="837"/>
      <c r="F274" s="834"/>
      <c r="G274" s="838"/>
      <c r="H274" s="23"/>
      <c r="I274" s="17"/>
    </row>
    <row r="275" spans="1:9" s="60" customFormat="1">
      <c r="A275" s="58"/>
      <c r="B275" s="46"/>
      <c r="C275" s="59"/>
      <c r="D275" s="837"/>
      <c r="E275" s="837"/>
      <c r="F275" s="834"/>
      <c r="G275" s="838"/>
      <c r="H275" s="23"/>
      <c r="I275" s="17"/>
    </row>
    <row r="276" spans="1:9" s="60" customFormat="1">
      <c r="A276" s="58"/>
      <c r="B276" s="46"/>
      <c r="C276" s="59"/>
      <c r="D276" s="837"/>
      <c r="E276" s="837"/>
      <c r="F276" s="834"/>
      <c r="G276" s="838"/>
      <c r="H276" s="23"/>
      <c r="I276" s="17"/>
    </row>
    <row r="277" spans="1:9" s="60" customFormat="1">
      <c r="A277" s="58"/>
      <c r="B277" s="46"/>
      <c r="C277" s="59"/>
      <c r="D277" s="837"/>
      <c r="E277" s="837"/>
      <c r="F277" s="834"/>
      <c r="G277" s="838"/>
      <c r="H277" s="23"/>
      <c r="I277" s="17"/>
    </row>
    <row r="278" spans="1:9" s="60" customFormat="1">
      <c r="A278" s="58"/>
      <c r="B278" s="46"/>
      <c r="C278" s="59"/>
      <c r="D278" s="837"/>
      <c r="E278" s="837"/>
      <c r="F278" s="834"/>
      <c r="G278" s="838"/>
      <c r="H278" s="23"/>
      <c r="I278" s="17"/>
    </row>
    <row r="279" spans="1:9" s="60" customFormat="1">
      <c r="A279" s="58"/>
      <c r="B279" s="46"/>
      <c r="C279" s="59"/>
      <c r="D279" s="837"/>
      <c r="E279" s="837"/>
      <c r="F279" s="834"/>
      <c r="G279" s="838"/>
      <c r="H279" s="23"/>
      <c r="I279" s="17"/>
    </row>
    <row r="280" spans="1:9" s="60" customFormat="1">
      <c r="A280" s="58"/>
      <c r="B280" s="46"/>
      <c r="C280" s="59"/>
      <c r="D280" s="837"/>
      <c r="E280" s="837"/>
      <c r="F280" s="834"/>
      <c r="G280" s="838"/>
      <c r="H280" s="23"/>
      <c r="I280" s="17"/>
    </row>
    <row r="281" spans="1:9" s="60" customFormat="1">
      <c r="A281" s="58"/>
      <c r="B281" s="46"/>
      <c r="C281" s="59"/>
      <c r="D281" s="837"/>
      <c r="E281" s="837"/>
      <c r="F281" s="834"/>
      <c r="G281" s="838"/>
      <c r="H281" s="23"/>
      <c r="I281" s="17"/>
    </row>
    <row r="282" spans="1:9" s="60" customFormat="1">
      <c r="A282" s="58"/>
      <c r="B282" s="46"/>
      <c r="C282" s="59"/>
      <c r="D282" s="837"/>
      <c r="E282" s="837"/>
      <c r="F282" s="834"/>
      <c r="G282" s="838"/>
      <c r="H282" s="23"/>
      <c r="I282" s="17"/>
    </row>
    <row r="283" spans="1:9" s="60" customFormat="1">
      <c r="A283" s="58"/>
      <c r="B283" s="46"/>
      <c r="C283" s="59"/>
      <c r="D283" s="837"/>
      <c r="E283" s="837"/>
      <c r="F283" s="834"/>
      <c r="G283" s="838"/>
      <c r="H283" s="23"/>
      <c r="I283" s="17"/>
    </row>
    <row r="284" spans="1:9" s="60" customFormat="1">
      <c r="A284" s="58"/>
      <c r="B284" s="46"/>
      <c r="C284" s="59"/>
      <c r="D284" s="837"/>
      <c r="E284" s="837"/>
      <c r="F284" s="834"/>
      <c r="G284" s="838"/>
      <c r="H284" s="23"/>
      <c r="I284" s="17"/>
    </row>
    <row r="285" spans="1:9" s="60" customFormat="1">
      <c r="A285" s="58"/>
      <c r="B285" s="46"/>
      <c r="C285" s="59"/>
      <c r="D285" s="837"/>
      <c r="E285" s="837"/>
      <c r="F285" s="834"/>
      <c r="G285" s="838"/>
      <c r="H285" s="23"/>
      <c r="I285" s="17"/>
    </row>
    <row r="286" spans="1:9" s="60" customFormat="1">
      <c r="A286" s="58"/>
      <c r="B286" s="46"/>
      <c r="C286" s="59"/>
      <c r="D286" s="837"/>
      <c r="E286" s="837"/>
      <c r="F286" s="834"/>
      <c r="G286" s="838"/>
      <c r="H286" s="23"/>
      <c r="I286" s="17"/>
    </row>
    <row r="287" spans="1:9" s="60" customFormat="1">
      <c r="A287" s="58"/>
      <c r="B287" s="46"/>
      <c r="C287" s="59"/>
      <c r="D287" s="837"/>
      <c r="E287" s="837"/>
      <c r="F287" s="834"/>
      <c r="G287" s="838"/>
      <c r="H287" s="23"/>
      <c r="I287" s="17"/>
    </row>
    <row r="288" spans="1:9" s="60" customFormat="1">
      <c r="A288" s="58"/>
      <c r="B288" s="46"/>
      <c r="C288" s="59"/>
      <c r="D288" s="837"/>
      <c r="E288" s="837"/>
      <c r="F288" s="834"/>
      <c r="G288" s="838"/>
      <c r="H288" s="23"/>
      <c r="I288" s="17"/>
    </row>
    <row r="289" spans="1:9" s="60" customFormat="1">
      <c r="A289" s="58"/>
      <c r="B289" s="46"/>
      <c r="C289" s="59"/>
      <c r="D289" s="837"/>
      <c r="E289" s="837"/>
      <c r="F289" s="834"/>
      <c r="G289" s="838"/>
      <c r="H289" s="23"/>
      <c r="I289" s="17"/>
    </row>
    <row r="290" spans="1:9" s="60" customFormat="1">
      <c r="A290" s="58"/>
      <c r="B290" s="46"/>
      <c r="C290" s="59"/>
      <c r="D290" s="837"/>
      <c r="E290" s="837"/>
      <c r="F290" s="834"/>
      <c r="G290" s="838"/>
      <c r="H290" s="23"/>
      <c r="I290" s="17"/>
    </row>
    <row r="291" spans="1:9" s="60" customFormat="1">
      <c r="A291" s="58"/>
      <c r="B291" s="46"/>
      <c r="C291" s="59"/>
      <c r="D291" s="837"/>
      <c r="E291" s="837"/>
      <c r="F291" s="834"/>
      <c r="G291" s="838"/>
      <c r="H291" s="23"/>
      <c r="I291" s="17"/>
    </row>
    <row r="292" spans="1:9" s="60" customFormat="1">
      <c r="A292" s="58"/>
      <c r="B292" s="46"/>
      <c r="C292" s="59"/>
      <c r="D292" s="837"/>
      <c r="E292" s="837"/>
      <c r="F292" s="834"/>
      <c r="G292" s="838"/>
      <c r="H292" s="23"/>
      <c r="I292" s="17"/>
    </row>
    <row r="293" spans="1:9" s="60" customFormat="1">
      <c r="A293" s="58"/>
      <c r="B293" s="46"/>
      <c r="C293" s="59"/>
      <c r="D293" s="837"/>
      <c r="E293" s="837"/>
      <c r="F293" s="834"/>
      <c r="G293" s="838"/>
      <c r="H293" s="23"/>
      <c r="I293" s="17"/>
    </row>
    <row r="294" spans="1:9" s="60" customFormat="1">
      <c r="A294" s="58"/>
      <c r="B294" s="46"/>
      <c r="C294" s="59"/>
      <c r="D294" s="837"/>
      <c r="E294" s="837"/>
      <c r="F294" s="834"/>
      <c r="G294" s="838"/>
      <c r="H294" s="23"/>
      <c r="I294" s="17"/>
    </row>
    <row r="295" spans="1:9" s="60" customFormat="1">
      <c r="A295" s="58"/>
      <c r="B295" s="46"/>
      <c r="C295" s="59"/>
      <c r="D295" s="837"/>
      <c r="E295" s="837"/>
      <c r="F295" s="834"/>
      <c r="G295" s="838"/>
      <c r="H295" s="23"/>
      <c r="I295" s="17"/>
    </row>
    <row r="296" spans="1:9" s="60" customFormat="1">
      <c r="A296" s="58"/>
      <c r="B296" s="46"/>
      <c r="C296" s="59"/>
      <c r="D296" s="837"/>
      <c r="E296" s="837"/>
      <c r="F296" s="834"/>
      <c r="G296" s="838"/>
      <c r="H296" s="23"/>
      <c r="I296" s="17"/>
    </row>
    <row r="297" spans="1:9" s="60" customFormat="1">
      <c r="A297" s="58"/>
      <c r="B297" s="46"/>
      <c r="C297" s="59"/>
      <c r="D297" s="837"/>
      <c r="E297" s="837"/>
      <c r="F297" s="834"/>
      <c r="G297" s="838"/>
      <c r="H297" s="23"/>
      <c r="I297" s="17"/>
    </row>
    <row r="298" spans="1:9" s="60" customFormat="1">
      <c r="A298" s="58"/>
      <c r="B298" s="46"/>
      <c r="C298" s="59"/>
      <c r="D298" s="837"/>
      <c r="E298" s="837"/>
      <c r="F298" s="834"/>
      <c r="G298" s="838"/>
      <c r="H298" s="23"/>
      <c r="I298" s="17"/>
    </row>
    <row r="299" spans="1:9" s="60" customFormat="1">
      <c r="A299" s="58"/>
      <c r="B299" s="46"/>
      <c r="C299" s="59"/>
      <c r="D299" s="837"/>
      <c r="E299" s="837"/>
      <c r="F299" s="834"/>
      <c r="G299" s="838"/>
      <c r="H299" s="23"/>
      <c r="I299" s="17"/>
    </row>
    <row r="300" spans="1:9" s="60" customFormat="1">
      <c r="A300" s="58"/>
      <c r="B300" s="46"/>
      <c r="C300" s="59"/>
      <c r="D300" s="837"/>
      <c r="E300" s="837"/>
      <c r="F300" s="834"/>
      <c r="G300" s="838"/>
      <c r="H300" s="23"/>
      <c r="I300" s="17"/>
    </row>
    <row r="301" spans="1:9" s="60" customFormat="1">
      <c r="A301" s="58"/>
      <c r="B301" s="46"/>
      <c r="C301" s="59"/>
      <c r="D301" s="837"/>
      <c r="E301" s="837"/>
      <c r="F301" s="834"/>
      <c r="G301" s="838"/>
      <c r="H301" s="23"/>
      <c r="I301" s="17"/>
    </row>
    <row r="302" spans="1:9" s="60" customFormat="1">
      <c r="A302" s="58"/>
      <c r="B302" s="46"/>
      <c r="C302" s="59"/>
      <c r="D302" s="837"/>
      <c r="E302" s="837"/>
      <c r="F302" s="834"/>
      <c r="G302" s="838"/>
      <c r="H302" s="23"/>
      <c r="I302" s="17"/>
    </row>
    <row r="303" spans="1:9" s="60" customFormat="1">
      <c r="A303" s="58"/>
      <c r="B303" s="46"/>
      <c r="C303" s="59"/>
      <c r="D303" s="837"/>
      <c r="E303" s="837"/>
      <c r="F303" s="834"/>
      <c r="G303" s="838"/>
      <c r="H303" s="23"/>
      <c r="I303" s="17"/>
    </row>
    <row r="304" spans="1:9" s="60" customFormat="1">
      <c r="A304" s="58"/>
      <c r="B304" s="46"/>
      <c r="C304" s="59"/>
      <c r="D304" s="837"/>
      <c r="E304" s="837"/>
      <c r="F304" s="834"/>
      <c r="G304" s="838"/>
      <c r="H304" s="23"/>
      <c r="I304" s="17"/>
    </row>
    <row r="305" spans="1:9" s="60" customFormat="1">
      <c r="A305" s="58"/>
      <c r="B305" s="46"/>
      <c r="C305" s="59"/>
      <c r="D305" s="837"/>
      <c r="E305" s="837"/>
      <c r="F305" s="834"/>
      <c r="G305" s="838"/>
      <c r="H305" s="23"/>
      <c r="I305" s="17"/>
    </row>
    <row r="306" spans="1:9" s="60" customFormat="1">
      <c r="A306" s="58"/>
      <c r="B306" s="46"/>
      <c r="C306" s="59"/>
      <c r="D306" s="837"/>
      <c r="E306" s="837"/>
      <c r="F306" s="834"/>
      <c r="G306" s="838"/>
      <c r="H306" s="23"/>
      <c r="I306" s="17"/>
    </row>
    <row r="307" spans="1:9" s="60" customFormat="1">
      <c r="A307" s="58"/>
      <c r="B307" s="46"/>
      <c r="C307" s="59"/>
      <c r="D307" s="837"/>
      <c r="E307" s="837"/>
      <c r="F307" s="834"/>
      <c r="G307" s="838"/>
      <c r="H307" s="23"/>
      <c r="I307" s="17"/>
    </row>
    <row r="308" spans="1:9" s="60" customFormat="1">
      <c r="A308" s="58"/>
      <c r="B308" s="46"/>
      <c r="C308" s="59"/>
      <c r="D308" s="837"/>
      <c r="E308" s="837"/>
      <c r="F308" s="834"/>
      <c r="G308" s="838"/>
      <c r="H308" s="23"/>
      <c r="I308" s="17"/>
    </row>
    <row r="309" spans="1:9" s="60" customFormat="1">
      <c r="A309" s="58"/>
      <c r="B309" s="46"/>
      <c r="C309" s="59"/>
      <c r="D309" s="837"/>
      <c r="E309" s="837"/>
      <c r="F309" s="834"/>
      <c r="G309" s="838"/>
      <c r="H309" s="23"/>
      <c r="I309" s="17"/>
    </row>
    <row r="310" spans="1:9" s="60" customFormat="1">
      <c r="A310" s="58"/>
      <c r="B310" s="46"/>
      <c r="C310" s="59"/>
      <c r="D310" s="837"/>
      <c r="E310" s="837"/>
      <c r="F310" s="834"/>
      <c r="G310" s="838"/>
      <c r="H310" s="23"/>
      <c r="I310" s="17"/>
    </row>
    <row r="311" spans="1:9" s="60" customFormat="1">
      <c r="A311" s="58"/>
      <c r="B311" s="46"/>
      <c r="C311" s="59"/>
      <c r="D311" s="837"/>
      <c r="E311" s="837"/>
      <c r="F311" s="834"/>
      <c r="G311" s="838"/>
      <c r="H311" s="23"/>
      <c r="I311" s="17"/>
    </row>
    <row r="312" spans="1:9" s="60" customFormat="1">
      <c r="A312" s="58"/>
      <c r="B312" s="46"/>
      <c r="C312" s="59"/>
      <c r="D312" s="837"/>
      <c r="E312" s="837"/>
      <c r="F312" s="834"/>
      <c r="G312" s="838"/>
      <c r="H312" s="23"/>
      <c r="I312" s="17"/>
    </row>
    <row r="313" spans="1:9" s="60" customFormat="1">
      <c r="A313" s="58"/>
      <c r="B313" s="46"/>
      <c r="C313" s="59"/>
      <c r="D313" s="837"/>
      <c r="E313" s="837"/>
      <c r="F313" s="834"/>
      <c r="G313" s="838"/>
      <c r="H313" s="23"/>
      <c r="I313" s="17"/>
    </row>
    <row r="314" spans="1:9" s="60" customFormat="1">
      <c r="A314" s="58"/>
      <c r="B314" s="46"/>
      <c r="C314" s="59"/>
      <c r="D314" s="837"/>
      <c r="E314" s="837"/>
      <c r="F314" s="834"/>
      <c r="G314" s="838"/>
      <c r="H314" s="23"/>
      <c r="I314" s="17"/>
    </row>
    <row r="315" spans="1:9" s="60" customFormat="1">
      <c r="A315" s="58"/>
      <c r="B315" s="46"/>
      <c r="C315" s="59"/>
      <c r="D315" s="837"/>
      <c r="E315" s="837"/>
      <c r="F315" s="834"/>
      <c r="G315" s="838"/>
      <c r="H315" s="23"/>
      <c r="I315" s="17"/>
    </row>
    <row r="316" spans="1:9" s="60" customFormat="1">
      <c r="A316" s="58"/>
      <c r="B316" s="46"/>
      <c r="C316" s="59"/>
      <c r="D316" s="837"/>
      <c r="E316" s="837"/>
      <c r="F316" s="834"/>
      <c r="G316" s="838"/>
      <c r="H316" s="23"/>
      <c r="I316" s="17"/>
    </row>
    <row r="317" spans="1:9" s="60" customFormat="1">
      <c r="A317" s="58"/>
      <c r="B317" s="46"/>
      <c r="C317" s="59"/>
      <c r="D317" s="837"/>
      <c r="E317" s="837"/>
      <c r="F317" s="834"/>
      <c r="G317" s="838"/>
      <c r="H317" s="23"/>
      <c r="I317" s="17"/>
    </row>
    <row r="318" spans="1:9" s="60" customFormat="1">
      <c r="A318" s="58"/>
      <c r="B318" s="46"/>
      <c r="C318" s="59"/>
      <c r="D318" s="837"/>
      <c r="E318" s="837"/>
      <c r="F318" s="834"/>
      <c r="G318" s="838"/>
      <c r="H318" s="23"/>
      <c r="I318" s="17"/>
    </row>
    <row r="319" spans="1:9" s="60" customFormat="1">
      <c r="A319" s="58"/>
      <c r="B319" s="46"/>
      <c r="C319" s="59"/>
      <c r="D319" s="837"/>
      <c r="E319" s="837"/>
      <c r="F319" s="834"/>
      <c r="G319" s="838"/>
      <c r="H319" s="23"/>
      <c r="I319" s="17"/>
    </row>
    <row r="320" spans="1:9" s="60" customFormat="1">
      <c r="A320" s="58"/>
      <c r="B320" s="46"/>
      <c r="C320" s="59"/>
      <c r="D320" s="837"/>
      <c r="E320" s="837"/>
      <c r="F320" s="834"/>
      <c r="G320" s="838"/>
      <c r="H320" s="23"/>
      <c r="I320" s="17"/>
    </row>
    <row r="321" spans="1:9" s="60" customFormat="1">
      <c r="A321" s="58"/>
      <c r="B321" s="46"/>
      <c r="C321" s="59"/>
      <c r="D321" s="837"/>
      <c r="E321" s="837"/>
      <c r="F321" s="834"/>
      <c r="G321" s="838"/>
      <c r="H321" s="23"/>
      <c r="I321" s="17"/>
    </row>
    <row r="322" spans="1:9" s="60" customFormat="1">
      <c r="A322" s="58"/>
      <c r="B322" s="46"/>
      <c r="C322" s="59"/>
      <c r="D322" s="837"/>
      <c r="E322" s="837"/>
      <c r="F322" s="834"/>
      <c r="G322" s="838"/>
      <c r="H322" s="23"/>
      <c r="I322" s="17"/>
    </row>
    <row r="323" spans="1:9" s="60" customFormat="1">
      <c r="A323" s="58"/>
      <c r="B323" s="46"/>
      <c r="C323" s="59"/>
      <c r="D323" s="837"/>
      <c r="E323" s="837"/>
      <c r="F323" s="834"/>
      <c r="G323" s="838"/>
      <c r="H323" s="23"/>
      <c r="I323" s="17"/>
    </row>
    <row r="324" spans="1:9" s="60" customFormat="1">
      <c r="A324" s="58"/>
      <c r="B324" s="46"/>
      <c r="C324" s="59"/>
      <c r="D324" s="837"/>
      <c r="E324" s="837"/>
      <c r="F324" s="834"/>
      <c r="G324" s="838"/>
      <c r="H324" s="23"/>
      <c r="I324" s="17"/>
    </row>
    <row r="325" spans="1:9" s="60" customFormat="1">
      <c r="A325" s="58"/>
      <c r="B325" s="46"/>
      <c r="C325" s="59"/>
      <c r="D325" s="837"/>
      <c r="E325" s="837"/>
      <c r="F325" s="834"/>
      <c r="G325" s="838"/>
      <c r="H325" s="23"/>
      <c r="I325" s="17"/>
    </row>
    <row r="326" spans="1:9" s="60" customFormat="1">
      <c r="A326" s="58"/>
      <c r="B326" s="46"/>
      <c r="C326" s="59"/>
      <c r="D326" s="837"/>
      <c r="E326" s="837"/>
      <c r="F326" s="834"/>
      <c r="G326" s="838"/>
      <c r="H326" s="23"/>
      <c r="I326" s="17"/>
    </row>
    <row r="327" spans="1:9" s="60" customFormat="1">
      <c r="A327" s="58"/>
      <c r="B327" s="46"/>
      <c r="C327" s="59"/>
      <c r="D327" s="837"/>
      <c r="E327" s="837"/>
      <c r="F327" s="834"/>
      <c r="G327" s="838"/>
      <c r="H327" s="23"/>
      <c r="I327" s="17"/>
    </row>
    <row r="328" spans="1:9" s="60" customFormat="1">
      <c r="A328" s="58"/>
      <c r="B328" s="46"/>
      <c r="C328" s="59"/>
      <c r="D328" s="837"/>
      <c r="E328" s="837"/>
      <c r="F328" s="834"/>
      <c r="G328" s="838"/>
      <c r="H328" s="23"/>
      <c r="I328" s="17"/>
    </row>
    <row r="329" spans="1:9" s="60" customFormat="1">
      <c r="A329" s="58"/>
      <c r="B329" s="46"/>
      <c r="C329" s="59"/>
      <c r="D329" s="837"/>
      <c r="E329" s="837"/>
      <c r="F329" s="834"/>
      <c r="G329" s="838"/>
      <c r="H329" s="23"/>
      <c r="I329" s="17"/>
    </row>
    <row r="330" spans="1:9" s="60" customFormat="1">
      <c r="A330" s="58"/>
      <c r="B330" s="46"/>
      <c r="C330" s="59"/>
      <c r="D330" s="837"/>
      <c r="E330" s="837"/>
      <c r="F330" s="834"/>
      <c r="G330" s="838"/>
      <c r="H330" s="23"/>
      <c r="I330" s="17"/>
    </row>
    <row r="331" spans="1:9" s="60" customFormat="1">
      <c r="A331" s="58"/>
      <c r="B331" s="46"/>
      <c r="C331" s="59"/>
      <c r="D331" s="837"/>
      <c r="E331" s="837"/>
      <c r="F331" s="834"/>
      <c r="G331" s="838"/>
      <c r="H331" s="23"/>
      <c r="I331" s="17"/>
    </row>
    <row r="332" spans="1:9" s="60" customFormat="1">
      <c r="A332" s="58"/>
      <c r="B332" s="46"/>
      <c r="C332" s="59"/>
      <c r="D332" s="837"/>
      <c r="E332" s="837"/>
      <c r="F332" s="834"/>
      <c r="G332" s="838"/>
      <c r="H332" s="23"/>
      <c r="I332" s="17"/>
    </row>
    <row r="333" spans="1:9" s="60" customFormat="1">
      <c r="A333" s="58"/>
      <c r="B333" s="46"/>
      <c r="C333" s="59"/>
      <c r="D333" s="837"/>
      <c r="E333" s="837"/>
      <c r="F333" s="834"/>
      <c r="G333" s="838"/>
      <c r="H333" s="23"/>
      <c r="I333" s="17"/>
    </row>
    <row r="334" spans="1:9" s="60" customFormat="1">
      <c r="A334" s="58"/>
      <c r="B334" s="46"/>
      <c r="C334" s="59"/>
      <c r="D334" s="837"/>
      <c r="E334" s="837"/>
      <c r="F334" s="834"/>
      <c r="G334" s="838"/>
      <c r="H334" s="23"/>
      <c r="I334" s="17"/>
    </row>
    <row r="335" spans="1:9" s="60" customFormat="1">
      <c r="A335" s="58"/>
      <c r="B335" s="46"/>
      <c r="C335" s="59"/>
      <c r="D335" s="837"/>
      <c r="E335" s="837"/>
      <c r="F335" s="834"/>
      <c r="G335" s="838"/>
      <c r="H335" s="23"/>
      <c r="I335" s="17"/>
    </row>
    <row r="336" spans="1:9" s="60" customFormat="1">
      <c r="A336" s="58"/>
      <c r="B336" s="46"/>
      <c r="C336" s="59"/>
      <c r="D336" s="837"/>
      <c r="E336" s="837"/>
      <c r="F336" s="834"/>
      <c r="G336" s="838"/>
      <c r="H336" s="23"/>
      <c r="I336" s="17"/>
    </row>
    <row r="337" spans="1:9" s="60" customFormat="1">
      <c r="A337" s="58"/>
      <c r="B337" s="46"/>
      <c r="C337" s="59"/>
      <c r="D337" s="837"/>
      <c r="E337" s="837"/>
      <c r="F337" s="834"/>
      <c r="G337" s="838"/>
      <c r="H337" s="23"/>
      <c r="I337" s="17"/>
    </row>
    <row r="338" spans="1:9" s="60" customFormat="1">
      <c r="A338" s="58"/>
      <c r="B338" s="46"/>
      <c r="C338" s="59"/>
      <c r="D338" s="837"/>
      <c r="E338" s="837"/>
      <c r="F338" s="834"/>
      <c r="G338" s="838"/>
      <c r="H338" s="23"/>
      <c r="I338" s="17"/>
    </row>
    <row r="339" spans="1:9" s="60" customFormat="1">
      <c r="A339" s="58"/>
      <c r="B339" s="46"/>
      <c r="C339" s="59"/>
      <c r="D339" s="837"/>
      <c r="E339" s="837"/>
      <c r="F339" s="834"/>
      <c r="G339" s="838"/>
      <c r="H339" s="23"/>
      <c r="I339" s="17"/>
    </row>
    <row r="340" spans="1:9" s="60" customFormat="1">
      <c r="A340" s="58"/>
      <c r="B340" s="46"/>
      <c r="C340" s="59"/>
      <c r="D340" s="837"/>
      <c r="E340" s="837"/>
      <c r="F340" s="834"/>
      <c r="G340" s="838"/>
      <c r="H340" s="23"/>
      <c r="I340" s="17"/>
    </row>
    <row r="341" spans="1:9" s="60" customFormat="1">
      <c r="A341" s="58"/>
      <c r="B341" s="46"/>
      <c r="C341" s="59"/>
      <c r="D341" s="837"/>
      <c r="E341" s="837"/>
      <c r="F341" s="834"/>
      <c r="G341" s="838"/>
      <c r="H341" s="23"/>
      <c r="I341" s="17"/>
    </row>
    <row r="342" spans="1:9" s="60" customFormat="1">
      <c r="A342" s="58"/>
      <c r="B342" s="46"/>
      <c r="C342" s="59"/>
      <c r="D342" s="837"/>
      <c r="E342" s="837"/>
      <c r="F342" s="834"/>
      <c r="G342" s="838"/>
      <c r="H342" s="23"/>
      <c r="I342" s="17"/>
    </row>
    <row r="343" spans="1:9" s="60" customFormat="1">
      <c r="A343" s="58"/>
      <c r="B343" s="46"/>
      <c r="C343" s="59"/>
      <c r="D343" s="837"/>
      <c r="E343" s="837"/>
      <c r="F343" s="834"/>
      <c r="G343" s="838"/>
      <c r="H343" s="23"/>
      <c r="I343" s="17"/>
    </row>
    <row r="344" spans="1:9" s="60" customFormat="1">
      <c r="A344" s="58"/>
      <c r="B344" s="46"/>
      <c r="C344" s="59"/>
      <c r="D344" s="837"/>
      <c r="E344" s="837"/>
      <c r="F344" s="834"/>
      <c r="G344" s="838"/>
      <c r="H344" s="23"/>
      <c r="I344" s="17"/>
    </row>
    <row r="345" spans="1:9" s="60" customFormat="1">
      <c r="A345" s="58"/>
      <c r="B345" s="46"/>
      <c r="C345" s="59"/>
      <c r="D345" s="837"/>
      <c r="E345" s="837"/>
      <c r="F345" s="834"/>
      <c r="G345" s="838"/>
      <c r="H345" s="23"/>
      <c r="I345" s="17"/>
    </row>
    <row r="346" spans="1:9" s="60" customFormat="1">
      <c r="A346" s="58"/>
      <c r="B346" s="46"/>
      <c r="C346" s="59"/>
      <c r="D346" s="837"/>
      <c r="E346" s="837"/>
      <c r="F346" s="834"/>
      <c r="G346" s="838"/>
      <c r="H346" s="23"/>
      <c r="I346" s="17"/>
    </row>
    <row r="347" spans="1:9" s="60" customFormat="1">
      <c r="A347" s="58"/>
      <c r="B347" s="46"/>
      <c r="C347" s="59"/>
      <c r="D347" s="837"/>
      <c r="E347" s="837"/>
      <c r="F347" s="834"/>
      <c r="G347" s="838"/>
      <c r="H347" s="23"/>
      <c r="I347" s="17"/>
    </row>
    <row r="348" spans="1:9" s="60" customFormat="1">
      <c r="A348" s="58"/>
      <c r="B348" s="46"/>
      <c r="C348" s="59"/>
      <c r="D348" s="837"/>
      <c r="E348" s="837"/>
      <c r="F348" s="834"/>
      <c r="G348" s="838"/>
      <c r="H348" s="23"/>
      <c r="I348" s="17"/>
    </row>
    <row r="349" spans="1:9" s="60" customFormat="1">
      <c r="A349" s="58"/>
      <c r="B349" s="46"/>
      <c r="C349" s="59"/>
      <c r="D349" s="837"/>
      <c r="E349" s="837"/>
      <c r="F349" s="834"/>
      <c r="G349" s="838"/>
      <c r="H349" s="23"/>
      <c r="I349" s="17"/>
    </row>
    <row r="350" spans="1:9" s="60" customFormat="1">
      <c r="A350" s="58"/>
      <c r="B350" s="46"/>
      <c r="C350" s="59"/>
      <c r="D350" s="837"/>
      <c r="E350" s="837"/>
      <c r="F350" s="834"/>
      <c r="G350" s="838"/>
      <c r="H350" s="23"/>
      <c r="I350" s="17"/>
    </row>
    <row r="351" spans="1:9" s="60" customFormat="1">
      <c r="A351" s="58"/>
      <c r="B351" s="46"/>
      <c r="C351" s="59"/>
      <c r="D351" s="837"/>
      <c r="E351" s="837"/>
      <c r="F351" s="834"/>
      <c r="G351" s="838"/>
      <c r="H351" s="23"/>
      <c r="I351" s="17"/>
    </row>
    <row r="352" spans="1:9" s="60" customFormat="1">
      <c r="A352" s="58"/>
      <c r="B352" s="46"/>
      <c r="C352" s="59"/>
      <c r="D352" s="837"/>
      <c r="E352" s="837"/>
      <c r="F352" s="834"/>
      <c r="G352" s="838"/>
      <c r="H352" s="23"/>
      <c r="I352" s="17"/>
    </row>
    <row r="353" spans="1:9" s="60" customFormat="1">
      <c r="A353" s="58"/>
      <c r="B353" s="46"/>
      <c r="C353" s="59"/>
      <c r="D353" s="837"/>
      <c r="E353" s="837"/>
      <c r="F353" s="834"/>
      <c r="G353" s="838"/>
      <c r="H353" s="23"/>
      <c r="I353" s="17"/>
    </row>
    <row r="354" spans="1:9" s="60" customFormat="1">
      <c r="A354" s="58"/>
      <c r="B354" s="46"/>
      <c r="C354" s="59"/>
      <c r="D354" s="837"/>
      <c r="E354" s="837"/>
      <c r="F354" s="834"/>
      <c r="G354" s="838"/>
      <c r="H354" s="23"/>
      <c r="I354" s="17"/>
    </row>
    <row r="355" spans="1:9" s="60" customFormat="1">
      <c r="A355" s="58"/>
      <c r="B355" s="46"/>
      <c r="C355" s="59"/>
      <c r="D355" s="837"/>
      <c r="E355" s="837"/>
      <c r="F355" s="834"/>
      <c r="G355" s="838"/>
      <c r="H355" s="23"/>
      <c r="I355" s="17"/>
    </row>
    <row r="356" spans="1:9" s="60" customFormat="1">
      <c r="A356" s="58"/>
      <c r="B356" s="46"/>
      <c r="C356" s="59"/>
      <c r="D356" s="837"/>
      <c r="E356" s="837"/>
      <c r="F356" s="834"/>
      <c r="G356" s="838"/>
      <c r="H356" s="23"/>
      <c r="I356" s="17"/>
    </row>
    <row r="357" spans="1:9" s="60" customFormat="1">
      <c r="A357" s="58"/>
      <c r="B357" s="46"/>
      <c r="C357" s="59"/>
      <c r="D357" s="837"/>
      <c r="E357" s="837"/>
      <c r="F357" s="834"/>
      <c r="G357" s="838"/>
      <c r="H357" s="23"/>
      <c r="I357" s="17"/>
    </row>
    <row r="358" spans="1:9" s="60" customFormat="1">
      <c r="A358" s="58"/>
      <c r="B358" s="46"/>
      <c r="C358" s="59"/>
      <c r="D358" s="837"/>
      <c r="E358" s="837"/>
      <c r="F358" s="834"/>
      <c r="G358" s="838"/>
      <c r="H358" s="23"/>
      <c r="I358" s="17"/>
    </row>
    <row r="359" spans="1:9" s="60" customFormat="1">
      <c r="A359" s="58"/>
      <c r="B359" s="46"/>
      <c r="C359" s="59"/>
      <c r="D359" s="837"/>
      <c r="E359" s="837"/>
      <c r="F359" s="834"/>
      <c r="G359" s="838"/>
      <c r="H359" s="23"/>
      <c r="I359" s="17"/>
    </row>
    <row r="360" spans="1:9" s="60" customFormat="1">
      <c r="A360" s="58"/>
      <c r="B360" s="46"/>
      <c r="C360" s="59"/>
      <c r="D360" s="837"/>
      <c r="E360" s="837"/>
      <c r="F360" s="834"/>
      <c r="G360" s="838"/>
      <c r="H360" s="23"/>
      <c r="I360" s="17"/>
    </row>
    <row r="361" spans="1:9" s="60" customFormat="1">
      <c r="A361" s="58"/>
      <c r="B361" s="46"/>
      <c r="C361" s="59"/>
      <c r="D361" s="837"/>
      <c r="E361" s="837"/>
      <c r="F361" s="834"/>
      <c r="G361" s="838"/>
      <c r="H361" s="23"/>
      <c r="I361" s="17"/>
    </row>
    <row r="362" spans="1:9" s="60" customFormat="1">
      <c r="A362" s="58"/>
      <c r="B362" s="46"/>
      <c r="C362" s="59"/>
      <c r="D362" s="837"/>
      <c r="E362" s="837"/>
      <c r="F362" s="834"/>
      <c r="G362" s="838"/>
      <c r="H362" s="23"/>
      <c r="I362" s="17"/>
    </row>
    <row r="363" spans="1:9" s="60" customFormat="1">
      <c r="A363" s="58"/>
      <c r="B363" s="46"/>
      <c r="C363" s="59"/>
      <c r="D363" s="837"/>
      <c r="E363" s="837"/>
      <c r="F363" s="834"/>
      <c r="G363" s="838"/>
      <c r="H363" s="23"/>
      <c r="I363" s="17"/>
    </row>
    <row r="364" spans="1:9" s="60" customFormat="1">
      <c r="A364" s="58"/>
      <c r="B364" s="46"/>
      <c r="C364" s="59"/>
      <c r="D364" s="837"/>
      <c r="E364" s="837"/>
      <c r="F364" s="834"/>
      <c r="G364" s="838"/>
      <c r="H364" s="23"/>
      <c r="I364" s="17"/>
    </row>
    <row r="365" spans="1:9" s="60" customFormat="1">
      <c r="A365" s="58"/>
      <c r="B365" s="46"/>
      <c r="C365" s="59"/>
      <c r="D365" s="837"/>
      <c r="E365" s="837"/>
      <c r="F365" s="834"/>
      <c r="G365" s="838"/>
      <c r="H365" s="23"/>
      <c r="I365" s="17"/>
    </row>
    <row r="366" spans="1:9" s="60" customFormat="1">
      <c r="A366" s="58"/>
      <c r="B366" s="46"/>
      <c r="C366" s="59"/>
      <c r="D366" s="837"/>
      <c r="E366" s="837"/>
      <c r="F366" s="834"/>
      <c r="G366" s="838"/>
      <c r="H366" s="23"/>
      <c r="I366" s="17"/>
    </row>
    <row r="367" spans="1:9" s="60" customFormat="1">
      <c r="A367" s="58"/>
      <c r="B367" s="46"/>
      <c r="C367" s="59"/>
      <c r="D367" s="837"/>
      <c r="E367" s="837"/>
      <c r="F367" s="834"/>
      <c r="G367" s="838"/>
      <c r="H367" s="23"/>
      <c r="I367" s="17"/>
    </row>
    <row r="368" spans="1:9" s="60" customFormat="1">
      <c r="A368" s="58"/>
      <c r="B368" s="46"/>
      <c r="C368" s="59"/>
      <c r="D368" s="837"/>
      <c r="E368" s="837"/>
      <c r="F368" s="834"/>
      <c r="G368" s="838"/>
      <c r="H368" s="23"/>
      <c r="I368" s="17"/>
    </row>
    <row r="369" spans="1:9" s="60" customFormat="1">
      <c r="A369" s="58"/>
      <c r="B369" s="46"/>
      <c r="C369" s="59"/>
      <c r="D369" s="837"/>
      <c r="E369" s="837"/>
      <c r="F369" s="834"/>
      <c r="G369" s="838"/>
      <c r="H369" s="23"/>
      <c r="I369" s="17"/>
    </row>
    <row r="370" spans="1:9" s="60" customFormat="1">
      <c r="A370" s="58"/>
      <c r="B370" s="46"/>
      <c r="C370" s="59"/>
      <c r="D370" s="837"/>
      <c r="E370" s="837"/>
      <c r="F370" s="834"/>
      <c r="G370" s="838"/>
      <c r="H370" s="23"/>
      <c r="I370" s="17"/>
    </row>
    <row r="371" spans="1:9" s="60" customFormat="1">
      <c r="A371" s="58"/>
      <c r="B371" s="46"/>
      <c r="C371" s="59"/>
      <c r="D371" s="837"/>
      <c r="E371" s="837"/>
      <c r="F371" s="834"/>
      <c r="G371" s="838"/>
      <c r="H371" s="23"/>
      <c r="I371" s="17"/>
    </row>
    <row r="372" spans="1:9" s="60" customFormat="1">
      <c r="A372" s="58"/>
      <c r="B372" s="46"/>
      <c r="C372" s="59"/>
      <c r="D372" s="837"/>
      <c r="E372" s="837"/>
      <c r="F372" s="834"/>
      <c r="G372" s="838"/>
      <c r="H372" s="23"/>
      <c r="I372" s="17"/>
    </row>
    <row r="373" spans="1:9" s="60" customFormat="1">
      <c r="A373" s="58"/>
      <c r="B373" s="46"/>
      <c r="C373" s="59"/>
      <c r="D373" s="837"/>
      <c r="E373" s="837"/>
      <c r="F373" s="834"/>
      <c r="G373" s="838"/>
      <c r="H373" s="23"/>
      <c r="I373" s="17"/>
    </row>
    <row r="374" spans="1:9" s="60" customFormat="1">
      <c r="A374" s="58"/>
      <c r="B374" s="46"/>
      <c r="C374" s="59"/>
      <c r="D374" s="837"/>
      <c r="E374" s="837"/>
      <c r="F374" s="834"/>
      <c r="G374" s="838"/>
      <c r="H374" s="23"/>
      <c r="I374" s="17"/>
    </row>
    <row r="375" spans="1:9" s="60" customFormat="1">
      <c r="A375" s="58"/>
      <c r="B375" s="46"/>
      <c r="C375" s="59"/>
      <c r="D375" s="837"/>
      <c r="E375" s="837"/>
      <c r="F375" s="834"/>
      <c r="G375" s="838"/>
      <c r="H375" s="23"/>
      <c r="I375" s="17"/>
    </row>
    <row r="376" spans="1:9" s="60" customFormat="1">
      <c r="A376" s="58"/>
      <c r="B376" s="46"/>
      <c r="C376" s="59"/>
      <c r="D376" s="837"/>
      <c r="E376" s="837"/>
      <c r="F376" s="834"/>
      <c r="G376" s="838"/>
      <c r="H376" s="23"/>
      <c r="I376" s="17"/>
    </row>
    <row r="377" spans="1:9" s="60" customFormat="1">
      <c r="A377" s="58"/>
      <c r="B377" s="46"/>
      <c r="C377" s="59"/>
      <c r="D377" s="837"/>
      <c r="E377" s="837"/>
      <c r="F377" s="834"/>
      <c r="G377" s="838"/>
      <c r="H377" s="23"/>
      <c r="I377" s="17"/>
    </row>
    <row r="378" spans="1:9" s="60" customFormat="1">
      <c r="A378" s="58"/>
      <c r="B378" s="46"/>
      <c r="C378" s="59"/>
      <c r="D378" s="837"/>
      <c r="E378" s="837"/>
      <c r="F378" s="834"/>
      <c r="G378" s="838"/>
      <c r="H378" s="23"/>
      <c r="I378" s="17"/>
    </row>
    <row r="379" spans="1:9" s="60" customFormat="1">
      <c r="A379" s="58"/>
      <c r="B379" s="46"/>
      <c r="C379" s="59"/>
      <c r="D379" s="837"/>
      <c r="E379" s="837"/>
      <c r="F379" s="834"/>
      <c r="G379" s="838"/>
      <c r="H379" s="23"/>
      <c r="I379" s="17"/>
    </row>
    <row r="380" spans="1:9" s="60" customFormat="1">
      <c r="A380" s="58"/>
      <c r="B380" s="46"/>
      <c r="C380" s="59"/>
      <c r="D380" s="837"/>
      <c r="E380" s="837"/>
      <c r="F380" s="834"/>
      <c r="G380" s="838"/>
      <c r="H380" s="23"/>
      <c r="I380" s="17"/>
    </row>
    <row r="381" spans="1:9" s="60" customFormat="1">
      <c r="A381" s="58"/>
      <c r="B381" s="46"/>
      <c r="C381" s="59"/>
      <c r="D381" s="837"/>
      <c r="E381" s="837"/>
      <c r="F381" s="834"/>
      <c r="G381" s="838"/>
      <c r="H381" s="23"/>
      <c r="I381" s="17"/>
    </row>
    <row r="382" spans="1:9" s="60" customFormat="1">
      <c r="A382" s="58"/>
      <c r="B382" s="46"/>
      <c r="C382" s="59"/>
      <c r="D382" s="837"/>
      <c r="E382" s="837"/>
      <c r="F382" s="834"/>
      <c r="G382" s="838"/>
      <c r="H382" s="23"/>
      <c r="I382" s="17"/>
    </row>
    <row r="383" spans="1:9" s="60" customFormat="1">
      <c r="A383" s="58"/>
      <c r="B383" s="46"/>
      <c r="C383" s="59"/>
      <c r="D383" s="837"/>
      <c r="E383" s="837"/>
      <c r="F383" s="834"/>
      <c r="G383" s="838"/>
      <c r="H383" s="23"/>
      <c r="I383" s="17"/>
    </row>
    <row r="384" spans="1:9" s="60" customFormat="1">
      <c r="A384" s="88"/>
      <c r="B384" s="88"/>
      <c r="C384" s="46"/>
      <c r="D384" s="834"/>
      <c r="E384" s="834"/>
      <c r="F384" s="834"/>
      <c r="G384" s="838"/>
      <c r="H384" s="23"/>
      <c r="I384" s="17"/>
    </row>
    <row r="385" spans="1:9" s="60" customFormat="1">
      <c r="A385" s="88"/>
      <c r="B385" s="88"/>
      <c r="C385" s="46"/>
      <c r="D385" s="834"/>
      <c r="E385" s="834"/>
      <c r="F385" s="834"/>
      <c r="G385" s="838"/>
      <c r="H385" s="23"/>
      <c r="I385" s="17"/>
    </row>
    <row r="386" spans="1:9" s="60" customFormat="1">
      <c r="A386" s="88"/>
      <c r="B386" s="88"/>
      <c r="C386" s="46"/>
      <c r="D386" s="834"/>
      <c r="E386" s="834"/>
      <c r="F386" s="834"/>
      <c r="G386" s="838"/>
      <c r="H386" s="23"/>
      <c r="I386" s="17"/>
    </row>
    <row r="387" spans="1:9" s="60" customFormat="1">
      <c r="A387" s="88"/>
      <c r="B387" s="88"/>
      <c r="C387" s="46"/>
      <c r="D387" s="834"/>
      <c r="E387" s="834"/>
      <c r="F387" s="834"/>
      <c r="G387" s="838"/>
      <c r="H387" s="23"/>
      <c r="I387" s="17"/>
    </row>
    <row r="388" spans="1:9" s="60" customFormat="1">
      <c r="A388" s="88"/>
      <c r="B388" s="88"/>
      <c r="C388" s="46"/>
      <c r="D388" s="834"/>
      <c r="E388" s="834"/>
      <c r="F388" s="834"/>
      <c r="G388" s="838"/>
      <c r="H388" s="23"/>
      <c r="I388" s="17"/>
    </row>
    <row r="389" spans="1:9" s="60" customFormat="1">
      <c r="A389" s="88"/>
      <c r="B389" s="88"/>
      <c r="C389" s="46"/>
      <c r="D389" s="834"/>
      <c r="E389" s="834"/>
      <c r="F389" s="834"/>
      <c r="G389" s="838"/>
      <c r="H389" s="23"/>
      <c r="I389" s="17"/>
    </row>
    <row r="390" spans="1:9" s="60" customFormat="1">
      <c r="A390" s="88"/>
      <c r="B390" s="88"/>
      <c r="C390" s="46"/>
      <c r="D390" s="834"/>
      <c r="E390" s="834"/>
      <c r="F390" s="834"/>
      <c r="G390" s="838"/>
      <c r="H390" s="23"/>
      <c r="I390" s="17"/>
    </row>
    <row r="391" spans="1:9" s="60" customFormat="1">
      <c r="A391" s="88"/>
      <c r="B391" s="88"/>
      <c r="C391" s="46"/>
      <c r="D391" s="834"/>
      <c r="E391" s="834"/>
      <c r="F391" s="834"/>
      <c r="G391" s="838"/>
      <c r="H391" s="23"/>
      <c r="I391" s="17"/>
    </row>
    <row r="392" spans="1:9" s="60" customFormat="1">
      <c r="A392" s="88"/>
      <c r="B392" s="88"/>
      <c r="C392" s="46"/>
      <c r="D392" s="834"/>
      <c r="E392" s="834"/>
      <c r="F392" s="834"/>
      <c r="G392" s="838"/>
      <c r="H392" s="23"/>
      <c r="I392" s="17"/>
    </row>
    <row r="393" spans="1:9" s="60" customFormat="1">
      <c r="A393" s="88"/>
      <c r="B393" s="88"/>
      <c r="C393" s="46"/>
      <c r="D393" s="834"/>
      <c r="E393" s="834"/>
      <c r="F393" s="834"/>
      <c r="G393" s="838"/>
      <c r="H393" s="23"/>
      <c r="I393" s="17"/>
    </row>
    <row r="394" spans="1:9" s="60" customFormat="1">
      <c r="A394" s="88"/>
      <c r="B394" s="88"/>
      <c r="C394" s="46"/>
      <c r="D394" s="834"/>
      <c r="E394" s="834"/>
      <c r="F394" s="834"/>
      <c r="G394" s="838"/>
      <c r="H394" s="23"/>
      <c r="I394" s="17"/>
    </row>
    <row r="395" spans="1:9" s="60" customFormat="1">
      <c r="A395" s="88"/>
      <c r="B395" s="88"/>
      <c r="C395" s="46"/>
      <c r="D395" s="834"/>
      <c r="E395" s="834"/>
      <c r="F395" s="834"/>
      <c r="G395" s="838"/>
      <c r="H395" s="23"/>
      <c r="I395" s="17"/>
    </row>
    <row r="396" spans="1:9" s="60" customFormat="1">
      <c r="A396" s="88"/>
      <c r="B396" s="88"/>
      <c r="C396" s="46"/>
      <c r="D396" s="834"/>
      <c r="E396" s="834"/>
      <c r="F396" s="834"/>
      <c r="G396" s="838"/>
      <c r="H396" s="23"/>
      <c r="I396" s="17"/>
    </row>
    <row r="397" spans="1:9" s="60" customFormat="1">
      <c r="A397" s="88"/>
      <c r="B397" s="88"/>
      <c r="C397" s="46"/>
      <c r="D397" s="834"/>
      <c r="E397" s="834"/>
      <c r="F397" s="834"/>
      <c r="G397" s="838"/>
      <c r="H397" s="23"/>
      <c r="I397" s="17"/>
    </row>
    <row r="398" spans="1:9" s="60" customFormat="1">
      <c r="A398" s="88"/>
      <c r="B398" s="88"/>
      <c r="C398" s="46"/>
      <c r="D398" s="834"/>
      <c r="E398" s="834"/>
      <c r="F398" s="834"/>
      <c r="G398" s="838"/>
      <c r="H398" s="23"/>
      <c r="I398" s="17"/>
    </row>
    <row r="399" spans="1:9" s="60" customFormat="1">
      <c r="A399" s="88"/>
      <c r="B399" s="88"/>
      <c r="C399" s="46"/>
      <c r="D399" s="834"/>
      <c r="E399" s="834"/>
      <c r="F399" s="834"/>
      <c r="G399" s="838"/>
      <c r="H399" s="23"/>
      <c r="I399" s="17"/>
    </row>
    <row r="400" spans="1:9" s="60" customFormat="1">
      <c r="A400" s="88"/>
      <c r="B400" s="88"/>
      <c r="C400" s="46"/>
      <c r="D400" s="834"/>
      <c r="E400" s="834"/>
      <c r="F400" s="834"/>
      <c r="G400" s="838"/>
      <c r="H400" s="23"/>
      <c r="I400" s="17"/>
    </row>
    <row r="401" spans="1:9" s="60" customFormat="1">
      <c r="A401" s="88"/>
      <c r="B401" s="88"/>
      <c r="C401" s="46"/>
      <c r="D401" s="834"/>
      <c r="E401" s="834"/>
      <c r="F401" s="834"/>
      <c r="G401" s="838"/>
      <c r="H401" s="23"/>
      <c r="I401" s="17"/>
    </row>
    <row r="402" spans="1:9" s="60" customFormat="1">
      <c r="A402" s="88"/>
      <c r="B402" s="88"/>
      <c r="C402" s="46"/>
      <c r="D402" s="834"/>
      <c r="E402" s="834"/>
      <c r="F402" s="834"/>
      <c r="G402" s="838"/>
      <c r="H402" s="23"/>
      <c r="I402" s="17"/>
    </row>
    <row r="403" spans="1:9" s="60" customFormat="1">
      <c r="A403" s="88"/>
      <c r="B403" s="88"/>
      <c r="C403" s="46"/>
      <c r="D403" s="834"/>
      <c r="E403" s="834"/>
      <c r="F403" s="834"/>
      <c r="G403" s="838"/>
      <c r="H403" s="23"/>
      <c r="I403" s="17"/>
    </row>
    <row r="404" spans="1:9" s="60" customFormat="1">
      <c r="A404" s="88"/>
      <c r="B404" s="88"/>
      <c r="C404" s="46"/>
      <c r="D404" s="834"/>
      <c r="E404" s="834"/>
      <c r="F404" s="834"/>
      <c r="G404" s="838"/>
      <c r="H404" s="23"/>
      <c r="I404" s="17"/>
    </row>
    <row r="405" spans="1:9" s="60" customFormat="1">
      <c r="A405" s="88"/>
      <c r="B405" s="88"/>
      <c r="C405" s="46"/>
      <c r="D405" s="834"/>
      <c r="E405" s="834"/>
      <c r="F405" s="834"/>
      <c r="G405" s="838"/>
      <c r="H405" s="23"/>
      <c r="I405" s="17"/>
    </row>
    <row r="406" spans="1:9" s="60" customFormat="1">
      <c r="A406" s="88"/>
      <c r="B406" s="88"/>
      <c r="C406" s="46"/>
      <c r="D406" s="834"/>
      <c r="E406" s="834"/>
      <c r="F406" s="834"/>
      <c r="G406" s="838"/>
      <c r="H406" s="23"/>
      <c r="I406" s="17"/>
    </row>
    <row r="407" spans="1:9" s="60" customFormat="1">
      <c r="A407" s="88"/>
      <c r="B407" s="88"/>
      <c r="C407" s="46"/>
      <c r="D407" s="834"/>
      <c r="E407" s="834"/>
      <c r="F407" s="834"/>
      <c r="G407" s="838"/>
      <c r="H407" s="23"/>
      <c r="I407" s="17"/>
    </row>
    <row r="408" spans="1:9" s="60" customFormat="1">
      <c r="A408" s="88"/>
      <c r="B408" s="88"/>
      <c r="C408" s="46"/>
      <c r="D408" s="834"/>
      <c r="E408" s="834"/>
      <c r="F408" s="834"/>
      <c r="G408" s="838"/>
      <c r="H408" s="23"/>
      <c r="I408" s="17"/>
    </row>
    <row r="409" spans="1:9" s="60" customFormat="1">
      <c r="A409" s="88"/>
      <c r="B409" s="88"/>
      <c r="C409" s="46"/>
      <c r="D409" s="834"/>
      <c r="E409" s="834"/>
      <c r="F409" s="834"/>
      <c r="G409" s="838"/>
      <c r="H409" s="23"/>
      <c r="I409" s="17"/>
    </row>
    <row r="410" spans="1:9" s="60" customFormat="1">
      <c r="A410" s="88"/>
      <c r="B410" s="88"/>
      <c r="C410" s="46"/>
      <c r="D410" s="834"/>
      <c r="E410" s="834"/>
      <c r="F410" s="834"/>
      <c r="G410" s="838"/>
      <c r="H410" s="23"/>
      <c r="I410" s="17"/>
    </row>
    <row r="411" spans="1:9" s="60" customFormat="1">
      <c r="A411" s="88"/>
      <c r="B411" s="88"/>
      <c r="C411" s="46"/>
      <c r="D411" s="834"/>
      <c r="E411" s="834"/>
      <c r="F411" s="834"/>
      <c r="G411" s="838"/>
      <c r="H411" s="23"/>
      <c r="I411" s="17"/>
    </row>
    <row r="412" spans="1:9" s="60" customFormat="1">
      <c r="A412" s="88"/>
      <c r="B412" s="88"/>
      <c r="C412" s="46"/>
      <c r="D412" s="834"/>
      <c r="E412" s="834"/>
      <c r="F412" s="834"/>
      <c r="G412" s="838"/>
      <c r="H412" s="23"/>
      <c r="I412" s="17"/>
    </row>
    <row r="413" spans="1:9" s="60" customFormat="1">
      <c r="A413" s="88"/>
      <c r="B413" s="88"/>
      <c r="C413" s="46"/>
      <c r="D413" s="834"/>
      <c r="E413" s="834"/>
      <c r="F413" s="834"/>
      <c r="G413" s="838"/>
      <c r="H413" s="23"/>
      <c r="I413" s="17"/>
    </row>
    <row r="414" spans="1:9" s="60" customFormat="1">
      <c r="A414" s="88"/>
      <c r="B414" s="88"/>
      <c r="C414" s="46"/>
      <c r="D414" s="834"/>
      <c r="E414" s="834"/>
      <c r="F414" s="834"/>
      <c r="G414" s="838"/>
      <c r="H414" s="23"/>
      <c r="I414" s="17"/>
    </row>
    <row r="415" spans="1:9" s="60" customFormat="1">
      <c r="A415" s="88"/>
      <c r="B415" s="88"/>
      <c r="C415" s="46"/>
      <c r="D415" s="834"/>
      <c r="E415" s="834"/>
      <c r="F415" s="834"/>
      <c r="G415" s="838"/>
      <c r="H415" s="23"/>
      <c r="I415" s="17"/>
    </row>
    <row r="416" spans="1:9" s="60" customFormat="1">
      <c r="A416" s="88"/>
      <c r="B416" s="88"/>
      <c r="C416" s="46"/>
      <c r="D416" s="834"/>
      <c r="E416" s="834"/>
      <c r="F416" s="834"/>
      <c r="G416" s="838"/>
      <c r="H416" s="23"/>
      <c r="I416" s="17"/>
    </row>
    <row r="417" spans="1:9" s="60" customFormat="1">
      <c r="A417" s="88"/>
      <c r="B417" s="88"/>
      <c r="C417" s="46"/>
      <c r="D417" s="834"/>
      <c r="E417" s="834"/>
      <c r="F417" s="834"/>
      <c r="G417" s="838"/>
      <c r="H417" s="23"/>
      <c r="I417" s="17"/>
    </row>
    <row r="418" spans="1:9" s="60" customFormat="1">
      <c r="A418" s="88"/>
      <c r="B418" s="88"/>
      <c r="C418" s="46"/>
      <c r="D418" s="834"/>
      <c r="E418" s="834"/>
      <c r="F418" s="834"/>
      <c r="G418" s="838"/>
      <c r="H418" s="23"/>
      <c r="I418" s="17"/>
    </row>
    <row r="419" spans="1:9" s="60" customFormat="1">
      <c r="A419" s="88"/>
      <c r="B419" s="88"/>
      <c r="C419" s="46"/>
      <c r="D419" s="834"/>
      <c r="E419" s="834"/>
      <c r="F419" s="834"/>
      <c r="G419" s="838"/>
      <c r="H419" s="23"/>
      <c r="I419" s="17"/>
    </row>
    <row r="420" spans="1:9" s="60" customFormat="1">
      <c r="A420" s="88"/>
      <c r="B420" s="88"/>
      <c r="C420" s="46"/>
      <c r="D420" s="834"/>
      <c r="E420" s="834"/>
      <c r="F420" s="834"/>
      <c r="G420" s="838"/>
      <c r="H420" s="23"/>
      <c r="I420" s="17"/>
    </row>
    <row r="421" spans="1:9" s="60" customFormat="1">
      <c r="A421" s="88"/>
      <c r="B421" s="88"/>
      <c r="C421" s="46"/>
      <c r="D421" s="834"/>
      <c r="E421" s="834"/>
      <c r="F421" s="834"/>
      <c r="G421" s="838"/>
      <c r="H421" s="23"/>
      <c r="I421" s="17"/>
    </row>
    <row r="422" spans="1:9" s="60" customFormat="1">
      <c r="A422" s="88"/>
      <c r="B422" s="88"/>
      <c r="C422" s="46"/>
      <c r="D422" s="834"/>
      <c r="E422" s="834"/>
      <c r="F422" s="834"/>
      <c r="G422" s="838"/>
      <c r="H422" s="23"/>
      <c r="I422" s="17"/>
    </row>
    <row r="423" spans="1:9" s="60" customFormat="1">
      <c r="A423" s="88"/>
      <c r="B423" s="88"/>
      <c r="C423" s="46"/>
      <c r="D423" s="834"/>
      <c r="E423" s="834"/>
      <c r="F423" s="834"/>
      <c r="G423" s="838"/>
      <c r="H423" s="23"/>
      <c r="I423" s="17"/>
    </row>
    <row r="424" spans="1:9" s="60" customFormat="1">
      <c r="A424" s="88"/>
      <c r="B424" s="88"/>
      <c r="C424" s="46"/>
      <c r="D424" s="834"/>
      <c r="E424" s="834"/>
      <c r="F424" s="834"/>
      <c r="G424" s="838"/>
      <c r="H424" s="23"/>
      <c r="I424" s="17"/>
    </row>
    <row r="425" spans="1:9" s="60" customFormat="1">
      <c r="A425" s="88"/>
      <c r="B425" s="88"/>
      <c r="C425" s="46"/>
      <c r="D425" s="834"/>
      <c r="E425" s="834"/>
      <c r="F425" s="834"/>
      <c r="G425" s="838"/>
      <c r="H425" s="23"/>
      <c r="I425" s="17"/>
    </row>
    <row r="426" spans="1:9" s="60" customFormat="1">
      <c r="A426" s="88"/>
      <c r="B426" s="88"/>
      <c r="C426" s="46"/>
      <c r="D426" s="834"/>
      <c r="E426" s="834"/>
      <c r="F426" s="834"/>
      <c r="G426" s="838"/>
      <c r="H426" s="23"/>
      <c r="I426" s="17"/>
    </row>
    <row r="427" spans="1:9" s="60" customFormat="1">
      <c r="A427" s="88"/>
      <c r="B427" s="88"/>
      <c r="C427" s="46"/>
      <c r="D427" s="834"/>
      <c r="E427" s="834"/>
      <c r="F427" s="834"/>
      <c r="G427" s="838"/>
      <c r="H427" s="23"/>
      <c r="I427" s="17"/>
    </row>
    <row r="428" spans="1:9" s="60" customFormat="1">
      <c r="A428" s="88"/>
      <c r="B428" s="88"/>
      <c r="C428" s="46"/>
      <c r="D428" s="834"/>
      <c r="E428" s="834"/>
      <c r="F428" s="834"/>
      <c r="G428" s="838"/>
      <c r="H428" s="23"/>
      <c r="I428" s="17"/>
    </row>
    <row r="429" spans="1:9" s="60" customFormat="1">
      <c r="A429" s="88"/>
      <c r="B429" s="88"/>
      <c r="C429" s="46"/>
      <c r="D429" s="834"/>
      <c r="E429" s="834"/>
      <c r="F429" s="834"/>
      <c r="G429" s="838"/>
      <c r="H429" s="23"/>
      <c r="I429" s="17"/>
    </row>
    <row r="430" spans="1:9" s="60" customFormat="1">
      <c r="A430" s="88"/>
      <c r="B430" s="88"/>
      <c r="C430" s="46"/>
      <c r="D430" s="834"/>
      <c r="E430" s="834"/>
      <c r="F430" s="834"/>
      <c r="G430" s="838"/>
      <c r="H430" s="23"/>
      <c r="I430" s="17"/>
    </row>
    <row r="431" spans="1:9" s="60" customFormat="1">
      <c r="A431" s="88"/>
      <c r="B431" s="88"/>
      <c r="C431" s="46"/>
      <c r="D431" s="834"/>
      <c r="E431" s="834"/>
      <c r="F431" s="834"/>
      <c r="G431" s="838"/>
      <c r="H431" s="23"/>
      <c r="I431" s="17"/>
    </row>
    <row r="432" spans="1:9" s="60" customFormat="1">
      <c r="A432" s="88"/>
      <c r="B432" s="88"/>
      <c r="C432" s="46"/>
      <c r="D432" s="834"/>
      <c r="E432" s="834"/>
      <c r="F432" s="834"/>
      <c r="G432" s="838"/>
      <c r="H432" s="23"/>
      <c r="I432" s="17"/>
    </row>
    <row r="433" spans="1:9" s="60" customFormat="1">
      <c r="A433" s="88"/>
      <c r="B433" s="88"/>
      <c r="C433" s="46"/>
      <c r="D433" s="834"/>
      <c r="E433" s="834"/>
      <c r="F433" s="834"/>
      <c r="G433" s="838"/>
      <c r="H433" s="23"/>
      <c r="I433" s="17"/>
    </row>
    <row r="434" spans="1:9" s="60" customFormat="1">
      <c r="A434" s="88"/>
      <c r="B434" s="88"/>
      <c r="C434" s="46"/>
      <c r="D434" s="834"/>
      <c r="E434" s="834"/>
      <c r="F434" s="834"/>
      <c r="G434" s="838"/>
      <c r="H434" s="23"/>
      <c r="I434" s="17"/>
    </row>
    <row r="435" spans="1:9" s="60" customFormat="1">
      <c r="A435" s="88"/>
      <c r="B435" s="88"/>
      <c r="C435" s="46"/>
      <c r="D435" s="834"/>
      <c r="E435" s="834"/>
      <c r="F435" s="834"/>
      <c r="G435" s="838"/>
      <c r="H435" s="23"/>
      <c r="I435" s="17"/>
    </row>
    <row r="436" spans="1:9" s="60" customFormat="1">
      <c r="A436" s="88"/>
      <c r="B436" s="88"/>
      <c r="C436" s="46"/>
      <c r="D436" s="834"/>
      <c r="E436" s="834"/>
      <c r="F436" s="834"/>
      <c r="G436" s="838"/>
      <c r="H436" s="23"/>
      <c r="I436" s="17"/>
    </row>
    <row r="437" spans="1:9" s="60" customFormat="1">
      <c r="A437" s="88"/>
      <c r="B437" s="88"/>
      <c r="C437" s="46"/>
      <c r="D437" s="834"/>
      <c r="E437" s="834"/>
      <c r="F437" s="834"/>
      <c r="G437" s="838"/>
      <c r="H437" s="23"/>
      <c r="I437" s="17"/>
    </row>
    <row r="438" spans="1:9" s="60" customFormat="1">
      <c r="A438" s="88"/>
      <c r="B438" s="88"/>
      <c r="C438" s="46"/>
      <c r="D438" s="834"/>
      <c r="E438" s="834"/>
      <c r="F438" s="834"/>
      <c r="G438" s="838"/>
      <c r="H438" s="23"/>
      <c r="I438" s="17"/>
    </row>
    <row r="439" spans="1:9" s="60" customFormat="1">
      <c r="A439" s="88"/>
      <c r="B439" s="88"/>
      <c r="C439" s="46"/>
      <c r="D439" s="834"/>
      <c r="E439" s="834"/>
      <c r="F439" s="834"/>
      <c r="G439" s="838"/>
      <c r="H439" s="23"/>
      <c r="I439" s="17"/>
    </row>
    <row r="440" spans="1:9" s="60" customFormat="1">
      <c r="A440" s="88"/>
      <c r="B440" s="88"/>
      <c r="C440" s="46"/>
      <c r="D440" s="834"/>
      <c r="E440" s="834"/>
      <c r="F440" s="834"/>
      <c r="G440" s="838"/>
      <c r="H440" s="23"/>
      <c r="I440" s="17"/>
    </row>
    <row r="441" spans="1:9" s="60" customFormat="1">
      <c r="A441" s="88"/>
      <c r="B441" s="88"/>
      <c r="C441" s="46"/>
      <c r="D441" s="834"/>
      <c r="E441" s="834"/>
      <c r="F441" s="834"/>
      <c r="G441" s="838"/>
      <c r="H441" s="23"/>
      <c r="I441" s="17"/>
    </row>
    <row r="442" spans="1:9" s="60" customFormat="1">
      <c r="A442" s="88"/>
      <c r="B442" s="88"/>
      <c r="C442" s="46"/>
      <c r="D442" s="834"/>
      <c r="E442" s="834"/>
      <c r="F442" s="834"/>
      <c r="G442" s="838"/>
      <c r="H442" s="23"/>
      <c r="I442" s="17"/>
    </row>
    <row r="443" spans="1:9" s="60" customFormat="1">
      <c r="A443" s="88"/>
      <c r="B443" s="88"/>
      <c r="C443" s="46"/>
      <c r="D443" s="834"/>
      <c r="E443" s="834"/>
      <c r="F443" s="834"/>
      <c r="G443" s="838"/>
      <c r="H443" s="23"/>
      <c r="I443" s="17"/>
    </row>
    <row r="444" spans="1:9" s="60" customFormat="1">
      <c r="A444" s="88"/>
      <c r="B444" s="88"/>
      <c r="C444" s="46"/>
      <c r="D444" s="834"/>
      <c r="E444" s="834"/>
      <c r="F444" s="834"/>
      <c r="G444" s="838"/>
      <c r="H444" s="23"/>
      <c r="I444" s="17"/>
    </row>
    <row r="445" spans="1:9" s="60" customFormat="1">
      <c r="A445" s="88"/>
      <c r="B445" s="88"/>
      <c r="C445" s="46"/>
      <c r="D445" s="834"/>
      <c r="E445" s="834"/>
      <c r="F445" s="834"/>
      <c r="G445" s="838"/>
      <c r="H445" s="23"/>
      <c r="I445" s="17"/>
    </row>
    <row r="446" spans="1:9" s="60" customFormat="1">
      <c r="A446" s="88"/>
      <c r="B446" s="88"/>
      <c r="C446" s="46"/>
      <c r="D446" s="834"/>
      <c r="E446" s="834"/>
      <c r="F446" s="834"/>
      <c r="G446" s="838"/>
      <c r="H446" s="23"/>
      <c r="I446" s="17"/>
    </row>
    <row r="447" spans="1:9" s="60" customFormat="1">
      <c r="A447" s="88"/>
      <c r="B447" s="88"/>
      <c r="C447" s="46"/>
      <c r="D447" s="834"/>
      <c r="E447" s="834"/>
      <c r="F447" s="834"/>
      <c r="G447" s="838"/>
      <c r="H447" s="23"/>
      <c r="I447" s="17"/>
    </row>
    <row r="448" spans="1:9" s="60" customFormat="1">
      <c r="A448" s="88"/>
      <c r="B448" s="88"/>
      <c r="C448" s="46"/>
      <c r="D448" s="834"/>
      <c r="E448" s="834"/>
      <c r="F448" s="834"/>
      <c r="G448" s="838"/>
      <c r="H448" s="23"/>
      <c r="I448" s="17"/>
    </row>
    <row r="449" spans="1:9" s="60" customFormat="1">
      <c r="A449" s="88"/>
      <c r="B449" s="88"/>
      <c r="C449" s="46"/>
      <c r="D449" s="834"/>
      <c r="E449" s="834"/>
      <c r="F449" s="834"/>
      <c r="G449" s="838"/>
      <c r="H449" s="23"/>
      <c r="I449" s="17"/>
    </row>
    <row r="450" spans="1:9" s="60" customFormat="1">
      <c r="A450" s="88"/>
      <c r="B450" s="88"/>
      <c r="C450" s="46"/>
      <c r="D450" s="834"/>
      <c r="E450" s="834"/>
      <c r="F450" s="834"/>
      <c r="G450" s="838"/>
      <c r="H450" s="23"/>
      <c r="I450" s="17"/>
    </row>
    <row r="451" spans="1:9" s="60" customFormat="1">
      <c r="A451" s="88"/>
      <c r="B451" s="88"/>
      <c r="C451" s="46"/>
      <c r="D451" s="834"/>
      <c r="E451" s="834"/>
      <c r="F451" s="834"/>
      <c r="G451" s="838"/>
      <c r="H451" s="23"/>
      <c r="I451" s="17"/>
    </row>
    <row r="452" spans="1:9" s="60" customFormat="1">
      <c r="A452" s="88"/>
      <c r="B452" s="88"/>
      <c r="C452" s="46"/>
      <c r="D452" s="834"/>
      <c r="E452" s="834"/>
      <c r="F452" s="834"/>
      <c r="G452" s="838"/>
      <c r="H452" s="23"/>
      <c r="I452" s="17"/>
    </row>
    <row r="453" spans="1:9" s="60" customFormat="1">
      <c r="A453" s="88"/>
      <c r="B453" s="88"/>
      <c r="C453" s="46"/>
      <c r="D453" s="834"/>
      <c r="E453" s="834"/>
      <c r="F453" s="834"/>
      <c r="G453" s="838"/>
      <c r="H453" s="23"/>
      <c r="I453" s="17"/>
    </row>
    <row r="454" spans="1:9" s="60" customFormat="1">
      <c r="A454" s="88"/>
      <c r="B454" s="88"/>
      <c r="C454" s="46"/>
      <c r="D454" s="834"/>
      <c r="E454" s="834"/>
      <c r="F454" s="834"/>
      <c r="G454" s="838"/>
      <c r="H454" s="23"/>
      <c r="I454" s="17"/>
    </row>
    <row r="455" spans="1:9" s="60" customFormat="1">
      <c r="A455" s="88"/>
      <c r="B455" s="88"/>
      <c r="C455" s="46"/>
      <c r="D455" s="834"/>
      <c r="E455" s="834"/>
      <c r="F455" s="834"/>
      <c r="G455" s="838"/>
      <c r="H455" s="23"/>
      <c r="I455" s="17"/>
    </row>
    <row r="456" spans="1:9" s="60" customFormat="1">
      <c r="A456" s="88"/>
      <c r="B456" s="88"/>
      <c r="C456" s="46"/>
      <c r="D456" s="834"/>
      <c r="E456" s="834"/>
      <c r="F456" s="834"/>
      <c r="G456" s="838"/>
      <c r="H456" s="23"/>
      <c r="I456" s="17"/>
    </row>
    <row r="457" spans="1:9" s="60" customFormat="1">
      <c r="A457" s="88"/>
      <c r="B457" s="88"/>
      <c r="C457" s="46"/>
      <c r="D457" s="834"/>
      <c r="E457" s="834"/>
      <c r="F457" s="834"/>
      <c r="G457" s="838"/>
      <c r="H457" s="23"/>
      <c r="I457" s="17"/>
    </row>
    <row r="458" spans="1:9" s="60" customFormat="1">
      <c r="A458" s="88"/>
      <c r="B458" s="88"/>
      <c r="C458" s="46"/>
      <c r="D458" s="834"/>
      <c r="E458" s="834"/>
      <c r="F458" s="834"/>
      <c r="G458" s="838"/>
      <c r="H458" s="23"/>
      <c r="I458" s="17"/>
    </row>
    <row r="459" spans="1:9" s="60" customFormat="1">
      <c r="A459" s="88"/>
      <c r="B459" s="88"/>
      <c r="C459" s="46"/>
      <c r="D459" s="834"/>
      <c r="E459" s="834"/>
      <c r="F459" s="834"/>
      <c r="G459" s="838"/>
      <c r="H459" s="23"/>
      <c r="I459" s="17"/>
    </row>
    <row r="460" spans="1:9" s="60" customFormat="1">
      <c r="A460" s="88"/>
      <c r="B460" s="88"/>
      <c r="C460" s="46"/>
      <c r="D460" s="834"/>
      <c r="E460" s="834"/>
      <c r="F460" s="834"/>
      <c r="G460" s="838"/>
      <c r="H460" s="23"/>
      <c r="I460" s="17"/>
    </row>
    <row r="461" spans="1:9" s="60" customFormat="1">
      <c r="A461" s="88"/>
      <c r="B461" s="88"/>
      <c r="C461" s="46"/>
      <c r="D461" s="834"/>
      <c r="E461" s="834"/>
      <c r="F461" s="834"/>
      <c r="G461" s="838"/>
      <c r="H461" s="23"/>
      <c r="I461" s="17"/>
    </row>
    <row r="462" spans="1:9" s="60" customFormat="1">
      <c r="A462" s="88"/>
      <c r="B462" s="88"/>
      <c r="C462" s="46"/>
      <c r="D462" s="834"/>
      <c r="E462" s="834"/>
      <c r="F462" s="834"/>
      <c r="G462" s="838"/>
      <c r="H462" s="23"/>
      <c r="I462" s="17"/>
    </row>
    <row r="463" spans="1:9" s="60" customFormat="1">
      <c r="A463" s="88"/>
      <c r="B463" s="88"/>
      <c r="C463" s="46"/>
      <c r="D463" s="834"/>
      <c r="E463" s="834"/>
      <c r="F463" s="834"/>
      <c r="G463" s="838"/>
      <c r="H463" s="23"/>
      <c r="I463" s="17"/>
    </row>
    <row r="464" spans="1:9" s="60" customFormat="1">
      <c r="A464" s="88"/>
      <c r="B464" s="88"/>
      <c r="C464" s="46"/>
      <c r="D464" s="834"/>
      <c r="E464" s="834"/>
      <c r="F464" s="834"/>
      <c r="G464" s="838"/>
      <c r="H464" s="23"/>
      <c r="I464" s="17"/>
    </row>
    <row r="465" spans="1:9" s="60" customFormat="1">
      <c r="A465" s="88"/>
      <c r="B465" s="88"/>
      <c r="C465" s="46"/>
      <c r="D465" s="834"/>
      <c r="E465" s="834"/>
      <c r="F465" s="834"/>
      <c r="G465" s="838"/>
      <c r="H465" s="23"/>
      <c r="I465" s="17"/>
    </row>
    <row r="466" spans="1:9" s="60" customFormat="1">
      <c r="A466" s="88"/>
      <c r="B466" s="88"/>
      <c r="C466" s="46"/>
      <c r="D466" s="834"/>
      <c r="E466" s="834"/>
      <c r="F466" s="834"/>
      <c r="G466" s="838"/>
      <c r="H466" s="23"/>
      <c r="I466" s="17"/>
    </row>
    <row r="467" spans="1:9" s="60" customFormat="1">
      <c r="A467" s="88"/>
      <c r="B467" s="88"/>
      <c r="C467" s="46"/>
      <c r="D467" s="834"/>
      <c r="E467" s="834"/>
      <c r="F467" s="834"/>
      <c r="G467" s="838"/>
      <c r="H467" s="23"/>
      <c r="I467" s="17"/>
    </row>
    <row r="468" spans="1:9" s="60" customFormat="1">
      <c r="A468" s="88"/>
      <c r="B468" s="88"/>
      <c r="C468" s="46"/>
      <c r="D468" s="834"/>
      <c r="E468" s="834"/>
      <c r="F468" s="834"/>
      <c r="G468" s="838"/>
      <c r="H468" s="23"/>
      <c r="I468" s="17"/>
    </row>
    <row r="469" spans="1:9" s="60" customFormat="1">
      <c r="A469" s="88"/>
      <c r="B469" s="88"/>
      <c r="C469" s="46"/>
      <c r="D469" s="834"/>
      <c r="E469" s="834"/>
      <c r="F469" s="834"/>
      <c r="G469" s="838"/>
      <c r="H469" s="23"/>
      <c r="I469" s="17"/>
    </row>
    <row r="470" spans="1:9" s="60" customFormat="1">
      <c r="A470" s="88"/>
      <c r="B470" s="88"/>
      <c r="C470" s="46"/>
      <c r="D470" s="834"/>
      <c r="E470" s="834"/>
      <c r="F470" s="834"/>
      <c r="G470" s="838"/>
      <c r="H470" s="23"/>
      <c r="I470" s="17"/>
    </row>
    <row r="471" spans="1:9" s="60" customFormat="1">
      <c r="A471" s="88"/>
      <c r="B471" s="88"/>
      <c r="C471" s="46"/>
      <c r="D471" s="834"/>
      <c r="E471" s="834"/>
      <c r="F471" s="834"/>
      <c r="G471" s="838"/>
      <c r="H471" s="23"/>
      <c r="I471" s="17"/>
    </row>
    <row r="472" spans="1:9" s="60" customFormat="1">
      <c r="A472" s="88"/>
      <c r="B472" s="88"/>
      <c r="C472" s="46"/>
      <c r="D472" s="834"/>
      <c r="E472" s="834"/>
      <c r="F472" s="834"/>
      <c r="G472" s="838"/>
      <c r="H472" s="23"/>
      <c r="I472" s="17"/>
    </row>
    <row r="473" spans="1:9" s="60" customFormat="1">
      <c r="A473" s="88"/>
      <c r="B473" s="88"/>
      <c r="C473" s="46"/>
      <c r="D473" s="834"/>
      <c r="E473" s="834"/>
      <c r="F473" s="834"/>
      <c r="G473" s="838"/>
      <c r="H473" s="23"/>
      <c r="I473" s="17"/>
    </row>
    <row r="474" spans="1:9" s="60" customFormat="1">
      <c r="A474" s="88"/>
      <c r="B474" s="88"/>
      <c r="C474" s="46"/>
      <c r="D474" s="834"/>
      <c r="E474" s="834"/>
      <c r="F474" s="834"/>
      <c r="G474" s="838"/>
      <c r="H474" s="23"/>
      <c r="I474" s="17"/>
    </row>
    <row r="475" spans="1:9" s="60" customFormat="1">
      <c r="A475" s="88"/>
      <c r="B475" s="88"/>
      <c r="C475" s="46"/>
      <c r="D475" s="834"/>
      <c r="E475" s="834"/>
      <c r="F475" s="834"/>
      <c r="G475" s="838"/>
      <c r="H475" s="23"/>
      <c r="I475" s="17"/>
    </row>
    <row r="476" spans="1:9" s="60" customFormat="1">
      <c r="A476" s="88"/>
      <c r="B476" s="88"/>
      <c r="C476" s="46"/>
      <c r="D476" s="834"/>
      <c r="E476" s="834"/>
      <c r="F476" s="834"/>
      <c r="G476" s="838"/>
      <c r="H476" s="23"/>
      <c r="I476" s="17"/>
    </row>
    <row r="477" spans="1:9" s="60" customFormat="1">
      <c r="A477" s="88"/>
      <c r="B477" s="88"/>
      <c r="C477" s="46"/>
      <c r="D477" s="834"/>
      <c r="E477" s="834"/>
      <c r="F477" s="834"/>
      <c r="G477" s="838"/>
      <c r="H477" s="23"/>
      <c r="I477" s="17"/>
    </row>
    <row r="478" spans="1:9" s="60" customFormat="1">
      <c r="A478" s="88"/>
      <c r="B478" s="88"/>
      <c r="C478" s="46"/>
      <c r="D478" s="834"/>
      <c r="E478" s="834"/>
      <c r="F478" s="834"/>
      <c r="G478" s="838"/>
      <c r="H478" s="23"/>
      <c r="I478" s="17"/>
    </row>
    <row r="479" spans="1:9" s="60" customFormat="1">
      <c r="A479" s="88"/>
      <c r="B479" s="88"/>
      <c r="C479" s="46"/>
      <c r="D479" s="834"/>
      <c r="E479" s="834"/>
      <c r="F479" s="834"/>
      <c r="G479" s="838"/>
      <c r="H479" s="23"/>
      <c r="I479" s="17"/>
    </row>
    <row r="480" spans="1:9" s="60" customFormat="1">
      <c r="A480" s="88"/>
      <c r="B480" s="88"/>
      <c r="C480" s="46"/>
      <c r="D480" s="834"/>
      <c r="E480" s="834"/>
      <c r="F480" s="834"/>
      <c r="G480" s="838"/>
      <c r="H480" s="23"/>
      <c r="I480" s="17"/>
    </row>
    <row r="481" spans="1:9" s="60" customFormat="1">
      <c r="A481" s="88"/>
      <c r="B481" s="88"/>
      <c r="C481" s="46"/>
      <c r="D481" s="834"/>
      <c r="E481" s="834"/>
      <c r="F481" s="834"/>
      <c r="G481" s="838"/>
      <c r="H481" s="23"/>
      <c r="I481" s="17"/>
    </row>
    <row r="482" spans="1:9" s="60" customFormat="1">
      <c r="A482" s="88"/>
      <c r="B482" s="88"/>
      <c r="C482" s="46"/>
      <c r="D482" s="834"/>
      <c r="E482" s="834"/>
      <c r="F482" s="834"/>
      <c r="G482" s="838"/>
      <c r="H482" s="23"/>
      <c r="I482" s="17"/>
    </row>
    <row r="483" spans="1:9" s="60" customFormat="1">
      <c r="A483" s="88"/>
      <c r="B483" s="88"/>
      <c r="C483" s="46"/>
      <c r="D483" s="834"/>
      <c r="E483" s="834"/>
      <c r="F483" s="834"/>
      <c r="G483" s="838"/>
      <c r="H483" s="23"/>
      <c r="I483" s="17"/>
    </row>
    <row r="484" spans="1:9" s="60" customFormat="1">
      <c r="A484" s="88"/>
      <c r="B484" s="88"/>
      <c r="C484" s="46"/>
      <c r="D484" s="834"/>
      <c r="E484" s="834"/>
      <c r="F484" s="834"/>
      <c r="G484" s="838"/>
      <c r="H484" s="23"/>
      <c r="I484" s="17"/>
    </row>
    <row r="485" spans="1:9" s="60" customFormat="1">
      <c r="A485" s="88"/>
      <c r="B485" s="88"/>
      <c r="C485" s="46"/>
      <c r="D485" s="834"/>
      <c r="E485" s="834"/>
      <c r="F485" s="834"/>
      <c r="G485" s="838"/>
      <c r="H485" s="23"/>
      <c r="I485" s="17"/>
    </row>
    <row r="486" spans="1:9" s="60" customFormat="1">
      <c r="A486" s="88"/>
      <c r="B486" s="88"/>
      <c r="C486" s="46"/>
      <c r="D486" s="834"/>
      <c r="E486" s="834"/>
      <c r="F486" s="834"/>
      <c r="G486" s="838"/>
      <c r="H486" s="23"/>
      <c r="I486" s="17"/>
    </row>
    <row r="487" spans="1:9" s="60" customFormat="1">
      <c r="A487" s="88"/>
      <c r="B487" s="88"/>
      <c r="C487" s="46"/>
      <c r="D487" s="834"/>
      <c r="E487" s="834"/>
      <c r="F487" s="834"/>
      <c r="G487" s="838"/>
      <c r="H487" s="23"/>
      <c r="I487" s="17"/>
    </row>
    <row r="488" spans="1:9" s="60" customFormat="1">
      <c r="A488" s="88"/>
      <c r="B488" s="88"/>
      <c r="C488" s="46"/>
      <c r="D488" s="834"/>
      <c r="E488" s="834"/>
      <c r="F488" s="834"/>
      <c r="G488" s="838"/>
      <c r="H488" s="23"/>
      <c r="I488" s="17"/>
    </row>
    <row r="489" spans="1:9" s="60" customFormat="1">
      <c r="A489" s="88"/>
      <c r="B489" s="88"/>
      <c r="C489" s="46"/>
      <c r="D489" s="834"/>
      <c r="E489" s="834"/>
      <c r="F489" s="834"/>
      <c r="G489" s="838"/>
      <c r="H489" s="23"/>
      <c r="I489" s="17"/>
    </row>
    <row r="490" spans="1:9" s="60" customFormat="1">
      <c r="A490" s="88"/>
      <c r="B490" s="88"/>
      <c r="C490" s="46"/>
      <c r="D490" s="834"/>
      <c r="E490" s="834"/>
      <c r="F490" s="834"/>
      <c r="G490" s="838"/>
      <c r="H490" s="23"/>
      <c r="I490" s="17"/>
    </row>
    <row r="491" spans="1:9" s="60" customFormat="1">
      <c r="A491" s="88"/>
      <c r="B491" s="88"/>
      <c r="C491" s="46"/>
      <c r="D491" s="834"/>
      <c r="E491" s="834"/>
      <c r="F491" s="834"/>
      <c r="G491" s="838"/>
      <c r="H491" s="23"/>
      <c r="I491" s="17"/>
    </row>
    <row r="492" spans="1:9" s="60" customFormat="1">
      <c r="A492" s="88"/>
      <c r="B492" s="88"/>
      <c r="C492" s="46"/>
      <c r="D492" s="834"/>
      <c r="E492" s="834"/>
      <c r="F492" s="834"/>
      <c r="G492" s="838"/>
      <c r="H492" s="23"/>
      <c r="I492" s="17"/>
    </row>
    <row r="493" spans="1:9" s="60" customFormat="1">
      <c r="A493" s="88"/>
      <c r="B493" s="88"/>
      <c r="C493" s="46"/>
      <c r="D493" s="834"/>
      <c r="E493" s="834"/>
      <c r="F493" s="834"/>
      <c r="G493" s="838"/>
      <c r="H493" s="23"/>
      <c r="I493" s="17"/>
    </row>
    <row r="494" spans="1:9" s="60" customFormat="1">
      <c r="A494" s="88"/>
      <c r="B494" s="88"/>
      <c r="C494" s="46"/>
      <c r="D494" s="834"/>
      <c r="E494" s="834"/>
      <c r="F494" s="834"/>
      <c r="G494" s="838"/>
      <c r="H494" s="23"/>
      <c r="I494" s="17"/>
    </row>
    <row r="495" spans="1:9" s="60" customFormat="1">
      <c r="A495" s="88"/>
      <c r="B495" s="88"/>
      <c r="C495" s="46"/>
      <c r="D495" s="834"/>
      <c r="E495" s="834"/>
      <c r="F495" s="834"/>
      <c r="G495" s="838"/>
      <c r="H495" s="23"/>
      <c r="I495" s="17"/>
    </row>
    <row r="496" spans="1:9" s="60" customFormat="1">
      <c r="A496" s="88"/>
      <c r="B496" s="88"/>
      <c r="C496" s="46"/>
      <c r="D496" s="834"/>
      <c r="E496" s="834"/>
      <c r="F496" s="834"/>
      <c r="G496" s="838"/>
      <c r="H496" s="23"/>
      <c r="I496" s="17"/>
    </row>
    <row r="497" spans="1:9" s="60" customFormat="1">
      <c r="A497" s="88"/>
      <c r="B497" s="88"/>
      <c r="C497" s="46"/>
      <c r="D497" s="834"/>
      <c r="E497" s="834"/>
      <c r="F497" s="834"/>
      <c r="G497" s="838"/>
      <c r="H497" s="23"/>
      <c r="I497" s="17"/>
    </row>
    <row r="498" spans="1:9" s="60" customFormat="1">
      <c r="A498" s="88"/>
      <c r="B498" s="88"/>
      <c r="C498" s="46"/>
      <c r="D498" s="834"/>
      <c r="E498" s="834"/>
      <c r="F498" s="834"/>
      <c r="G498" s="838"/>
      <c r="H498" s="23"/>
      <c r="I498" s="17"/>
    </row>
    <row r="499" spans="1:9" s="60" customFormat="1">
      <c r="A499" s="88"/>
      <c r="B499" s="88"/>
      <c r="C499" s="46"/>
      <c r="D499" s="834"/>
      <c r="E499" s="834"/>
      <c r="F499" s="834"/>
      <c r="G499" s="838"/>
      <c r="H499" s="23"/>
      <c r="I499" s="17"/>
    </row>
    <row r="500" spans="1:9" s="60" customFormat="1">
      <c r="A500" s="88"/>
      <c r="B500" s="88"/>
      <c r="C500" s="46"/>
      <c r="D500" s="834"/>
      <c r="E500" s="834"/>
      <c r="F500" s="834"/>
      <c r="G500" s="838"/>
      <c r="H500" s="23"/>
      <c r="I500" s="17"/>
    </row>
    <row r="501" spans="1:9" s="60" customFormat="1">
      <c r="A501" s="88"/>
      <c r="B501" s="88"/>
      <c r="C501" s="46"/>
      <c r="D501" s="834"/>
      <c r="E501" s="834"/>
      <c r="F501" s="834"/>
      <c r="G501" s="838"/>
      <c r="H501" s="23"/>
      <c r="I501" s="17"/>
    </row>
    <row r="502" spans="1:9" s="60" customFormat="1">
      <c r="A502" s="88"/>
      <c r="B502" s="88"/>
      <c r="C502" s="46"/>
      <c r="D502" s="834"/>
      <c r="E502" s="834"/>
      <c r="F502" s="834"/>
      <c r="G502" s="838"/>
      <c r="H502" s="23"/>
      <c r="I502" s="17"/>
    </row>
    <row r="503" spans="1:9" s="60" customFormat="1">
      <c r="A503" s="88"/>
      <c r="B503" s="88"/>
      <c r="C503" s="46"/>
      <c r="D503" s="834"/>
      <c r="E503" s="834"/>
      <c r="F503" s="834"/>
      <c r="G503" s="838"/>
      <c r="H503" s="23"/>
      <c r="I503" s="17"/>
    </row>
    <row r="504" spans="1:9" s="60" customFormat="1">
      <c r="A504" s="88"/>
      <c r="B504" s="88"/>
      <c r="C504" s="46"/>
      <c r="D504" s="834"/>
      <c r="E504" s="834"/>
      <c r="F504" s="834"/>
      <c r="G504" s="838"/>
      <c r="H504" s="23"/>
      <c r="I504" s="17"/>
    </row>
    <row r="505" spans="1:9" s="60" customFormat="1">
      <c r="A505" s="88"/>
      <c r="B505" s="88"/>
      <c r="C505" s="46"/>
      <c r="D505" s="834"/>
      <c r="E505" s="834"/>
      <c r="F505" s="834"/>
      <c r="G505" s="838"/>
      <c r="H505" s="23"/>
      <c r="I505" s="17"/>
    </row>
    <row r="506" spans="1:9" s="60" customFormat="1">
      <c r="A506" s="88"/>
      <c r="B506" s="88"/>
      <c r="C506" s="46"/>
      <c r="D506" s="834"/>
      <c r="E506" s="834"/>
      <c r="F506" s="834"/>
      <c r="G506" s="838"/>
      <c r="H506" s="23"/>
      <c r="I506" s="17"/>
    </row>
    <row r="507" spans="1:9" s="60" customFormat="1">
      <c r="A507" s="88"/>
      <c r="B507" s="88"/>
      <c r="C507" s="46"/>
      <c r="D507" s="834"/>
      <c r="E507" s="834"/>
      <c r="F507" s="834"/>
      <c r="G507" s="838"/>
      <c r="H507" s="23"/>
      <c r="I507" s="17"/>
    </row>
    <row r="508" spans="1:9" s="60" customFormat="1">
      <c r="A508" s="88"/>
      <c r="B508" s="88"/>
      <c r="C508" s="46"/>
      <c r="D508" s="834"/>
      <c r="E508" s="834"/>
      <c r="F508" s="834"/>
      <c r="G508" s="838"/>
      <c r="H508" s="23"/>
      <c r="I508" s="17"/>
    </row>
    <row r="509" spans="1:9" s="60" customFormat="1">
      <c r="A509" s="88"/>
      <c r="B509" s="88"/>
      <c r="C509" s="46"/>
      <c r="D509" s="834"/>
      <c r="E509" s="834"/>
      <c r="F509" s="834"/>
      <c r="G509" s="838"/>
      <c r="H509" s="23"/>
      <c r="I509" s="17"/>
    </row>
    <row r="510" spans="1:9" s="60" customFormat="1">
      <c r="A510" s="88"/>
      <c r="B510" s="88"/>
      <c r="C510" s="46"/>
      <c r="D510" s="834"/>
      <c r="E510" s="834"/>
      <c r="F510" s="834"/>
      <c r="G510" s="838"/>
      <c r="H510" s="23"/>
      <c r="I510" s="17"/>
    </row>
    <row r="511" spans="1:9" s="60" customFormat="1">
      <c r="A511" s="88"/>
      <c r="B511" s="88"/>
      <c r="C511" s="46"/>
      <c r="D511" s="834"/>
      <c r="E511" s="834"/>
      <c r="F511" s="834"/>
      <c r="G511" s="838"/>
      <c r="H511" s="23"/>
      <c r="I511" s="17"/>
    </row>
    <row r="512" spans="1:9" s="60" customFormat="1">
      <c r="A512" s="88"/>
      <c r="B512" s="88"/>
      <c r="C512" s="46"/>
      <c r="D512" s="834"/>
      <c r="E512" s="834"/>
      <c r="F512" s="834"/>
      <c r="G512" s="838"/>
      <c r="H512" s="23"/>
      <c r="I512" s="17"/>
    </row>
    <row r="513" spans="1:9" s="60" customFormat="1">
      <c r="A513" s="88"/>
      <c r="B513" s="88"/>
      <c r="C513" s="46"/>
      <c r="D513" s="834"/>
      <c r="E513" s="834"/>
      <c r="F513" s="834"/>
      <c r="G513" s="838"/>
      <c r="H513" s="23"/>
      <c r="I513" s="17"/>
    </row>
    <row r="514" spans="1:9" s="60" customFormat="1">
      <c r="A514" s="88"/>
      <c r="B514" s="88"/>
      <c r="C514" s="46"/>
      <c r="D514" s="834"/>
      <c r="E514" s="834"/>
      <c r="F514" s="834"/>
      <c r="G514" s="838"/>
      <c r="H514" s="23"/>
      <c r="I514" s="17"/>
    </row>
    <row r="515" spans="1:9" s="60" customFormat="1">
      <c r="A515" s="88"/>
      <c r="B515" s="88"/>
      <c r="C515" s="46"/>
      <c r="D515" s="834"/>
      <c r="E515" s="834"/>
      <c r="F515" s="834"/>
      <c r="G515" s="838"/>
      <c r="H515" s="23"/>
      <c r="I515" s="17"/>
    </row>
    <row r="516" spans="1:9" s="60" customFormat="1">
      <c r="A516" s="88"/>
      <c r="B516" s="88"/>
      <c r="C516" s="46"/>
      <c r="D516" s="834"/>
      <c r="E516" s="834"/>
      <c r="F516" s="834"/>
      <c r="G516" s="838"/>
      <c r="H516" s="23"/>
      <c r="I516" s="17"/>
    </row>
    <row r="517" spans="1:9" s="60" customFormat="1">
      <c r="A517" s="88"/>
      <c r="B517" s="88"/>
      <c r="C517" s="46"/>
      <c r="D517" s="834"/>
      <c r="E517" s="834"/>
      <c r="F517" s="834"/>
      <c r="G517" s="838"/>
      <c r="H517" s="23"/>
      <c r="I517" s="17"/>
    </row>
    <row r="518" spans="1:9" s="60" customFormat="1">
      <c r="A518" s="88"/>
      <c r="B518" s="88"/>
      <c r="C518" s="46"/>
      <c r="D518" s="834"/>
      <c r="E518" s="834"/>
      <c r="F518" s="834"/>
      <c r="G518" s="838"/>
      <c r="H518" s="23"/>
      <c r="I518" s="17"/>
    </row>
    <row r="519" spans="1:9" s="60" customFormat="1">
      <c r="A519" s="88"/>
      <c r="B519" s="88"/>
      <c r="C519" s="46"/>
      <c r="D519" s="834"/>
      <c r="E519" s="834"/>
      <c r="F519" s="834"/>
      <c r="G519" s="838"/>
      <c r="H519" s="23"/>
      <c r="I519" s="17"/>
    </row>
    <row r="520" spans="1:9" s="60" customFormat="1">
      <c r="A520" s="88"/>
      <c r="B520" s="88"/>
      <c r="C520" s="46"/>
      <c r="D520" s="834"/>
      <c r="E520" s="834"/>
      <c r="F520" s="834"/>
      <c r="G520" s="838"/>
      <c r="H520" s="23"/>
      <c r="I520" s="17"/>
    </row>
    <row r="521" spans="1:9" s="60" customFormat="1">
      <c r="A521" s="88"/>
      <c r="B521" s="88"/>
      <c r="C521" s="46"/>
      <c r="D521" s="834"/>
      <c r="E521" s="834"/>
      <c r="F521" s="834"/>
      <c r="G521" s="838"/>
      <c r="H521" s="23"/>
      <c r="I521" s="17"/>
    </row>
    <row r="522" spans="1:9" s="60" customFormat="1">
      <c r="A522" s="88"/>
      <c r="B522" s="88"/>
      <c r="C522" s="46"/>
      <c r="D522" s="834"/>
      <c r="E522" s="834"/>
      <c r="F522" s="834"/>
      <c r="G522" s="838"/>
      <c r="H522" s="23"/>
      <c r="I522" s="17"/>
    </row>
    <row r="523" spans="1:9" s="60" customFormat="1">
      <c r="A523" s="88"/>
      <c r="B523" s="88"/>
      <c r="C523" s="46"/>
      <c r="D523" s="834"/>
      <c r="E523" s="834"/>
      <c r="F523" s="834"/>
      <c r="G523" s="838"/>
      <c r="H523" s="23"/>
      <c r="I523" s="17"/>
    </row>
    <row r="524" spans="1:9" s="60" customFormat="1">
      <c r="A524" s="88"/>
      <c r="B524" s="88"/>
      <c r="C524" s="46"/>
      <c r="D524" s="834"/>
      <c r="E524" s="834"/>
      <c r="F524" s="834"/>
      <c r="G524" s="838"/>
      <c r="H524" s="23"/>
      <c r="I524" s="17"/>
    </row>
    <row r="525" spans="1:9" s="60" customFormat="1">
      <c r="A525" s="88"/>
      <c r="B525" s="88"/>
      <c r="C525" s="46"/>
      <c r="D525" s="834"/>
      <c r="E525" s="834"/>
      <c r="F525" s="834"/>
      <c r="G525" s="838"/>
      <c r="H525" s="23"/>
      <c r="I525" s="17"/>
    </row>
    <row r="526" spans="1:9" s="60" customFormat="1">
      <c r="A526" s="88"/>
      <c r="B526" s="88"/>
      <c r="C526" s="46"/>
      <c r="D526" s="834"/>
      <c r="E526" s="834"/>
      <c r="F526" s="834"/>
      <c r="G526" s="838"/>
      <c r="H526" s="23"/>
      <c r="I526" s="17"/>
    </row>
    <row r="527" spans="1:9" s="60" customFormat="1">
      <c r="A527" s="88"/>
      <c r="B527" s="88"/>
      <c r="C527" s="46"/>
      <c r="D527" s="834"/>
      <c r="E527" s="834"/>
      <c r="F527" s="834"/>
      <c r="G527" s="838"/>
      <c r="H527" s="23"/>
      <c r="I527" s="17"/>
    </row>
    <row r="528" spans="1:9" s="60" customFormat="1">
      <c r="A528" s="88"/>
      <c r="B528" s="88"/>
      <c r="C528" s="46"/>
      <c r="D528" s="834"/>
      <c r="E528" s="834"/>
      <c r="F528" s="834"/>
      <c r="G528" s="838"/>
      <c r="H528" s="23"/>
      <c r="I528" s="17"/>
    </row>
    <row r="529" spans="1:9" s="60" customFormat="1">
      <c r="A529" s="88"/>
      <c r="B529" s="88"/>
      <c r="C529" s="46"/>
      <c r="D529" s="834"/>
      <c r="E529" s="834"/>
      <c r="F529" s="834"/>
      <c r="G529" s="838"/>
      <c r="H529" s="23"/>
      <c r="I529" s="17"/>
    </row>
    <row r="530" spans="1:9" s="60" customFormat="1">
      <c r="A530" s="88"/>
      <c r="B530" s="88"/>
      <c r="C530" s="46"/>
      <c r="D530" s="834"/>
      <c r="E530" s="834"/>
      <c r="F530" s="834"/>
      <c r="G530" s="838"/>
      <c r="H530" s="23"/>
      <c r="I530" s="17"/>
    </row>
    <row r="531" spans="1:9" s="60" customFormat="1">
      <c r="A531" s="88"/>
      <c r="B531" s="88"/>
      <c r="C531" s="46"/>
      <c r="D531" s="834"/>
      <c r="E531" s="834"/>
      <c r="F531" s="834"/>
      <c r="G531" s="838"/>
      <c r="H531" s="23"/>
      <c r="I531" s="17"/>
    </row>
    <row r="532" spans="1:9" s="60" customFormat="1">
      <c r="A532" s="88"/>
      <c r="B532" s="88"/>
      <c r="C532" s="46"/>
      <c r="D532" s="834"/>
      <c r="E532" s="834"/>
      <c r="F532" s="834"/>
      <c r="G532" s="838"/>
      <c r="H532" s="23"/>
      <c r="I532" s="17"/>
    </row>
    <row r="533" spans="1:9" s="60" customFormat="1">
      <c r="A533" s="88"/>
      <c r="B533" s="88"/>
      <c r="C533" s="46"/>
      <c r="D533" s="834"/>
      <c r="E533" s="834"/>
      <c r="F533" s="834"/>
      <c r="G533" s="838"/>
      <c r="H533" s="23"/>
      <c r="I533" s="17"/>
    </row>
    <row r="534" spans="1:9" s="60" customFormat="1">
      <c r="A534" s="88"/>
      <c r="B534" s="88"/>
      <c r="C534" s="46"/>
      <c r="D534" s="834"/>
      <c r="E534" s="834"/>
      <c r="F534" s="834"/>
      <c r="G534" s="838"/>
      <c r="H534" s="23"/>
      <c r="I534" s="17"/>
    </row>
    <row r="535" spans="1:9" s="60" customFormat="1">
      <c r="A535" s="88"/>
      <c r="B535" s="88"/>
      <c r="C535" s="46"/>
      <c r="D535" s="834"/>
      <c r="E535" s="834"/>
      <c r="F535" s="834"/>
      <c r="G535" s="838"/>
      <c r="H535" s="23"/>
      <c r="I535" s="17"/>
    </row>
    <row r="536" spans="1:9" s="60" customFormat="1">
      <c r="A536" s="88"/>
      <c r="B536" s="88"/>
      <c r="C536" s="46"/>
      <c r="D536" s="834"/>
      <c r="E536" s="834"/>
      <c r="F536" s="834"/>
      <c r="G536" s="838"/>
      <c r="H536" s="23"/>
      <c r="I536" s="17"/>
    </row>
    <row r="537" spans="1:9" s="60" customFormat="1">
      <c r="A537" s="88"/>
      <c r="B537" s="88"/>
      <c r="C537" s="46"/>
      <c r="D537" s="834"/>
      <c r="E537" s="834"/>
      <c r="F537" s="834"/>
      <c r="G537" s="838"/>
      <c r="H537" s="23"/>
      <c r="I537" s="17"/>
    </row>
    <row r="538" spans="1:9" s="60" customFormat="1">
      <c r="A538" s="88"/>
      <c r="B538" s="88"/>
      <c r="C538" s="46"/>
      <c r="D538" s="834"/>
      <c r="E538" s="834"/>
      <c r="F538" s="834"/>
      <c r="G538" s="838"/>
      <c r="H538" s="23"/>
      <c r="I538" s="17"/>
    </row>
    <row r="539" spans="1:9" s="60" customFormat="1">
      <c r="A539" s="88"/>
      <c r="B539" s="88"/>
      <c r="C539" s="46"/>
      <c r="D539" s="834"/>
      <c r="E539" s="834"/>
      <c r="F539" s="834"/>
      <c r="G539" s="838"/>
      <c r="H539" s="23"/>
      <c r="I539" s="17"/>
    </row>
    <row r="540" spans="1:9" s="60" customFormat="1">
      <c r="A540" s="88"/>
      <c r="B540" s="88"/>
      <c r="C540" s="46"/>
      <c r="D540" s="834"/>
      <c r="E540" s="834"/>
      <c r="F540" s="834"/>
      <c r="G540" s="838"/>
      <c r="H540" s="23"/>
      <c r="I540" s="17"/>
    </row>
    <row r="541" spans="1:9" s="60" customFormat="1">
      <c r="A541" s="88"/>
      <c r="B541" s="88"/>
      <c r="C541" s="46"/>
      <c r="D541" s="834"/>
      <c r="E541" s="834"/>
      <c r="F541" s="834"/>
      <c r="G541" s="838"/>
      <c r="H541" s="23"/>
      <c r="I541" s="17"/>
    </row>
    <row r="542" spans="1:9" s="60" customFormat="1">
      <c r="A542" s="88"/>
      <c r="B542" s="88"/>
      <c r="C542" s="46"/>
      <c r="D542" s="834"/>
      <c r="E542" s="834"/>
      <c r="F542" s="834"/>
      <c r="G542" s="838"/>
      <c r="H542" s="23"/>
      <c r="I542" s="17"/>
    </row>
    <row r="543" spans="1:9" s="60" customFormat="1">
      <c r="A543" s="88"/>
      <c r="B543" s="88"/>
      <c r="C543" s="46"/>
      <c r="D543" s="834"/>
      <c r="E543" s="834"/>
      <c r="F543" s="834"/>
      <c r="G543" s="838"/>
      <c r="H543" s="23"/>
      <c r="I543" s="17"/>
    </row>
    <row r="544" spans="1:9" s="60" customFormat="1">
      <c r="A544" s="88"/>
      <c r="B544" s="88"/>
      <c r="C544" s="46"/>
      <c r="D544" s="834"/>
      <c r="E544" s="834"/>
      <c r="F544" s="834"/>
      <c r="G544" s="838"/>
      <c r="H544" s="23"/>
      <c r="I544" s="17"/>
    </row>
    <row r="545" spans="1:9" s="60" customFormat="1">
      <c r="A545" s="88"/>
      <c r="B545" s="88"/>
      <c r="C545" s="46"/>
      <c r="D545" s="834"/>
      <c r="E545" s="834"/>
      <c r="F545" s="834"/>
      <c r="G545" s="838"/>
      <c r="H545" s="23"/>
      <c r="I545" s="17"/>
    </row>
    <row r="546" spans="1:9" s="60" customFormat="1">
      <c r="A546" s="88"/>
      <c r="B546" s="88"/>
      <c r="C546" s="46"/>
      <c r="D546" s="834"/>
      <c r="E546" s="834"/>
      <c r="F546" s="834"/>
      <c r="G546" s="838"/>
      <c r="H546" s="23"/>
      <c r="I546" s="17"/>
    </row>
    <row r="547" spans="1:9" s="60" customFormat="1">
      <c r="A547" s="88"/>
      <c r="B547" s="88"/>
      <c r="C547" s="46"/>
      <c r="D547" s="834"/>
      <c r="E547" s="834"/>
      <c r="F547" s="834"/>
      <c r="G547" s="838"/>
      <c r="H547" s="23"/>
      <c r="I547" s="17"/>
    </row>
    <row r="548" spans="1:9" s="60" customFormat="1">
      <c r="A548" s="88"/>
      <c r="B548" s="88"/>
      <c r="C548" s="46"/>
      <c r="D548" s="834"/>
      <c r="E548" s="834"/>
      <c r="F548" s="834"/>
      <c r="G548" s="838"/>
      <c r="H548" s="23"/>
      <c r="I548" s="17"/>
    </row>
    <row r="549" spans="1:9" s="60" customFormat="1">
      <c r="A549" s="88"/>
      <c r="B549" s="88"/>
      <c r="C549" s="46"/>
      <c r="D549" s="834"/>
      <c r="E549" s="834"/>
      <c r="F549" s="834"/>
      <c r="G549" s="838"/>
      <c r="H549" s="23"/>
      <c r="I549" s="17"/>
    </row>
    <row r="550" spans="1:9" s="60" customFormat="1">
      <c r="A550" s="88"/>
      <c r="B550" s="88"/>
      <c r="C550" s="46"/>
      <c r="D550" s="834"/>
      <c r="E550" s="834"/>
      <c r="F550" s="834"/>
      <c r="G550" s="838"/>
      <c r="H550" s="23"/>
      <c r="I550" s="17"/>
    </row>
    <row r="551" spans="1:9" s="60" customFormat="1">
      <c r="A551" s="88"/>
      <c r="B551" s="88"/>
      <c r="C551" s="46"/>
      <c r="D551" s="834"/>
      <c r="E551" s="834"/>
      <c r="F551" s="834"/>
      <c r="G551" s="838"/>
      <c r="H551" s="23"/>
      <c r="I551" s="17"/>
    </row>
    <row r="552" spans="1:9" s="60" customFormat="1">
      <c r="A552" s="88"/>
      <c r="B552" s="88"/>
      <c r="C552" s="46"/>
      <c r="D552" s="834"/>
      <c r="E552" s="834"/>
      <c r="F552" s="834"/>
      <c r="G552" s="838"/>
      <c r="H552" s="23"/>
      <c r="I552" s="17"/>
    </row>
    <row r="553" spans="1:9" s="60" customFormat="1">
      <c r="A553" s="88"/>
      <c r="B553" s="88"/>
      <c r="C553" s="46"/>
      <c r="D553" s="834"/>
      <c r="E553" s="834"/>
      <c r="F553" s="834"/>
      <c r="G553" s="838"/>
      <c r="H553" s="23"/>
      <c r="I553" s="17"/>
    </row>
    <row r="554" spans="1:9" s="60" customFormat="1">
      <c r="A554" s="88"/>
      <c r="B554" s="88"/>
      <c r="C554" s="46"/>
      <c r="D554" s="834"/>
      <c r="E554" s="834"/>
      <c r="F554" s="834"/>
      <c r="G554" s="838"/>
      <c r="H554" s="23"/>
      <c r="I554" s="17"/>
    </row>
    <row r="555" spans="1:9" s="60" customFormat="1">
      <c r="A555" s="88"/>
      <c r="B555" s="88"/>
      <c r="C555" s="46"/>
      <c r="D555" s="834"/>
      <c r="E555" s="834"/>
      <c r="F555" s="834"/>
      <c r="G555" s="838"/>
      <c r="H555" s="23"/>
      <c r="I555" s="17"/>
    </row>
    <row r="556" spans="1:9" s="60" customFormat="1">
      <c r="A556" s="88"/>
      <c r="B556" s="88"/>
      <c r="C556" s="46"/>
      <c r="D556" s="834"/>
      <c r="E556" s="834"/>
      <c r="F556" s="834"/>
      <c r="G556" s="838"/>
      <c r="H556" s="23"/>
      <c r="I556" s="17"/>
    </row>
    <row r="557" spans="1:9" s="60" customFormat="1">
      <c r="A557" s="88"/>
      <c r="B557" s="88"/>
      <c r="C557" s="46"/>
      <c r="D557" s="834"/>
      <c r="E557" s="834"/>
      <c r="F557" s="834"/>
      <c r="G557" s="838"/>
      <c r="H557" s="23"/>
      <c r="I557" s="17"/>
    </row>
    <row r="558" spans="1:9" s="60" customFormat="1">
      <c r="A558" s="88"/>
      <c r="B558" s="88"/>
      <c r="C558" s="46"/>
      <c r="D558" s="834"/>
      <c r="E558" s="834"/>
      <c r="F558" s="834"/>
      <c r="G558" s="838"/>
      <c r="H558" s="23"/>
      <c r="I558" s="17"/>
    </row>
    <row r="559" spans="1:9" s="60" customFormat="1">
      <c r="A559" s="88"/>
      <c r="B559" s="88"/>
      <c r="C559" s="46"/>
      <c r="D559" s="834"/>
      <c r="E559" s="834"/>
      <c r="F559" s="834"/>
      <c r="G559" s="838"/>
      <c r="H559" s="23"/>
      <c r="I559" s="17"/>
    </row>
    <row r="560" spans="1:9" s="60" customFormat="1">
      <c r="A560" s="88"/>
      <c r="B560" s="88"/>
      <c r="C560" s="46"/>
      <c r="D560" s="834"/>
      <c r="E560" s="834"/>
      <c r="F560" s="834"/>
      <c r="G560" s="838"/>
      <c r="H560" s="23"/>
      <c r="I560" s="17"/>
    </row>
    <row r="561" spans="1:9" s="60" customFormat="1">
      <c r="A561" s="88"/>
      <c r="B561" s="88"/>
      <c r="C561" s="46"/>
      <c r="D561" s="834"/>
      <c r="E561" s="834"/>
      <c r="F561" s="834"/>
      <c r="G561" s="838"/>
      <c r="H561" s="23"/>
      <c r="I561" s="17"/>
    </row>
    <row r="562" spans="1:9" s="60" customFormat="1">
      <c r="A562" s="88"/>
      <c r="B562" s="88"/>
      <c r="C562" s="46"/>
      <c r="D562" s="834"/>
      <c r="E562" s="834"/>
      <c r="F562" s="834"/>
      <c r="G562" s="838"/>
      <c r="H562" s="23"/>
      <c r="I562" s="17"/>
    </row>
    <row r="563" spans="1:9" s="60" customFormat="1">
      <c r="A563" s="88"/>
      <c r="B563" s="88"/>
      <c r="C563" s="46"/>
      <c r="D563" s="834"/>
      <c r="E563" s="834"/>
      <c r="F563" s="834"/>
      <c r="G563" s="838"/>
      <c r="H563" s="23"/>
      <c r="I563" s="17"/>
    </row>
    <row r="564" spans="1:9" s="60" customFormat="1">
      <c r="A564" s="88"/>
      <c r="B564" s="88"/>
      <c r="C564" s="46"/>
      <c r="D564" s="834"/>
      <c r="E564" s="834"/>
      <c r="F564" s="834"/>
      <c r="G564" s="838"/>
      <c r="H564" s="23"/>
      <c r="I564" s="17"/>
    </row>
    <row r="565" spans="1:9" s="60" customFormat="1">
      <c r="A565" s="88"/>
      <c r="B565" s="88"/>
      <c r="C565" s="46"/>
      <c r="D565" s="834"/>
      <c r="E565" s="834"/>
      <c r="F565" s="834"/>
      <c r="G565" s="838"/>
      <c r="H565" s="23"/>
      <c r="I565" s="17"/>
    </row>
    <row r="566" spans="1:9" s="60" customFormat="1">
      <c r="A566" s="88"/>
      <c r="B566" s="88"/>
      <c r="C566" s="46"/>
      <c r="D566" s="834"/>
      <c r="E566" s="834"/>
      <c r="F566" s="834"/>
      <c r="G566" s="838"/>
      <c r="H566" s="23"/>
      <c r="I566" s="17"/>
    </row>
    <row r="567" spans="1:9" s="60" customFormat="1">
      <c r="A567" s="88"/>
      <c r="B567" s="88"/>
      <c r="C567" s="46"/>
      <c r="D567" s="834"/>
      <c r="E567" s="834"/>
      <c r="F567" s="834"/>
      <c r="G567" s="838"/>
      <c r="H567" s="23"/>
      <c r="I567" s="17"/>
    </row>
    <row r="568" spans="1:9" s="60" customFormat="1">
      <c r="A568" s="88"/>
      <c r="B568" s="88"/>
      <c r="C568" s="46"/>
      <c r="D568" s="834"/>
      <c r="E568" s="834"/>
      <c r="F568" s="834"/>
      <c r="G568" s="838"/>
      <c r="H568" s="23"/>
      <c r="I568" s="17"/>
    </row>
    <row r="569" spans="1:9" s="60" customFormat="1">
      <c r="A569" s="88"/>
      <c r="B569" s="88"/>
      <c r="C569" s="46"/>
      <c r="D569" s="834"/>
      <c r="E569" s="834"/>
      <c r="F569" s="834"/>
      <c r="G569" s="838"/>
      <c r="H569" s="23"/>
      <c r="I569" s="17"/>
    </row>
    <row r="570" spans="1:9" s="60" customFormat="1">
      <c r="A570" s="88"/>
      <c r="B570" s="88"/>
      <c r="C570" s="46"/>
      <c r="D570" s="834"/>
      <c r="E570" s="834"/>
      <c r="F570" s="834"/>
      <c r="G570" s="838"/>
      <c r="H570" s="23"/>
      <c r="I570" s="17"/>
    </row>
    <row r="571" spans="1:9" s="60" customFormat="1">
      <c r="A571" s="88"/>
      <c r="B571" s="88"/>
      <c r="C571" s="46"/>
      <c r="D571" s="834"/>
      <c r="E571" s="834"/>
      <c r="F571" s="834"/>
      <c r="G571" s="838"/>
      <c r="H571" s="23"/>
      <c r="I571" s="17"/>
    </row>
    <row r="572" spans="1:9" s="60" customFormat="1">
      <c r="A572" s="88"/>
      <c r="B572" s="88"/>
      <c r="C572" s="46"/>
      <c r="D572" s="834"/>
      <c r="E572" s="834"/>
      <c r="F572" s="834"/>
      <c r="G572" s="838"/>
      <c r="H572" s="23"/>
      <c r="I572" s="17"/>
    </row>
    <row r="573" spans="1:9" s="60" customFormat="1">
      <c r="A573" s="88"/>
      <c r="B573" s="88"/>
      <c r="C573" s="46"/>
      <c r="D573" s="834"/>
      <c r="E573" s="834"/>
      <c r="F573" s="834"/>
      <c r="G573" s="838"/>
      <c r="H573" s="23"/>
      <c r="I573" s="17"/>
    </row>
    <row r="574" spans="1:9" s="60" customFormat="1">
      <c r="A574" s="88"/>
      <c r="B574" s="88"/>
      <c r="C574" s="46"/>
      <c r="D574" s="834"/>
      <c r="E574" s="834"/>
      <c r="F574" s="834"/>
      <c r="G574" s="838"/>
      <c r="H574" s="23"/>
      <c r="I574" s="17"/>
    </row>
    <row r="575" spans="1:9" s="60" customFormat="1">
      <c r="A575" s="88"/>
      <c r="B575" s="88"/>
      <c r="C575" s="46"/>
      <c r="D575" s="834"/>
      <c r="E575" s="834"/>
      <c r="F575" s="834"/>
      <c r="G575" s="838"/>
      <c r="H575" s="23"/>
      <c r="I575" s="17"/>
    </row>
    <row r="576" spans="1:9" s="60" customFormat="1">
      <c r="A576" s="88"/>
      <c r="B576" s="88"/>
      <c r="C576" s="46"/>
      <c r="D576" s="834"/>
      <c r="E576" s="834"/>
      <c r="F576" s="834"/>
      <c r="G576" s="838"/>
      <c r="H576" s="23"/>
      <c r="I576" s="17"/>
    </row>
    <row r="577" spans="1:9" s="60" customFormat="1">
      <c r="A577" s="88"/>
      <c r="B577" s="88"/>
      <c r="C577" s="46"/>
      <c r="D577" s="834"/>
      <c r="E577" s="834"/>
      <c r="F577" s="834"/>
      <c r="G577" s="838"/>
      <c r="H577" s="23"/>
      <c r="I577" s="17"/>
    </row>
    <row r="578" spans="1:9" s="60" customFormat="1">
      <c r="A578" s="88"/>
      <c r="B578" s="88"/>
      <c r="C578" s="46"/>
      <c r="D578" s="834"/>
      <c r="E578" s="834"/>
      <c r="F578" s="834"/>
      <c r="G578" s="838"/>
      <c r="H578" s="23"/>
      <c r="I578" s="17"/>
    </row>
    <row r="579" spans="1:9" s="60" customFormat="1">
      <c r="A579" s="88"/>
      <c r="B579" s="88"/>
      <c r="C579" s="46"/>
      <c r="D579" s="834"/>
      <c r="E579" s="834"/>
      <c r="F579" s="834"/>
      <c r="G579" s="838"/>
      <c r="H579" s="23"/>
      <c r="I579" s="17"/>
    </row>
    <row r="580" spans="1:9" s="60" customFormat="1">
      <c r="A580" s="88"/>
      <c r="B580" s="88"/>
      <c r="C580" s="46"/>
      <c r="D580" s="834"/>
      <c r="E580" s="834"/>
      <c r="F580" s="834"/>
      <c r="G580" s="838"/>
      <c r="H580" s="23"/>
      <c r="I580" s="17"/>
    </row>
    <row r="581" spans="1:9" s="60" customFormat="1">
      <c r="A581" s="88"/>
      <c r="B581" s="88"/>
      <c r="C581" s="46"/>
      <c r="D581" s="834"/>
      <c r="E581" s="834"/>
      <c r="F581" s="834"/>
      <c r="G581" s="838"/>
      <c r="H581" s="23"/>
      <c r="I581" s="17"/>
    </row>
    <row r="582" spans="1:9" s="60" customFormat="1">
      <c r="A582" s="88"/>
      <c r="B582" s="88"/>
      <c r="C582" s="46"/>
      <c r="D582" s="834"/>
      <c r="E582" s="834"/>
      <c r="F582" s="834"/>
      <c r="G582" s="838"/>
      <c r="H582" s="23"/>
      <c r="I582" s="17"/>
    </row>
    <row r="583" spans="1:9" s="60" customFormat="1">
      <c r="A583" s="88"/>
      <c r="B583" s="88"/>
      <c r="C583" s="46"/>
      <c r="D583" s="834"/>
      <c r="E583" s="834"/>
      <c r="F583" s="834"/>
      <c r="G583" s="838"/>
      <c r="H583" s="23"/>
      <c r="I583" s="17"/>
    </row>
    <row r="584" spans="1:9" s="60" customFormat="1">
      <c r="A584" s="88"/>
      <c r="B584" s="88"/>
      <c r="C584" s="46"/>
      <c r="D584" s="834"/>
      <c r="E584" s="834"/>
      <c r="F584" s="834"/>
      <c r="G584" s="838"/>
      <c r="H584" s="23"/>
      <c r="I584" s="17"/>
    </row>
    <row r="585" spans="1:9" s="60" customFormat="1">
      <c r="A585" s="88"/>
      <c r="B585" s="88"/>
      <c r="C585" s="46"/>
      <c r="D585" s="834"/>
      <c r="E585" s="834"/>
      <c r="F585" s="834"/>
      <c r="G585" s="838"/>
      <c r="H585" s="23"/>
      <c r="I585" s="17"/>
    </row>
    <row r="586" spans="1:9" s="60" customFormat="1">
      <c r="A586" s="88"/>
      <c r="B586" s="88"/>
      <c r="C586" s="46"/>
      <c r="D586" s="834"/>
      <c r="E586" s="834"/>
      <c r="F586" s="834"/>
      <c r="G586" s="838"/>
      <c r="H586" s="23"/>
      <c r="I586" s="17"/>
    </row>
    <row r="587" spans="1:9" s="60" customFormat="1">
      <c r="A587" s="88"/>
      <c r="B587" s="88"/>
      <c r="C587" s="46"/>
      <c r="D587" s="834"/>
      <c r="E587" s="834"/>
      <c r="F587" s="834"/>
      <c r="G587" s="838"/>
      <c r="H587" s="23"/>
      <c r="I587" s="17"/>
    </row>
    <row r="588" spans="1:9" s="60" customFormat="1">
      <c r="A588" s="88"/>
      <c r="B588" s="88"/>
      <c r="C588" s="46"/>
      <c r="D588" s="834"/>
      <c r="E588" s="834"/>
      <c r="F588" s="834"/>
      <c r="G588" s="838"/>
      <c r="H588" s="23"/>
      <c r="I588" s="17"/>
    </row>
    <row r="589" spans="1:9" s="60" customFormat="1">
      <c r="A589" s="88"/>
      <c r="B589" s="88"/>
      <c r="C589" s="46"/>
      <c r="D589" s="834"/>
      <c r="E589" s="834"/>
      <c r="F589" s="834"/>
      <c r="G589" s="838"/>
      <c r="H589" s="23"/>
      <c r="I589" s="17"/>
    </row>
    <row r="590" spans="1:9" s="60" customFormat="1">
      <c r="A590" s="88"/>
      <c r="B590" s="88"/>
      <c r="C590" s="46"/>
      <c r="D590" s="834"/>
      <c r="E590" s="834"/>
      <c r="F590" s="834"/>
      <c r="G590" s="838"/>
      <c r="H590" s="23"/>
      <c r="I590" s="17"/>
    </row>
    <row r="591" spans="1:9" s="60" customFormat="1">
      <c r="A591" s="88"/>
      <c r="B591" s="88"/>
      <c r="C591" s="46"/>
      <c r="D591" s="834"/>
      <c r="E591" s="834"/>
      <c r="F591" s="834"/>
      <c r="G591" s="838"/>
      <c r="H591" s="23"/>
      <c r="I591" s="17"/>
    </row>
    <row r="592" spans="1:9" s="60" customFormat="1">
      <c r="A592" s="88"/>
      <c r="B592" s="88"/>
      <c r="C592" s="46"/>
      <c r="D592" s="834"/>
      <c r="E592" s="834"/>
      <c r="F592" s="834"/>
      <c r="G592" s="838"/>
      <c r="H592" s="23"/>
      <c r="I592" s="17"/>
    </row>
    <row r="593" spans="1:9" s="60" customFormat="1">
      <c r="A593" s="88"/>
      <c r="B593" s="88"/>
      <c r="C593" s="46"/>
      <c r="D593" s="834"/>
      <c r="E593" s="834"/>
      <c r="F593" s="834"/>
      <c r="G593" s="838"/>
      <c r="H593" s="23"/>
      <c r="I593" s="17"/>
    </row>
    <row r="594" spans="1:9" s="60" customFormat="1">
      <c r="A594" s="88"/>
      <c r="B594" s="88"/>
      <c r="C594" s="46"/>
      <c r="D594" s="834"/>
      <c r="E594" s="834"/>
      <c r="F594" s="834"/>
      <c r="G594" s="838"/>
      <c r="H594" s="23"/>
      <c r="I594" s="17"/>
    </row>
    <row r="595" spans="1:9" s="60" customFormat="1">
      <c r="A595" s="88"/>
      <c r="B595" s="88"/>
      <c r="C595" s="46"/>
      <c r="D595" s="834"/>
      <c r="E595" s="834"/>
      <c r="F595" s="834"/>
      <c r="G595" s="838"/>
      <c r="H595" s="23"/>
      <c r="I595" s="17"/>
    </row>
    <row r="596" spans="1:9" s="60" customFormat="1">
      <c r="A596" s="88"/>
      <c r="B596" s="88"/>
      <c r="C596" s="46"/>
      <c r="D596" s="834"/>
      <c r="E596" s="834"/>
      <c r="F596" s="834"/>
      <c r="G596" s="838"/>
      <c r="H596" s="23"/>
      <c r="I596" s="17"/>
    </row>
    <row r="597" spans="1:9" s="60" customFormat="1">
      <c r="A597" s="88"/>
      <c r="B597" s="88"/>
      <c r="C597" s="46"/>
      <c r="D597" s="834"/>
      <c r="E597" s="834"/>
      <c r="F597" s="834"/>
      <c r="G597" s="838"/>
      <c r="H597" s="23"/>
      <c r="I597" s="17"/>
    </row>
    <row r="598" spans="1:9" s="60" customFormat="1">
      <c r="A598" s="88"/>
      <c r="B598" s="88"/>
      <c r="C598" s="46"/>
      <c r="D598" s="834"/>
      <c r="E598" s="834"/>
      <c r="F598" s="834"/>
      <c r="G598" s="838"/>
      <c r="H598" s="23"/>
      <c r="I598" s="17"/>
    </row>
    <row r="599" spans="1:9" s="60" customFormat="1">
      <c r="A599" s="88"/>
      <c r="B599" s="88"/>
      <c r="C599" s="46"/>
      <c r="D599" s="834"/>
      <c r="E599" s="834"/>
      <c r="F599" s="834"/>
      <c r="G599" s="838"/>
      <c r="H599" s="23"/>
      <c r="I599" s="17"/>
    </row>
    <row r="600" spans="1:9" s="60" customFormat="1">
      <c r="A600" s="88"/>
      <c r="B600" s="88"/>
      <c r="C600" s="46"/>
      <c r="D600" s="834"/>
      <c r="E600" s="834"/>
      <c r="F600" s="834"/>
      <c r="G600" s="838"/>
      <c r="H600" s="23"/>
      <c r="I600" s="17"/>
    </row>
    <row r="601" spans="1:9" s="60" customFormat="1">
      <c r="A601" s="88"/>
      <c r="B601" s="88"/>
      <c r="C601" s="46"/>
      <c r="D601" s="834"/>
      <c r="E601" s="834"/>
      <c r="F601" s="834"/>
      <c r="G601" s="838"/>
      <c r="H601" s="23"/>
      <c r="I601" s="17"/>
    </row>
    <row r="602" spans="1:9" s="60" customFormat="1">
      <c r="A602" s="88"/>
      <c r="B602" s="88"/>
      <c r="C602" s="46"/>
      <c r="D602" s="834"/>
      <c r="E602" s="834"/>
      <c r="F602" s="834"/>
      <c r="G602" s="838"/>
      <c r="H602" s="23"/>
      <c r="I602" s="17"/>
    </row>
    <row r="603" spans="1:9" s="60" customFormat="1">
      <c r="A603" s="88"/>
      <c r="B603" s="88"/>
      <c r="C603" s="46"/>
      <c r="D603" s="834"/>
      <c r="E603" s="834"/>
      <c r="F603" s="834"/>
      <c r="G603" s="838"/>
      <c r="H603" s="23"/>
      <c r="I603" s="17"/>
    </row>
    <row r="604" spans="1:9" s="60" customFormat="1">
      <c r="A604" s="88"/>
      <c r="B604" s="88"/>
      <c r="C604" s="46"/>
      <c r="D604" s="834"/>
      <c r="E604" s="834"/>
      <c r="F604" s="834"/>
      <c r="G604" s="838"/>
      <c r="H604" s="23"/>
      <c r="I604" s="17"/>
    </row>
    <row r="605" spans="1:9" s="60" customFormat="1">
      <c r="A605" s="88"/>
      <c r="B605" s="88"/>
      <c r="C605" s="46"/>
      <c r="D605" s="834"/>
      <c r="E605" s="834"/>
      <c r="F605" s="834"/>
      <c r="G605" s="838"/>
      <c r="H605" s="23"/>
      <c r="I605" s="17"/>
    </row>
    <row r="606" spans="1:9">
      <c r="H606" s="23"/>
      <c r="I606" s="17"/>
    </row>
    <row r="607" spans="1:9">
      <c r="H607" s="23"/>
      <c r="I607" s="17"/>
    </row>
    <row r="608" spans="1:9">
      <c r="H608" s="23"/>
      <c r="I608" s="17"/>
    </row>
    <row r="609" spans="8:9">
      <c r="H609" s="23"/>
      <c r="I609" s="17"/>
    </row>
  </sheetData>
  <sheetProtection password="C74A" sheet="1" objects="1" scenarios="1" formatCells="0" formatColumns="0" formatRows="0"/>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147">
    <mergeCell ref="H3:H9"/>
    <mergeCell ref="A109:A115"/>
    <mergeCell ref="B109:B115"/>
    <mergeCell ref="H10:H16"/>
    <mergeCell ref="H43:H47"/>
    <mergeCell ref="H109:H115"/>
    <mergeCell ref="H76:H81"/>
    <mergeCell ref="H82:H87"/>
    <mergeCell ref="H99:H102"/>
    <mergeCell ref="H88:H92"/>
    <mergeCell ref="H37:H41"/>
    <mergeCell ref="H103:H108"/>
    <mergeCell ref="B57:B60"/>
    <mergeCell ref="A48:A56"/>
    <mergeCell ref="H17:H24"/>
    <mergeCell ref="H32:H36"/>
    <mergeCell ref="H93:H98"/>
    <mergeCell ref="A43:A47"/>
    <mergeCell ref="B48:B56"/>
    <mergeCell ref="B61:B66"/>
    <mergeCell ref="H61:H66"/>
    <mergeCell ref="H48:H56"/>
    <mergeCell ref="H57:H60"/>
    <mergeCell ref="H69:H75"/>
    <mergeCell ref="H25:H31"/>
    <mergeCell ref="H116:H122"/>
    <mergeCell ref="H123:H128"/>
    <mergeCell ref="H134:H137"/>
    <mergeCell ref="A129:A132"/>
    <mergeCell ref="A123:A128"/>
    <mergeCell ref="A116:A122"/>
    <mergeCell ref="A69:A75"/>
    <mergeCell ref="A57:A60"/>
    <mergeCell ref="A93:A98"/>
    <mergeCell ref="A61:A66"/>
    <mergeCell ref="B163:B167"/>
    <mergeCell ref="B156:B162"/>
    <mergeCell ref="B138:B141"/>
    <mergeCell ref="A163:A167"/>
    <mergeCell ref="B82:B87"/>
    <mergeCell ref="B99:B102"/>
    <mergeCell ref="B93:B98"/>
    <mergeCell ref="B88:B92"/>
    <mergeCell ref="B123:B128"/>
    <mergeCell ref="A99:A102"/>
    <mergeCell ref="A88:A92"/>
    <mergeCell ref="A82:A87"/>
    <mergeCell ref="A138:A141"/>
    <mergeCell ref="B134:B137"/>
    <mergeCell ref="A134:A137"/>
    <mergeCell ref="B153:B155"/>
    <mergeCell ref="B147:B152"/>
    <mergeCell ref="A147:A152"/>
    <mergeCell ref="B116:B122"/>
    <mergeCell ref="B129:B132"/>
    <mergeCell ref="A156:A162"/>
    <mergeCell ref="A153:A155"/>
    <mergeCell ref="A142:A146"/>
    <mergeCell ref="A1:B1"/>
    <mergeCell ref="A3:A9"/>
    <mergeCell ref="B17:B24"/>
    <mergeCell ref="B32:B36"/>
    <mergeCell ref="A25:A31"/>
    <mergeCell ref="A32:A36"/>
    <mergeCell ref="B3:B9"/>
    <mergeCell ref="A10:A16"/>
    <mergeCell ref="B76:B81"/>
    <mergeCell ref="B37:B41"/>
    <mergeCell ref="A37:A41"/>
    <mergeCell ref="A76:A81"/>
    <mergeCell ref="B10:B16"/>
    <mergeCell ref="A17:A24"/>
    <mergeCell ref="B25:B31"/>
    <mergeCell ref="B69:B75"/>
    <mergeCell ref="B43:B47"/>
    <mergeCell ref="I3:I9"/>
    <mergeCell ref="I10:I16"/>
    <mergeCell ref="I17:I24"/>
    <mergeCell ref="I25:I31"/>
    <mergeCell ref="I32:I36"/>
    <mergeCell ref="A173:C180"/>
    <mergeCell ref="A181:B182"/>
    <mergeCell ref="D174:F174"/>
    <mergeCell ref="D175:F175"/>
    <mergeCell ref="D176:F176"/>
    <mergeCell ref="D177:F177"/>
    <mergeCell ref="D178:F178"/>
    <mergeCell ref="D179:F179"/>
    <mergeCell ref="C181:E181"/>
    <mergeCell ref="C182:E182"/>
    <mergeCell ref="D180:H180"/>
    <mergeCell ref="D173:H173"/>
    <mergeCell ref="B103:B108"/>
    <mergeCell ref="B142:B146"/>
    <mergeCell ref="A103:A108"/>
    <mergeCell ref="I69:I75"/>
    <mergeCell ref="I76:I81"/>
    <mergeCell ref="I82:I87"/>
    <mergeCell ref="I88:I92"/>
    <mergeCell ref="I43:I47"/>
    <mergeCell ref="I48:I56"/>
    <mergeCell ref="I57:I60"/>
    <mergeCell ref="I61:I66"/>
    <mergeCell ref="I163:I167"/>
    <mergeCell ref="I129:I132"/>
    <mergeCell ref="I134:I137"/>
    <mergeCell ref="I138:I141"/>
    <mergeCell ref="I142:I146"/>
    <mergeCell ref="I147:I152"/>
    <mergeCell ref="I99:I102"/>
    <mergeCell ref="I103:I108"/>
    <mergeCell ref="I109:I115"/>
    <mergeCell ref="I116:I122"/>
    <mergeCell ref="I123:I128"/>
    <mergeCell ref="H138:H141"/>
    <mergeCell ref="H163:H167"/>
    <mergeCell ref="H147:H152"/>
    <mergeCell ref="H142:H146"/>
    <mergeCell ref="H129:H132"/>
    <mergeCell ref="H202:I202"/>
    <mergeCell ref="E1:I1"/>
    <mergeCell ref="H200:I200"/>
    <mergeCell ref="H201:I201"/>
    <mergeCell ref="H196:I196"/>
    <mergeCell ref="H195:I195"/>
    <mergeCell ref="H194:I194"/>
    <mergeCell ref="H192:I192"/>
    <mergeCell ref="H193:I193"/>
    <mergeCell ref="H197:I197"/>
    <mergeCell ref="H198:I198"/>
    <mergeCell ref="H199:I199"/>
    <mergeCell ref="H187:I187"/>
    <mergeCell ref="H188:I188"/>
    <mergeCell ref="H189:I189"/>
    <mergeCell ref="H190:I190"/>
    <mergeCell ref="H191:I191"/>
    <mergeCell ref="I93:I98"/>
    <mergeCell ref="I37:I41"/>
    <mergeCell ref="H181:I181"/>
    <mergeCell ref="H182:I182"/>
    <mergeCell ref="H184:I184"/>
    <mergeCell ref="H185:I185"/>
    <mergeCell ref="H186:I186"/>
    <mergeCell ref="I153:I155"/>
    <mergeCell ref="I156:I162"/>
    <mergeCell ref="H153:H155"/>
    <mergeCell ref="H156:H162"/>
  </mergeCells>
  <phoneticPr fontId="2" type="noConversion"/>
  <pageMargins left="0.75" right="0.75" top="1" bottom="1" header="0.5" footer="0.5"/>
  <pageSetup orientation="portrait" r:id="rId2"/>
  <headerFooter alignWithMargins="0"/>
  <ignoredErrors>
    <ignoredError sqref="G48 G57" formulaRange="1"/>
  </ignoredErrors>
</worksheet>
</file>

<file path=xl/worksheets/sheet20.xml><?xml version="1.0" encoding="utf-8"?>
<worksheet xmlns="http://schemas.openxmlformats.org/spreadsheetml/2006/main" xmlns:r="http://schemas.openxmlformats.org/officeDocument/2006/relationships">
  <sheetPr codeName="Sheet28"/>
  <dimension ref="A1:L676"/>
  <sheetViews>
    <sheetView zoomScaleNormal="100" workbookViewId="0">
      <selection sqref="A1:B1"/>
    </sheetView>
  </sheetViews>
  <sheetFormatPr defaultColWidth="9.33203125" defaultRowHeight="13.8"/>
  <cols>
    <col min="1" max="1" width="5.77734375" style="40" customWidth="1"/>
    <col min="2" max="2" width="18.77734375" style="40" customWidth="1"/>
    <col min="3" max="3" width="69.77734375" style="36" customWidth="1"/>
    <col min="4" max="6" width="6.77734375" style="895" customWidth="1"/>
    <col min="7" max="7" width="9.77734375" style="896" customWidth="1"/>
    <col min="8" max="8" width="67.77734375" style="41" customWidth="1"/>
    <col min="9" max="9" width="14.109375" style="36" customWidth="1"/>
    <col min="10" max="10" width="9.33203125" style="138"/>
    <col min="11" max="16384" width="9.33203125" style="36"/>
  </cols>
  <sheetData>
    <row r="1" spans="1:12" ht="69" customHeight="1" thickBot="1">
      <c r="A1" s="2418" t="s">
        <v>1762</v>
      </c>
      <c r="B1" s="2419"/>
      <c r="C1" s="124" t="s">
        <v>1257</v>
      </c>
      <c r="D1" s="149" t="s">
        <v>1244</v>
      </c>
      <c r="E1" s="2779"/>
      <c r="F1" s="2780"/>
      <c r="G1" s="2780"/>
      <c r="H1" s="2780"/>
      <c r="I1" s="2780"/>
    </row>
    <row r="2" spans="1:12" s="1815" customFormat="1" ht="36" customHeight="1" thickBot="1">
      <c r="A2" s="1595" t="s">
        <v>168</v>
      </c>
      <c r="B2" s="1555" t="s">
        <v>1772</v>
      </c>
      <c r="C2" s="1596" t="s">
        <v>1354</v>
      </c>
      <c r="D2" s="1555" t="s">
        <v>64</v>
      </c>
      <c r="E2" s="1668" t="s">
        <v>1383</v>
      </c>
      <c r="F2" s="1669" t="s">
        <v>1384</v>
      </c>
      <c r="G2" s="1670" t="s">
        <v>1293</v>
      </c>
      <c r="H2" s="1555" t="s">
        <v>1294</v>
      </c>
      <c r="I2" s="1648" t="s">
        <v>2622</v>
      </c>
      <c r="J2" s="211"/>
      <c r="K2" s="211"/>
      <c r="L2" s="211"/>
    </row>
    <row r="3" spans="1:12" s="35" customFormat="1" ht="30" customHeight="1" thickBot="1">
      <c r="A3" s="2761" t="str">
        <f>OF!A4</f>
        <v>OF1</v>
      </c>
      <c r="B3" s="2761" t="str">
        <f>OF!B4</f>
        <v>Wetland Herbaceous Area</v>
      </c>
      <c r="C3" s="845" t="str">
        <f>OF!C4</f>
        <v>From "duck's eye" (aerial) view, the area of herbaceous vegetation (grasslike plants, excluding moss &amp; ferns) in the Assessment Area (AA) plus in any contiguous herbaceous wetland is:</v>
      </c>
      <c r="D3" s="875"/>
      <c r="E3" s="863"/>
      <c r="F3" s="863"/>
      <c r="G3" s="887">
        <f>MAX(F4:F9)/MAX(E4:E9)</f>
        <v>0</v>
      </c>
      <c r="H3" s="2148" t="s">
        <v>2013</v>
      </c>
      <c r="I3" s="2781" t="s">
        <v>1988</v>
      </c>
      <c r="J3" s="187"/>
    </row>
    <row r="4" spans="1:12" s="35" customFormat="1" ht="15" customHeight="1">
      <c r="A4" s="2762"/>
      <c r="B4" s="2762"/>
      <c r="C4" s="846" t="str">
        <f>OF!C5</f>
        <v>&lt;0.01 hectare (about 10 m x 10 m)</v>
      </c>
      <c r="D4" s="249">
        <f>OF!D5</f>
        <v>0</v>
      </c>
      <c r="E4" s="865">
        <v>1</v>
      </c>
      <c r="F4" s="865">
        <f t="shared" ref="F4:F9" si="0">D4*E4</f>
        <v>0</v>
      </c>
      <c r="G4" s="879"/>
      <c r="H4" s="2146"/>
      <c r="I4" s="2782"/>
      <c r="J4" s="187"/>
    </row>
    <row r="5" spans="1:12" s="35" customFormat="1" ht="15" customHeight="1">
      <c r="A5" s="2762"/>
      <c r="B5" s="2762"/>
      <c r="C5" s="847" t="str">
        <f>OF!C6</f>
        <v>0.01 - 0.1 hectare</v>
      </c>
      <c r="D5" s="249">
        <f>OF!D6</f>
        <v>0</v>
      </c>
      <c r="E5" s="865">
        <v>2</v>
      </c>
      <c r="F5" s="865">
        <f t="shared" si="0"/>
        <v>0</v>
      </c>
      <c r="G5" s="879"/>
      <c r="H5" s="2146"/>
      <c r="I5" s="2782"/>
      <c r="J5" s="187"/>
    </row>
    <row r="6" spans="1:12" s="35" customFormat="1" ht="15" customHeight="1">
      <c r="A6" s="2762"/>
      <c r="B6" s="2762"/>
      <c r="C6" s="847" t="str">
        <f>OF!C7</f>
        <v>0.1 - 1 hectare</v>
      </c>
      <c r="D6" s="249">
        <f>OF!D7</f>
        <v>0</v>
      </c>
      <c r="E6" s="865">
        <v>3</v>
      </c>
      <c r="F6" s="865">
        <f t="shared" si="0"/>
        <v>0</v>
      </c>
      <c r="G6" s="879"/>
      <c r="H6" s="2146"/>
      <c r="I6" s="2782"/>
      <c r="J6" s="187"/>
    </row>
    <row r="7" spans="1:12" s="35" customFormat="1" ht="15" customHeight="1">
      <c r="A7" s="2762"/>
      <c r="B7" s="2762"/>
      <c r="C7" s="847" t="str">
        <f>OF!C8</f>
        <v>1 to 10 hectares</v>
      </c>
      <c r="D7" s="249">
        <f>OF!D8</f>
        <v>0</v>
      </c>
      <c r="E7" s="865">
        <v>4</v>
      </c>
      <c r="F7" s="865">
        <f t="shared" si="0"/>
        <v>0</v>
      </c>
      <c r="G7" s="879"/>
      <c r="H7" s="2146"/>
      <c r="I7" s="2782"/>
      <c r="J7" s="187"/>
    </row>
    <row r="8" spans="1:12" s="35" customFormat="1" ht="15" customHeight="1">
      <c r="A8" s="2762"/>
      <c r="B8" s="2762"/>
      <c r="C8" s="847" t="str">
        <f>OF!C9</f>
        <v>10 to 100 hectares</v>
      </c>
      <c r="D8" s="249">
        <f>OF!D9</f>
        <v>0</v>
      </c>
      <c r="E8" s="865">
        <v>5</v>
      </c>
      <c r="F8" s="865">
        <f t="shared" si="0"/>
        <v>0</v>
      </c>
      <c r="G8" s="879"/>
      <c r="H8" s="2146"/>
      <c r="I8" s="2782"/>
      <c r="J8" s="187"/>
    </row>
    <row r="9" spans="1:12" s="35" customFormat="1" ht="15" customHeight="1" thickBot="1">
      <c r="A9" s="2763"/>
      <c r="B9" s="2763"/>
      <c r="C9" s="848" t="str">
        <f>OF!C10</f>
        <v>&gt;100 hectares</v>
      </c>
      <c r="D9" s="250">
        <f>OF!D10</f>
        <v>0</v>
      </c>
      <c r="E9" s="867">
        <v>7</v>
      </c>
      <c r="F9" s="867">
        <f t="shared" si="0"/>
        <v>0</v>
      </c>
      <c r="G9" s="1176"/>
      <c r="H9" s="2149"/>
      <c r="I9" s="2783"/>
      <c r="J9" s="187"/>
    </row>
    <row r="10" spans="1:12" ht="69" customHeight="1" thickBot="1">
      <c r="A10" s="2764" t="str">
        <f>OF!A18</f>
        <v>OF3</v>
      </c>
      <c r="B10" s="2756" t="str">
        <f>OF!B18</f>
        <v xml:space="preserve">Size of Largest Nearby Vegetated Tract or Corridor </v>
      </c>
      <c r="C10" s="852" t="str">
        <f>OF!C18</f>
        <v>Including the AA's vegetated area, the largest patch or corridor that is unmanaged vegetation cover (excluding lawn, row crops, heavily grazed lands, conifer plantation) and is contiguous with vegetation in the AA (i.e., not completely separated by highways or channels that are uniformly wider than 50 m), occupies:</v>
      </c>
      <c r="D10" s="1080"/>
      <c r="E10" s="863"/>
      <c r="F10" s="874"/>
      <c r="G10" s="887">
        <f>MAX(F11:F17)/MAX(E11:E17)</f>
        <v>0</v>
      </c>
      <c r="H10" s="2218" t="s">
        <v>2063</v>
      </c>
      <c r="I10" s="2784" t="s">
        <v>347</v>
      </c>
    </row>
    <row r="11" spans="1:12" ht="24" customHeight="1">
      <c r="A11" s="2768"/>
      <c r="B11" s="2775"/>
      <c r="C11" s="855" t="str">
        <f>OF!C19</f>
        <v>&lt;0.01 hectare (about 10 m x 10 m)</v>
      </c>
      <c r="D11" s="314">
        <f>OF!D19</f>
        <v>0</v>
      </c>
      <c r="E11" s="361">
        <v>0</v>
      </c>
      <c r="F11" s="361">
        <f t="shared" ref="F11:F17" si="1">D11*E11</f>
        <v>0</v>
      </c>
      <c r="G11" s="878"/>
      <c r="H11" s="2211"/>
      <c r="I11" s="2785"/>
    </row>
    <row r="12" spans="1:12" ht="24" customHeight="1">
      <c r="A12" s="2768"/>
      <c r="B12" s="2775"/>
      <c r="C12" s="856" t="str">
        <f>OF!C20</f>
        <v>0.01 - 0.1 hectare</v>
      </c>
      <c r="D12" s="314">
        <f>OF!D20</f>
        <v>0</v>
      </c>
      <c r="E12" s="361">
        <v>1</v>
      </c>
      <c r="F12" s="361">
        <f t="shared" si="1"/>
        <v>0</v>
      </c>
      <c r="G12" s="879"/>
      <c r="H12" s="2211"/>
      <c r="I12" s="2785"/>
    </row>
    <row r="13" spans="1:12" ht="24" customHeight="1">
      <c r="A13" s="2768"/>
      <c r="B13" s="2775"/>
      <c r="C13" s="856" t="str">
        <f>OF!C21</f>
        <v>0.1 - 1 hectare</v>
      </c>
      <c r="D13" s="314">
        <f>OF!D21</f>
        <v>0</v>
      </c>
      <c r="E13" s="361">
        <v>2</v>
      </c>
      <c r="F13" s="361">
        <f t="shared" si="1"/>
        <v>0</v>
      </c>
      <c r="G13" s="879"/>
      <c r="H13" s="2211"/>
      <c r="I13" s="2785"/>
    </row>
    <row r="14" spans="1:12" ht="24" customHeight="1">
      <c r="A14" s="2768"/>
      <c r="B14" s="2775"/>
      <c r="C14" s="856" t="str">
        <f>OF!C22</f>
        <v>1 to 10 hectares</v>
      </c>
      <c r="D14" s="314">
        <f>OF!D22</f>
        <v>0</v>
      </c>
      <c r="E14" s="361">
        <v>4</v>
      </c>
      <c r="F14" s="361">
        <f t="shared" si="1"/>
        <v>0</v>
      </c>
      <c r="G14" s="879"/>
      <c r="H14" s="2211"/>
      <c r="I14" s="2785"/>
    </row>
    <row r="15" spans="1:12" ht="24" customHeight="1">
      <c r="A15" s="2768"/>
      <c r="B15" s="2775"/>
      <c r="C15" s="856" t="str">
        <f>OF!C23</f>
        <v>10 to 100 hectares</v>
      </c>
      <c r="D15" s="314">
        <f>OF!D23</f>
        <v>0</v>
      </c>
      <c r="E15" s="361">
        <v>6</v>
      </c>
      <c r="F15" s="361">
        <f t="shared" si="1"/>
        <v>0</v>
      </c>
      <c r="G15" s="879"/>
      <c r="H15" s="2211"/>
      <c r="I15" s="2785"/>
    </row>
    <row r="16" spans="1:12" ht="24" customHeight="1">
      <c r="A16" s="2768"/>
      <c r="B16" s="2775"/>
      <c r="C16" s="856" t="str">
        <f>OF!C24</f>
        <v>100 to 1000 hectares</v>
      </c>
      <c r="D16" s="314">
        <f>OF!D24</f>
        <v>0</v>
      </c>
      <c r="E16" s="361">
        <v>7</v>
      </c>
      <c r="F16" s="361">
        <f t="shared" si="1"/>
        <v>0</v>
      </c>
      <c r="G16" s="879"/>
      <c r="H16" s="2211"/>
      <c r="I16" s="2785"/>
    </row>
    <row r="17" spans="1:9" ht="24" customHeight="1" thickBot="1">
      <c r="A17" s="2769"/>
      <c r="B17" s="2776"/>
      <c r="C17" s="853" t="str">
        <f>OF!C25</f>
        <v>&gt;1000 hectares [This is nearly always the answer in relatively undeveloped landscapes.]</v>
      </c>
      <c r="D17" s="311">
        <f>OF!D25</f>
        <v>0</v>
      </c>
      <c r="E17" s="362">
        <v>8</v>
      </c>
      <c r="F17" s="362">
        <f t="shared" si="1"/>
        <v>0</v>
      </c>
      <c r="G17" s="1176"/>
      <c r="H17" s="2420"/>
      <c r="I17" s="2786"/>
    </row>
    <row r="18" spans="1:9" ht="30" customHeight="1" thickBot="1">
      <c r="A18" s="2795" t="str">
        <f>OF!A26</f>
        <v>OF4</v>
      </c>
      <c r="B18" s="2757" t="str">
        <f>OF!B26</f>
        <v>Distance to Large Vegetated Tract</v>
      </c>
      <c r="C18" s="852" t="str">
        <f>OF!C26</f>
        <v>The minimum distance from the AA edge to the edge of the closest patch or corridor of unmanaged vegetated land (excluding row crops, lawn, conifer plantation) larger than 375 hectares, is:</v>
      </c>
      <c r="D18" s="871"/>
      <c r="E18" s="871"/>
      <c r="F18" s="872"/>
      <c r="G18" s="882">
        <f>MAX(F19:F25)/MAX(E19:E25)</f>
        <v>0</v>
      </c>
      <c r="H18" s="2218" t="s">
        <v>2072</v>
      </c>
      <c r="I18" s="2787" t="s">
        <v>344</v>
      </c>
    </row>
    <row r="19" spans="1:9" ht="42" customHeight="1">
      <c r="A19" s="2796"/>
      <c r="B19" s="2775"/>
      <c r="C19" s="855" t="str">
        <f>OF!C27</f>
        <v>&lt;50 m, and not separated from the 375-ha vegetated area by any width of roads, stretches of open water, row crops, bare ground, lawn, or impervious surface. Or the AA itself contains &gt;375 ha of vegetation. [This is often the answer in relatively undeveloped landscapes].</v>
      </c>
      <c r="D19" s="314">
        <f>OF!D27</f>
        <v>0</v>
      </c>
      <c r="E19" s="865">
        <v>7</v>
      </c>
      <c r="F19" s="865">
        <f t="shared" ref="F19:F25" si="2">D19*E19</f>
        <v>0</v>
      </c>
      <c r="G19" s="878"/>
      <c r="H19" s="2211"/>
      <c r="I19" s="2788"/>
    </row>
    <row r="20" spans="1:9" ht="27" customHeight="1">
      <c r="A20" s="2796"/>
      <c r="B20" s="2775"/>
      <c r="C20" s="856" t="str">
        <f>OF!C28</f>
        <v>&lt;50 m, but completely separated from the 375-ha vegetated area by those features, and AA does not contain &gt;375 ha of vegetation.</v>
      </c>
      <c r="D20" s="314">
        <f>OF!D28</f>
        <v>0</v>
      </c>
      <c r="E20" s="865">
        <v>6</v>
      </c>
      <c r="F20" s="865">
        <f t="shared" si="2"/>
        <v>0</v>
      </c>
      <c r="G20" s="879"/>
      <c r="H20" s="2211"/>
      <c r="I20" s="2788"/>
    </row>
    <row r="21" spans="1:9" ht="16.95" customHeight="1">
      <c r="A21" s="2796"/>
      <c r="B21" s="2775"/>
      <c r="C21" s="856" t="str">
        <f>OF!C29</f>
        <v>50-500 m, and not separated.</v>
      </c>
      <c r="D21" s="314">
        <f>OF!D29</f>
        <v>0</v>
      </c>
      <c r="E21" s="865">
        <v>5</v>
      </c>
      <c r="F21" s="865">
        <f t="shared" si="2"/>
        <v>0</v>
      </c>
      <c r="G21" s="879"/>
      <c r="H21" s="2211"/>
      <c r="I21" s="2788"/>
    </row>
    <row r="22" spans="1:9" ht="16.95" customHeight="1">
      <c r="A22" s="2796"/>
      <c r="B22" s="2775"/>
      <c r="C22" s="856" t="str">
        <f>OF!C30</f>
        <v>50-500 m, but separated by those features.</v>
      </c>
      <c r="D22" s="314">
        <f>OF!D30</f>
        <v>0</v>
      </c>
      <c r="E22" s="865">
        <v>4</v>
      </c>
      <c r="F22" s="865">
        <f t="shared" si="2"/>
        <v>0</v>
      </c>
      <c r="G22" s="879"/>
      <c r="H22" s="2211"/>
      <c r="I22" s="2788"/>
    </row>
    <row r="23" spans="1:9" ht="15" customHeight="1">
      <c r="A23" s="2796"/>
      <c r="B23" s="2775"/>
      <c r="C23" s="856" t="str">
        <f>OF!C31</f>
        <v>0.5 - 5 km, and not separated.</v>
      </c>
      <c r="D23" s="314">
        <f>OF!D31</f>
        <v>0</v>
      </c>
      <c r="E23" s="865">
        <v>3</v>
      </c>
      <c r="F23" s="865">
        <f t="shared" si="2"/>
        <v>0</v>
      </c>
      <c r="G23" s="879"/>
      <c r="H23" s="2211"/>
      <c r="I23" s="2788"/>
    </row>
    <row r="24" spans="1:9" ht="15" customHeight="1">
      <c r="A24" s="2796"/>
      <c r="B24" s="2775"/>
      <c r="C24" s="856" t="str">
        <f>OF!C32</f>
        <v>0.5 - 5 km, but separated by those features.</v>
      </c>
      <c r="D24" s="314">
        <f>OF!D32</f>
        <v>0</v>
      </c>
      <c r="E24" s="865">
        <v>2</v>
      </c>
      <c r="F24" s="865">
        <f t="shared" si="2"/>
        <v>0</v>
      </c>
      <c r="G24" s="879"/>
      <c r="H24" s="2211"/>
      <c r="I24" s="2788"/>
    </row>
    <row r="25" spans="1:9" ht="15" customHeight="1" thickBot="1">
      <c r="A25" s="2796"/>
      <c r="B25" s="2775"/>
      <c r="C25" s="850" t="str">
        <f>OF!C33</f>
        <v>none of the above (the closest patches or corridors which are that large are &gt;5 km away).</v>
      </c>
      <c r="D25" s="314">
        <f>OF!D33</f>
        <v>0</v>
      </c>
      <c r="E25" s="873">
        <v>0</v>
      </c>
      <c r="F25" s="873">
        <f t="shared" si="2"/>
        <v>0</v>
      </c>
      <c r="G25" s="886"/>
      <c r="H25" s="2420"/>
      <c r="I25" s="2788"/>
    </row>
    <row r="26" spans="1:9" ht="45" customHeight="1" thickBot="1">
      <c r="A26" s="2764" t="str">
        <f>OF!A36</f>
        <v>OF7</v>
      </c>
      <c r="B26" s="2756" t="str">
        <f>OF!B36</f>
        <v>Local Vegetated Cover Percentage</v>
      </c>
      <c r="C26" s="845" t="str">
        <f>OF!C36</f>
        <v>Draw a 5-km radius circle measured from the center of the AA.  Ignoring all permanent water in the circle, the percent of the remaining area that is NOT lawn, row crops, heavily grazed land, clearcuts, or conifer plantations is:</v>
      </c>
      <c r="D26" s="863"/>
      <c r="E26" s="863"/>
      <c r="F26" s="874"/>
      <c r="G26" s="887">
        <f>MAX(F27:F31)/MAX(E27:E31)</f>
        <v>0</v>
      </c>
      <c r="H26" s="2218" t="s">
        <v>2912</v>
      </c>
      <c r="I26" s="2784" t="s">
        <v>345</v>
      </c>
    </row>
    <row r="27" spans="1:9" ht="16.8" customHeight="1">
      <c r="A27" s="2765"/>
      <c r="B27" s="2757"/>
      <c r="C27" s="662" t="str">
        <f>OF!C37</f>
        <v xml:space="preserve">&lt;5% of the land. </v>
      </c>
      <c r="D27" s="309">
        <f>OF!D37</f>
        <v>0</v>
      </c>
      <c r="E27" s="865">
        <v>0</v>
      </c>
      <c r="F27" s="865">
        <f>D27*E27</f>
        <v>0</v>
      </c>
      <c r="G27" s="878"/>
      <c r="H27" s="2211"/>
      <c r="I27" s="2785"/>
    </row>
    <row r="28" spans="1:9" ht="16.8" customHeight="1">
      <c r="A28" s="2765"/>
      <c r="B28" s="2757"/>
      <c r="C28" s="851" t="str">
        <f>OF!C38</f>
        <v>5 to 20% of the land.</v>
      </c>
      <c r="D28" s="310">
        <f>OF!D38</f>
        <v>0</v>
      </c>
      <c r="E28" s="865">
        <v>1</v>
      </c>
      <c r="F28" s="865">
        <f>D28*E28</f>
        <v>0</v>
      </c>
      <c r="G28" s="879"/>
      <c r="H28" s="2211"/>
      <c r="I28" s="2785"/>
    </row>
    <row r="29" spans="1:9" ht="16.8" customHeight="1">
      <c r="A29" s="2765"/>
      <c r="B29" s="2757"/>
      <c r="C29" s="851" t="str">
        <f>OF!C39</f>
        <v>20 to 60% of the land.</v>
      </c>
      <c r="D29" s="310">
        <f>OF!D39</f>
        <v>0</v>
      </c>
      <c r="E29" s="865">
        <v>2</v>
      </c>
      <c r="F29" s="865">
        <f>D29*E29</f>
        <v>0</v>
      </c>
      <c r="G29" s="879"/>
      <c r="H29" s="2211"/>
      <c r="I29" s="2785"/>
    </row>
    <row r="30" spans="1:9" ht="16.8" customHeight="1">
      <c r="A30" s="2765"/>
      <c r="B30" s="2757"/>
      <c r="C30" s="851" t="str">
        <f>OF!C40</f>
        <v>60 to 90% of the land.</v>
      </c>
      <c r="D30" s="310">
        <f>OF!D40</f>
        <v>0</v>
      </c>
      <c r="E30" s="865">
        <v>4</v>
      </c>
      <c r="F30" s="865">
        <f>D30*E30</f>
        <v>0</v>
      </c>
      <c r="G30" s="879"/>
      <c r="H30" s="2211"/>
      <c r="I30" s="2785"/>
    </row>
    <row r="31" spans="1:9" ht="16.8" customHeight="1" thickBot="1">
      <c r="A31" s="2766"/>
      <c r="B31" s="2777"/>
      <c r="C31" s="848" t="str">
        <f>OF!C41</f>
        <v>&gt;90% of the land. SKIP to OF9.</v>
      </c>
      <c r="D31" s="250">
        <f>OF!D41</f>
        <v>0</v>
      </c>
      <c r="E31" s="867">
        <v>6</v>
      </c>
      <c r="F31" s="867">
        <f>D31*E31</f>
        <v>0</v>
      </c>
      <c r="G31" s="1176"/>
      <c r="H31" s="2420"/>
      <c r="I31" s="2786"/>
    </row>
    <row r="32" spans="1:9" ht="57" customHeight="1" thickBot="1">
      <c r="A32" s="2761" t="str">
        <f>OF!A42</f>
        <v>OF8</v>
      </c>
      <c r="B32" s="2762" t="str">
        <f>OF!B42</f>
        <v>Type of Land Cover Alteration</v>
      </c>
      <c r="C32" s="849" t="str">
        <f>OF!C42</f>
        <v>Within the 5-km radius circle, and ignoring all permanent water, the land area that is unmanaged cover is mostly:</v>
      </c>
      <c r="D32" s="863"/>
      <c r="E32" s="871"/>
      <c r="F32" s="872"/>
      <c r="G32" s="882">
        <f>IF((D31=1),"",MAX(F33:F34)/MAX(E33:E34))</f>
        <v>0</v>
      </c>
      <c r="H32" s="2218" t="s">
        <v>2064</v>
      </c>
      <c r="I32" s="2784" t="s">
        <v>346</v>
      </c>
    </row>
    <row r="33" spans="1:10" ht="48" customHeight="1">
      <c r="A33" s="2762"/>
      <c r="B33" s="2762"/>
      <c r="C33" s="212" t="str">
        <f>OF!C43</f>
        <v>impervious surface, e.g., paved road, parking lot, building, exposed rock.</v>
      </c>
      <c r="D33" s="307">
        <f>OF!D43</f>
        <v>0</v>
      </c>
      <c r="E33" s="865">
        <v>0</v>
      </c>
      <c r="F33" s="865">
        <f>D33*E33</f>
        <v>0</v>
      </c>
      <c r="G33" s="878"/>
      <c r="H33" s="2211"/>
      <c r="I33" s="2785"/>
    </row>
    <row r="34" spans="1:10" ht="48" customHeight="1" thickBot="1">
      <c r="A34" s="2763"/>
      <c r="B34" s="2762"/>
      <c r="C34" s="850" t="str">
        <f>OF!C44</f>
        <v>bare pervious surface, e.g., lawn, recent (&lt;5 yrs ago) clearcut, dirt or gravel road, plowed fields, landslide, conifer plantation.</v>
      </c>
      <c r="D34" s="308">
        <f>OF!D44</f>
        <v>0</v>
      </c>
      <c r="E34" s="873">
        <v>1</v>
      </c>
      <c r="F34" s="873">
        <f>D34*E34</f>
        <v>0</v>
      </c>
      <c r="G34" s="886"/>
      <c r="H34" s="2420"/>
      <c r="I34" s="2786"/>
    </row>
    <row r="35" spans="1:10" ht="19.2" customHeight="1" thickBot="1">
      <c r="A35" s="2792" t="str">
        <f>OF!A45</f>
        <v>OF9</v>
      </c>
      <c r="B35" s="2758" t="str">
        <f>OF!B45</f>
        <v>Distance by Road to Nearest Population Center</v>
      </c>
      <c r="C35" s="841" t="str">
        <f>OF!C45</f>
        <v>Measured along the maintained road nearest the AA, the distance to the nearest population center is:</v>
      </c>
      <c r="D35" s="863"/>
      <c r="E35" s="863"/>
      <c r="F35" s="864"/>
      <c r="G35" s="887">
        <f>MAX(F36:F40)/MAX(E36:E40)</f>
        <v>0</v>
      </c>
      <c r="H35" s="2148" t="s">
        <v>2066</v>
      </c>
      <c r="I35" s="2383" t="s">
        <v>341</v>
      </c>
    </row>
    <row r="36" spans="1:10" ht="15" customHeight="1">
      <c r="A36" s="2803"/>
      <c r="B36" s="2759"/>
      <c r="C36" s="842" t="str">
        <f>OF!C46</f>
        <v>&lt;100 m</v>
      </c>
      <c r="D36" s="303">
        <f>OF!D46</f>
        <v>0</v>
      </c>
      <c r="E36" s="865">
        <v>0</v>
      </c>
      <c r="F36" s="866">
        <f>D36*E36</f>
        <v>0</v>
      </c>
      <c r="G36" s="878"/>
      <c r="H36" s="2146"/>
      <c r="I36" s="2490"/>
    </row>
    <row r="37" spans="1:10" ht="15" customHeight="1">
      <c r="A37" s="2803"/>
      <c r="B37" s="2759"/>
      <c r="C37" s="843" t="str">
        <f>OF!C47</f>
        <v>100 - 500 m</v>
      </c>
      <c r="D37" s="304">
        <f>OF!D47</f>
        <v>0</v>
      </c>
      <c r="E37" s="865">
        <v>2</v>
      </c>
      <c r="F37" s="866">
        <f>D37*E37</f>
        <v>0</v>
      </c>
      <c r="G37" s="879"/>
      <c r="H37" s="2146"/>
      <c r="I37" s="2490"/>
    </row>
    <row r="38" spans="1:10" ht="15" customHeight="1">
      <c r="A38" s="2803"/>
      <c r="B38" s="2759"/>
      <c r="C38" s="843" t="str">
        <f>OF!C48</f>
        <v>0.5- 1 km</v>
      </c>
      <c r="D38" s="304">
        <f>OF!D48</f>
        <v>0</v>
      </c>
      <c r="E38" s="865">
        <v>3</v>
      </c>
      <c r="F38" s="866">
        <f>D38*E38</f>
        <v>0</v>
      </c>
      <c r="G38" s="879"/>
      <c r="H38" s="2146"/>
      <c r="I38" s="2490"/>
    </row>
    <row r="39" spans="1:10" ht="15" customHeight="1">
      <c r="A39" s="2803"/>
      <c r="B39" s="2759"/>
      <c r="C39" s="843" t="str">
        <f>OF!C49</f>
        <v>1 - 5 km</v>
      </c>
      <c r="D39" s="304">
        <f>OF!D49</f>
        <v>0</v>
      </c>
      <c r="E39" s="865">
        <v>5</v>
      </c>
      <c r="F39" s="866">
        <f>D39*E39</f>
        <v>0</v>
      </c>
      <c r="G39" s="879"/>
      <c r="H39" s="2146"/>
      <c r="I39" s="2490"/>
    </row>
    <row r="40" spans="1:10" ht="15.6" customHeight="1" thickBot="1">
      <c r="A40" s="2804"/>
      <c r="B40" s="2760"/>
      <c r="C40" s="844" t="str">
        <f>OF!C50</f>
        <v>&gt;5 km</v>
      </c>
      <c r="D40" s="305">
        <f>OF!D50</f>
        <v>0</v>
      </c>
      <c r="E40" s="867">
        <v>8</v>
      </c>
      <c r="F40" s="868">
        <f>D40*E40</f>
        <v>0</v>
      </c>
      <c r="G40" s="1176"/>
      <c r="H40" s="2149"/>
      <c r="I40" s="2540"/>
    </row>
    <row r="41" spans="1:10" s="35" customFormat="1" ht="21" customHeight="1" thickBot="1">
      <c r="A41" s="2764" t="str">
        <f>OF!A51</f>
        <v>OF10</v>
      </c>
      <c r="B41" s="2756" t="str">
        <f>OF!B51</f>
        <v>Distance to Nearest Maintained Road</v>
      </c>
      <c r="C41" s="845" t="str">
        <f>OF!C51</f>
        <v>From the center of the AA, the distance to the nearest maintained public road (dirt or paved) is:</v>
      </c>
      <c r="D41" s="863"/>
      <c r="E41" s="863"/>
      <c r="F41" s="864"/>
      <c r="G41" s="887">
        <f>MAX(F42:F47)/MAX(E42:E47)</f>
        <v>0</v>
      </c>
      <c r="H41" s="2218" t="s">
        <v>1692</v>
      </c>
      <c r="I41" s="2383" t="s">
        <v>343</v>
      </c>
      <c r="J41" s="187"/>
    </row>
    <row r="42" spans="1:10" s="35" customFormat="1" ht="15" customHeight="1">
      <c r="A42" s="2765"/>
      <c r="B42" s="2757"/>
      <c r="C42" s="846" t="str">
        <f>OF!C52</f>
        <v>&lt;10 m</v>
      </c>
      <c r="D42" s="306">
        <f>OF!D52</f>
        <v>0</v>
      </c>
      <c r="E42" s="865">
        <v>0</v>
      </c>
      <c r="F42" s="865">
        <f t="shared" ref="F42:F47" si="3">D42*E42</f>
        <v>0</v>
      </c>
      <c r="G42" s="878"/>
      <c r="H42" s="2211"/>
      <c r="I42" s="2490"/>
      <c r="J42" s="187"/>
    </row>
    <row r="43" spans="1:10" s="35" customFormat="1" ht="15" customHeight="1">
      <c r="A43" s="2765"/>
      <c r="B43" s="2757"/>
      <c r="C43" s="847" t="str">
        <f>OF!C53</f>
        <v>10 - 25 m</v>
      </c>
      <c r="D43" s="249">
        <f>OF!D53</f>
        <v>0</v>
      </c>
      <c r="E43" s="865">
        <v>2</v>
      </c>
      <c r="F43" s="865">
        <f t="shared" si="3"/>
        <v>0</v>
      </c>
      <c r="G43" s="879"/>
      <c r="H43" s="2211"/>
      <c r="I43" s="2490"/>
      <c r="J43" s="187"/>
    </row>
    <row r="44" spans="1:10" s="35" customFormat="1" ht="15" customHeight="1">
      <c r="A44" s="2765"/>
      <c r="B44" s="2757"/>
      <c r="C44" s="847" t="str">
        <f>OF!C54</f>
        <v>25 - 50 m</v>
      </c>
      <c r="D44" s="249">
        <f>OF!D54</f>
        <v>0</v>
      </c>
      <c r="E44" s="865">
        <v>4</v>
      </c>
      <c r="F44" s="865">
        <f t="shared" si="3"/>
        <v>0</v>
      </c>
      <c r="G44" s="879"/>
      <c r="H44" s="2211"/>
      <c r="I44" s="2490"/>
      <c r="J44" s="187"/>
    </row>
    <row r="45" spans="1:10" s="35" customFormat="1" ht="15" customHeight="1">
      <c r="A45" s="2765"/>
      <c r="B45" s="2757"/>
      <c r="C45" s="847" t="str">
        <f>OF!C55</f>
        <v>50 - 100 m</v>
      </c>
      <c r="D45" s="249">
        <f>OF!D55</f>
        <v>0</v>
      </c>
      <c r="E45" s="865">
        <v>5</v>
      </c>
      <c r="F45" s="865">
        <f t="shared" si="3"/>
        <v>0</v>
      </c>
      <c r="G45" s="879"/>
      <c r="H45" s="2211"/>
      <c r="I45" s="2490"/>
      <c r="J45" s="187"/>
    </row>
    <row r="46" spans="1:10" s="35" customFormat="1" ht="15" customHeight="1">
      <c r="A46" s="2765"/>
      <c r="B46" s="2757"/>
      <c r="C46" s="847" t="str">
        <f>OF!C56</f>
        <v>100 - 500 m</v>
      </c>
      <c r="D46" s="249">
        <f>OF!D56</f>
        <v>0</v>
      </c>
      <c r="E46" s="865">
        <v>6</v>
      </c>
      <c r="F46" s="865">
        <f t="shared" si="3"/>
        <v>0</v>
      </c>
      <c r="G46" s="879"/>
      <c r="H46" s="2211"/>
      <c r="I46" s="2490"/>
      <c r="J46" s="187"/>
    </row>
    <row r="47" spans="1:10" s="35" customFormat="1" ht="15" customHeight="1" thickBot="1">
      <c r="A47" s="2766"/>
      <c r="B47" s="2777"/>
      <c r="C47" s="848" t="str">
        <f>OF!C57</f>
        <v>&gt;500 m</v>
      </c>
      <c r="D47" s="250">
        <f>OF!D57</f>
        <v>0</v>
      </c>
      <c r="E47" s="867">
        <v>8</v>
      </c>
      <c r="F47" s="867">
        <f t="shared" si="3"/>
        <v>0</v>
      </c>
      <c r="G47" s="1176"/>
      <c r="H47" s="2420"/>
      <c r="I47" s="2540"/>
      <c r="J47" s="187"/>
    </row>
    <row r="48" spans="1:10" ht="60" customHeight="1" thickBot="1">
      <c r="A48" s="839" t="str">
        <f>OF!A58</f>
        <v>OF11</v>
      </c>
      <c r="B48" s="861" t="str">
        <f>OF!B58</f>
        <v>Wildlife Access</v>
      </c>
      <c r="C48" s="842" t="str">
        <f>OF!C58</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48" s="303">
        <f>IF((OF!D58=""),"",OF!D58)</f>
        <v>0</v>
      </c>
      <c r="E48" s="869"/>
      <c r="F48" s="870"/>
      <c r="G48" s="1816">
        <f>IF((D48=""),"",D48)</f>
        <v>0</v>
      </c>
      <c r="H48" s="1722" t="s">
        <v>2065</v>
      </c>
      <c r="I48" s="439" t="s">
        <v>342</v>
      </c>
    </row>
    <row r="49" spans="1:10" s="35" customFormat="1" ht="21" customHeight="1" thickBot="1">
      <c r="A49" s="2767" t="str">
        <f>OF!A59</f>
        <v>OF12</v>
      </c>
      <c r="B49" s="2756" t="str">
        <f>OF!B59</f>
        <v>Distance to Ponded Water</v>
      </c>
      <c r="C49" s="1822" t="str">
        <f>OF!C59</f>
        <v>The distance from the AA edge to the closest (but separate) pond or lake is:</v>
      </c>
      <c r="D49" s="863"/>
      <c r="E49" s="863"/>
      <c r="F49" s="874"/>
      <c r="G49" s="887">
        <f>MAX(F50:F54)/MAX(E50:E54)</f>
        <v>0</v>
      </c>
      <c r="H49" s="2218" t="s">
        <v>1845</v>
      </c>
      <c r="I49" s="2784" t="s">
        <v>348</v>
      </c>
      <c r="J49" s="187"/>
    </row>
    <row r="50" spans="1:10" s="35" customFormat="1" ht="27" customHeight="1">
      <c r="A50" s="2768"/>
      <c r="B50" s="2775"/>
      <c r="C50" s="212" t="str">
        <f>OF!C60</f>
        <v xml:space="preserve">&lt;50 m, and not separated by any width of roads, stretches of open water, row crops, lawn, bare ground, or impervious surface. </v>
      </c>
      <c r="D50" s="307">
        <f>OF!D60</f>
        <v>0</v>
      </c>
      <c r="E50" s="865">
        <v>5</v>
      </c>
      <c r="F50" s="865">
        <f t="shared" ref="F50:F54" si="4">D50*E50</f>
        <v>0</v>
      </c>
      <c r="G50" s="878"/>
      <c r="H50" s="2211"/>
      <c r="I50" s="2785"/>
      <c r="J50" s="187"/>
    </row>
    <row r="51" spans="1:10" s="35" customFormat="1" ht="15" customHeight="1">
      <c r="A51" s="2768"/>
      <c r="B51" s="2775"/>
      <c r="C51" s="850" t="str">
        <f>OF!C61</f>
        <v>&lt;50 m, but completely separated by those features.</v>
      </c>
      <c r="D51" s="308">
        <f>OF!D61</f>
        <v>0</v>
      </c>
      <c r="E51" s="865">
        <v>4</v>
      </c>
      <c r="F51" s="865">
        <f t="shared" si="4"/>
        <v>0</v>
      </c>
      <c r="G51" s="879"/>
      <c r="H51" s="2211"/>
      <c r="I51" s="2785"/>
      <c r="J51" s="187"/>
    </row>
    <row r="52" spans="1:10" s="35" customFormat="1" ht="15" customHeight="1">
      <c r="A52" s="2768"/>
      <c r="B52" s="2775"/>
      <c r="C52" s="850" t="str">
        <f>OF!C62</f>
        <v>50-500 m, and not separated.</v>
      </c>
      <c r="D52" s="308">
        <f>OF!D62</f>
        <v>0</v>
      </c>
      <c r="E52" s="865">
        <v>3</v>
      </c>
      <c r="F52" s="865">
        <f t="shared" si="4"/>
        <v>0</v>
      </c>
      <c r="G52" s="879"/>
      <c r="H52" s="2211"/>
      <c r="I52" s="2785"/>
      <c r="J52" s="187"/>
    </row>
    <row r="53" spans="1:10" s="35" customFormat="1" ht="15" customHeight="1">
      <c r="A53" s="2768"/>
      <c r="B53" s="2775"/>
      <c r="C53" s="850" t="str">
        <f>OF!C64</f>
        <v>0.5 - 1 km, and not separated.</v>
      </c>
      <c r="D53" s="308">
        <f>OF!D64</f>
        <v>0</v>
      </c>
      <c r="E53" s="865">
        <v>2</v>
      </c>
      <c r="F53" s="865">
        <f t="shared" si="4"/>
        <v>0</v>
      </c>
      <c r="G53" s="879"/>
      <c r="H53" s="2211"/>
      <c r="I53" s="2785"/>
      <c r="J53" s="187"/>
    </row>
    <row r="54" spans="1:10" s="35" customFormat="1" ht="15" customHeight="1" thickBot="1">
      <c r="A54" s="2769"/>
      <c r="B54" s="2776"/>
      <c r="C54" s="853" t="str">
        <f>OF!C66</f>
        <v>none of the above (the closest patches or corridors that large are &gt;1 km away).</v>
      </c>
      <c r="D54" s="311">
        <f>OF!D65</f>
        <v>0</v>
      </c>
      <c r="E54" s="867">
        <v>0</v>
      </c>
      <c r="F54" s="867">
        <f t="shared" si="4"/>
        <v>0</v>
      </c>
      <c r="G54" s="1176"/>
      <c r="H54" s="2420"/>
      <c r="I54" s="2786"/>
      <c r="J54" s="187"/>
    </row>
    <row r="55" spans="1:10" ht="21" customHeight="1" thickBot="1">
      <c r="A55" s="2795" t="str">
        <f>OF!A81</f>
        <v>OF15</v>
      </c>
      <c r="B55" s="2757" t="str">
        <f>OF!B81</f>
        <v>Upland Edge Contact</v>
      </c>
      <c r="C55" s="849" t="str">
        <f>OF!C81</f>
        <v>Select one:</v>
      </c>
      <c r="D55" s="863"/>
      <c r="E55" s="871"/>
      <c r="F55" s="872"/>
      <c r="G55" s="882">
        <f>MAX(F56:F58)/MAX(E56:E58)</f>
        <v>0</v>
      </c>
      <c r="H55" s="2218" t="s">
        <v>2068</v>
      </c>
      <c r="I55" s="2383" t="s">
        <v>339</v>
      </c>
    </row>
    <row r="56" spans="1:10" ht="27" customHeight="1">
      <c r="A56" s="2796"/>
      <c r="B56" s="2775"/>
      <c r="C56" s="212" t="str">
        <f>OF!C82</f>
        <v>The AA has no upland edge (or upland is &lt;1% of perimeter). The AA is entirely contiguous with other wetlands or water.</v>
      </c>
      <c r="D56" s="307">
        <f>OF!D82</f>
        <v>0</v>
      </c>
      <c r="E56" s="361">
        <v>1</v>
      </c>
      <c r="F56" s="865">
        <f>D56*E56</f>
        <v>0</v>
      </c>
      <c r="G56" s="878"/>
      <c r="H56" s="2211"/>
      <c r="I56" s="2490"/>
    </row>
    <row r="57" spans="1:10" ht="27" customHeight="1">
      <c r="A57" s="2796"/>
      <c r="B57" s="2775"/>
      <c r="C57" s="850" t="str">
        <f>OF!C85</f>
        <v>50-75% of the AA's perimeter abuts upland. The rest adjoins other wetlands or water that is mostly wider than the AA.</v>
      </c>
      <c r="D57" s="308">
        <f>OF!D85</f>
        <v>0</v>
      </c>
      <c r="E57" s="865">
        <v>3</v>
      </c>
      <c r="F57" s="865">
        <f>D57*E57</f>
        <v>0</v>
      </c>
      <c r="G57" s="879"/>
      <c r="H57" s="2211"/>
      <c r="I57" s="2490"/>
    </row>
    <row r="58" spans="1:10" ht="27" customHeight="1" thickBot="1">
      <c r="A58" s="2796"/>
      <c r="B58" s="2775"/>
      <c r="C58" s="850" t="str">
        <f>OF!C86</f>
        <v>More than 75% of the AA's perimeter abuts upland. Any remainder adjoins other wetlands or water that is mostly wider than the AA.  This will be true for most assessments done with WESP-AC.</v>
      </c>
      <c r="D58" s="308">
        <f>OF!D86</f>
        <v>0</v>
      </c>
      <c r="E58" s="873">
        <v>2</v>
      </c>
      <c r="F58" s="873">
        <f>D58*E58</f>
        <v>0</v>
      </c>
      <c r="G58" s="886"/>
      <c r="H58" s="2420"/>
      <c r="I58" s="2540"/>
    </row>
    <row r="59" spans="1:10" s="35" customFormat="1" ht="90" customHeight="1" thickBot="1">
      <c r="A59" s="1406" t="str">
        <f>OF!A149</f>
        <v>OF33</v>
      </c>
      <c r="B59" s="1405" t="str">
        <f>OF!B149</f>
        <v>Wintering Deer or Mainland Moose Concentration Area</v>
      </c>
      <c r="C59" s="1413" t="str">
        <f>OF!C149</f>
        <v>The AA is all or part of a Deer Wintering Area or (in NS only) a Mainland Moose Concentration Area.  If AA is on private land with no information, change to blank.  Otherwise, in NB: In Google Earth, view the KMZ overlay that accompanies this calculator, or download the shapefile (Crown Lands Conservation Areas) at http://www.snb.ca/geonb1/e/DC/catalogue-E.asp  In NS: go to https://nsgi.novascotia.ca/plv/  and view Special Management Practice Zones&gt; Mainland Moose Concentration Areas).</v>
      </c>
      <c r="D59" s="1414">
        <f>OF!D149</f>
        <v>0</v>
      </c>
      <c r="E59" s="1080"/>
      <c r="F59" s="1415"/>
      <c r="G59" s="1818">
        <f>D59</f>
        <v>0</v>
      </c>
      <c r="H59" s="81" t="s">
        <v>1689</v>
      </c>
      <c r="I59" s="439" t="s">
        <v>2091</v>
      </c>
      <c r="J59" s="187"/>
    </row>
    <row r="60" spans="1:10" s="35" customFormat="1" ht="60" customHeight="1" thickBot="1">
      <c r="A60" s="2773" t="str">
        <f>F!A9</f>
        <v>F2</v>
      </c>
      <c r="B60" s="2770" t="str">
        <f>F!B9</f>
        <v xml:space="preserve">Wetland Types - Adjoining or Subordinate </v>
      </c>
      <c r="C60" s="210" t="str">
        <f>F!C9</f>
        <v>Mark all other vegetated wetland types you can see (from ground or in aerial imagery) that adjoin the AA or are within it, but only if visible during your visit or from aerial imagery, AND either they are larger than 1 hectare OR comprise more than 1% of contiguous wetland. Do not mark the predominant type again.</v>
      </c>
      <c r="D60" s="875"/>
      <c r="E60" s="863"/>
      <c r="F60" s="1417"/>
      <c r="G60" s="887">
        <f>SUM(D61:D64)/4</f>
        <v>0</v>
      </c>
      <c r="H60" s="2148" t="s">
        <v>2120</v>
      </c>
      <c r="I60" s="2383" t="s">
        <v>2121</v>
      </c>
      <c r="J60" s="187"/>
    </row>
    <row r="61" spans="1:10" s="35" customFormat="1" ht="15" customHeight="1">
      <c r="A61" s="2773"/>
      <c r="B61" s="2771"/>
      <c r="C61" s="1418" t="str">
        <f>F!C10</f>
        <v>Swamp (with or without vernal pools)</v>
      </c>
      <c r="D61" s="314">
        <f>F!D10</f>
        <v>0</v>
      </c>
      <c r="E61" s="865"/>
      <c r="F61" s="1416"/>
      <c r="G61" s="872"/>
      <c r="H61" s="2146"/>
      <c r="I61" s="2490"/>
      <c r="J61" s="187"/>
    </row>
    <row r="62" spans="1:10" s="35" customFormat="1" ht="15" customHeight="1">
      <c r="A62" s="2773"/>
      <c r="B62" s="2771"/>
      <c r="C62" s="1419" t="str">
        <f>F!C11</f>
        <v>Bog</v>
      </c>
      <c r="D62" s="314">
        <f>F!D11</f>
        <v>0</v>
      </c>
      <c r="E62" s="865"/>
      <c r="F62" s="1416"/>
      <c r="G62" s="866"/>
      <c r="H62" s="2146"/>
      <c r="I62" s="2490"/>
      <c r="J62" s="187"/>
    </row>
    <row r="63" spans="1:10" s="35" customFormat="1" ht="15" customHeight="1">
      <c r="A63" s="2773"/>
      <c r="B63" s="2771"/>
      <c r="C63" s="1419" t="str">
        <f>F!C12</f>
        <v>Fen</v>
      </c>
      <c r="D63" s="314">
        <f>F!D12</f>
        <v>0</v>
      </c>
      <c r="E63" s="865"/>
      <c r="F63" s="1416"/>
      <c r="G63" s="866"/>
      <c r="H63" s="2146"/>
      <c r="I63" s="2490"/>
      <c r="J63" s="187"/>
    </row>
    <row r="64" spans="1:10" s="35" customFormat="1" ht="15" customHeight="1" thickBot="1">
      <c r="A64" s="2774"/>
      <c r="B64" s="2772"/>
      <c r="C64" s="1277" t="str">
        <f>F!C13</f>
        <v>Marsh</v>
      </c>
      <c r="D64" s="311">
        <f>F!D13</f>
        <v>0</v>
      </c>
      <c r="E64" s="867"/>
      <c r="F64" s="1269"/>
      <c r="G64" s="868"/>
      <c r="H64" s="2149"/>
      <c r="I64" s="2540"/>
      <c r="J64" s="187"/>
    </row>
    <row r="65" spans="1:9" ht="102" customHeight="1" thickBot="1">
      <c r="A65" s="251" t="str">
        <f>F!A14</f>
        <v>F3</v>
      </c>
      <c r="B65" s="251" t="str">
        <f>F!B14</f>
        <v>Woody Height &amp; Form Diversity</v>
      </c>
      <c r="C65" s="1266" t="str">
        <f>F!C14</f>
        <v xml:space="preserve">Following EACH row below, indicate with a number code (6 if &gt;95%, 5 if 75-95%, 4 if 50-75%, 3 if 25-50%, 2 if 5-25%, 1 if &lt;5%, 0 if none) the percentage of the vegetated AA occupied by that feature. If ALL are marked 0 or 1, SKIP to F9 (N fixers). </v>
      </c>
      <c r="D65" s="1267">
        <f>COUNTIF(F!D15:D20,"&gt;1")</f>
        <v>0</v>
      </c>
      <c r="E65" s="880"/>
      <c r="F65" s="890"/>
      <c r="G65" s="887">
        <f>D65/6</f>
        <v>0</v>
      </c>
      <c r="H65" s="81" t="s">
        <v>2069</v>
      </c>
      <c r="I65" s="439" t="s">
        <v>2093</v>
      </c>
    </row>
    <row r="66" spans="1:9" ht="45" customHeight="1" thickBot="1">
      <c r="A66" s="2764" t="str">
        <f>F!A21</f>
        <v>F4</v>
      </c>
      <c r="B66" s="2756" t="str">
        <f>F!B21</f>
        <v>Woody Diameter Classes</v>
      </c>
      <c r="C66" s="852" t="str">
        <f>F!C21</f>
        <v>Mark ALL the types that comprise &gt;5% of the woody canopy cover in the AA or &gt;5% of the wooded areas (if any) along its upland edge (perimeter).  The edge should include only the trees whose canopies extend into the AA.</v>
      </c>
      <c r="D66" s="863"/>
      <c r="E66" s="863"/>
      <c r="F66" s="874"/>
      <c r="G66" s="887" t="str">
        <f>IF((SUM(F!D15:D18)=0),"",((SUM(D67:D74)/8+ MAX(F67:F74)/MAX(E67:E74))/2))</f>
        <v/>
      </c>
      <c r="H66" s="2218" t="s">
        <v>2070</v>
      </c>
      <c r="I66" s="2383" t="s">
        <v>1333</v>
      </c>
    </row>
    <row r="67" spans="1:9" ht="15" customHeight="1">
      <c r="A67" s="2768"/>
      <c r="B67" s="2775"/>
      <c r="C67" s="212" t="str">
        <f>F!C22</f>
        <v>coniferous, 1-9 cm diameter and &gt;1 m tall.</v>
      </c>
      <c r="D67" s="307">
        <f>F!D22</f>
        <v>0</v>
      </c>
      <c r="E67" s="865">
        <v>1</v>
      </c>
      <c r="F67" s="865">
        <f t="shared" ref="F67:F74" si="5">D67*E67</f>
        <v>0</v>
      </c>
      <c r="G67" s="878"/>
      <c r="H67" s="2211"/>
      <c r="I67" s="2490"/>
    </row>
    <row r="68" spans="1:9" ht="15" customHeight="1">
      <c r="A68" s="2768"/>
      <c r="B68" s="2775"/>
      <c r="C68" s="850" t="str">
        <f>F!C23</f>
        <v>broad-leaved deciduous 1-9 cm diameter and &gt;1 m tall.</v>
      </c>
      <c r="D68" s="308">
        <f>F!D23</f>
        <v>0</v>
      </c>
      <c r="E68" s="865">
        <v>3</v>
      </c>
      <c r="F68" s="865">
        <f t="shared" si="5"/>
        <v>0</v>
      </c>
      <c r="G68" s="879"/>
      <c r="H68" s="2211"/>
      <c r="I68" s="2490"/>
    </row>
    <row r="69" spans="1:9" ht="15" customHeight="1">
      <c r="A69" s="2768"/>
      <c r="B69" s="2775"/>
      <c r="C69" s="850" t="str">
        <f>F!C24</f>
        <v>coniferous, 10-19 cm diameter.</v>
      </c>
      <c r="D69" s="308">
        <f>F!D24</f>
        <v>0</v>
      </c>
      <c r="E69" s="865">
        <v>2</v>
      </c>
      <c r="F69" s="865">
        <f t="shared" si="5"/>
        <v>0</v>
      </c>
      <c r="G69" s="879"/>
      <c r="H69" s="2211"/>
      <c r="I69" s="2490"/>
    </row>
    <row r="70" spans="1:9" ht="15" customHeight="1">
      <c r="A70" s="2768"/>
      <c r="B70" s="2775"/>
      <c r="C70" s="850" t="str">
        <f>F!C25</f>
        <v>broad-leaved deciduous 10-19 cm diameter.</v>
      </c>
      <c r="D70" s="308">
        <f>F!D25</f>
        <v>0</v>
      </c>
      <c r="E70" s="865">
        <v>4</v>
      </c>
      <c r="F70" s="865">
        <f t="shared" si="5"/>
        <v>0</v>
      </c>
      <c r="G70" s="879"/>
      <c r="H70" s="2211"/>
      <c r="I70" s="2490"/>
    </row>
    <row r="71" spans="1:9" ht="15" customHeight="1">
      <c r="A71" s="2768"/>
      <c r="B71" s="2775"/>
      <c r="C71" s="850" t="str">
        <f>F!C26</f>
        <v>coniferous, 20-40 cm diameter.</v>
      </c>
      <c r="D71" s="308">
        <f>F!D26</f>
        <v>0</v>
      </c>
      <c r="E71" s="865">
        <v>3</v>
      </c>
      <c r="F71" s="865">
        <f t="shared" si="5"/>
        <v>0</v>
      </c>
      <c r="G71" s="879"/>
      <c r="H71" s="2211"/>
      <c r="I71" s="2490"/>
    </row>
    <row r="72" spans="1:9" ht="15" customHeight="1">
      <c r="A72" s="2768"/>
      <c r="B72" s="2775"/>
      <c r="C72" s="850" t="str">
        <f>F!C27</f>
        <v>broad-leaved deciduous 20-40 cm diameter.</v>
      </c>
      <c r="D72" s="308">
        <f>F!D27</f>
        <v>0</v>
      </c>
      <c r="E72" s="865">
        <v>6</v>
      </c>
      <c r="F72" s="865">
        <f t="shared" si="5"/>
        <v>0</v>
      </c>
      <c r="G72" s="879"/>
      <c r="H72" s="2211"/>
      <c r="I72" s="2490"/>
    </row>
    <row r="73" spans="1:9" ht="15" customHeight="1">
      <c r="A73" s="2768"/>
      <c r="B73" s="2775"/>
      <c r="C73" s="850" t="str">
        <f>F!C28</f>
        <v>coniferous, &gt;40 cm diameter.</v>
      </c>
      <c r="D73" s="308">
        <f>F!D28</f>
        <v>0</v>
      </c>
      <c r="E73" s="865">
        <v>5</v>
      </c>
      <c r="F73" s="865">
        <f t="shared" si="5"/>
        <v>0</v>
      </c>
      <c r="G73" s="879"/>
      <c r="H73" s="2211"/>
      <c r="I73" s="2490"/>
    </row>
    <row r="74" spans="1:9" ht="15" customHeight="1" thickBot="1">
      <c r="A74" s="2769"/>
      <c r="B74" s="2776"/>
      <c r="C74" s="853" t="str">
        <f>F!C29</f>
        <v>broad-leaved deciduous &gt;40 cm diameter.</v>
      </c>
      <c r="D74" s="311">
        <f>F!D29</f>
        <v>0</v>
      </c>
      <c r="E74" s="867">
        <v>8</v>
      </c>
      <c r="F74" s="867">
        <f t="shared" si="5"/>
        <v>0</v>
      </c>
      <c r="G74" s="1176"/>
      <c r="H74" s="2420"/>
      <c r="I74" s="2540"/>
    </row>
    <row r="75" spans="1:9" ht="30" customHeight="1" thickBot="1">
      <c r="A75" s="2764" t="str">
        <f>F!A30</f>
        <v>F5</v>
      </c>
      <c r="B75" s="2756" t="str">
        <f>F!B30</f>
        <v>Height Class Interspersion</v>
      </c>
      <c r="C75" s="210" t="str">
        <f>F!C30</f>
        <v>In aerial ("duck's eye") view, the following best represents the distribution pattern of vegetation taller than 1 m  VS. shorter than 1 m:</v>
      </c>
      <c r="D75" s="863"/>
      <c r="E75" s="863"/>
      <c r="F75" s="874"/>
      <c r="G75" s="887" t="str">
        <f>IF((SUM(F!D15:D18)=0),"", MAX(F76:F79)/MAX(E76:E79))</f>
        <v/>
      </c>
      <c r="H75" s="2218" t="s">
        <v>2067</v>
      </c>
      <c r="I75" s="2383" t="s">
        <v>329</v>
      </c>
    </row>
    <row r="76" spans="1:9" ht="42" customHeight="1">
      <c r="A76" s="2765"/>
      <c r="B76" s="2757"/>
      <c r="C76" s="212" t="str">
        <f>F!C31</f>
        <v xml:space="preserve">Taller vegetation (&gt;1m height) comprises 30-70% of the vegetated part of the AA and shorter vegetation (&lt;1m height) is scattered widely amid the taller. OR Shorter vegetation comprises 30-70% of the vegetated part of the AA, AND taller vegetation is scattered widely amid the shorter. </v>
      </c>
      <c r="D76" s="307">
        <f>F!D31</f>
        <v>0</v>
      </c>
      <c r="E76" s="871">
        <v>3</v>
      </c>
      <c r="F76" s="865">
        <f>D76*E76</f>
        <v>0</v>
      </c>
      <c r="G76" s="878"/>
      <c r="H76" s="2211"/>
      <c r="I76" s="2490"/>
    </row>
    <row r="77" spans="1:9" ht="57" customHeight="1">
      <c r="A77" s="2765"/>
      <c r="B77" s="2757"/>
      <c r="C77" s="850" t="str">
        <f>F!C32</f>
        <v xml:space="preserve">Taller vegetation comprises 30-70% of the vegetated part of the AA and shorter vegetation is mainly segregated in zones or proportionately large clumps, not scattered widely amid the taller. OR Shorter vegetation comprises 30-70% of the vegetated part of the AA and taller vegetation is mainly in zones or proportionately large clumps, not scattered widely amid the taller. </v>
      </c>
      <c r="D77" s="308">
        <f>F!D32</f>
        <v>0</v>
      </c>
      <c r="E77" s="865">
        <v>2</v>
      </c>
      <c r="F77" s="865">
        <f>D77*E77</f>
        <v>0</v>
      </c>
      <c r="G77" s="878"/>
      <c r="H77" s="2211"/>
      <c r="I77" s="2490"/>
    </row>
    <row r="78" spans="1:9" ht="42" customHeight="1">
      <c r="A78" s="2765"/>
      <c r="B78" s="2757"/>
      <c r="C78" s="850" t="str">
        <f>F!C33</f>
        <v xml:space="preserve">Taller vegetation comprises &gt;70% of the vegetated part of the AA and shorter vegetation is scattered widely amid the taller. OR Shorter vegetation comprises &gt;70% of the vegetated part of the AA, AND taller vegetation (if any) is scattered widely amid the shorter. </v>
      </c>
      <c r="D78" s="308">
        <f>F!D33</f>
        <v>0</v>
      </c>
      <c r="E78" s="865">
        <v>1</v>
      </c>
      <c r="F78" s="865">
        <f>D78*E78</f>
        <v>0</v>
      </c>
      <c r="G78" s="879"/>
      <c r="H78" s="2211"/>
      <c r="I78" s="2490"/>
    </row>
    <row r="79" spans="1:9" ht="57" customHeight="1" thickBot="1">
      <c r="A79" s="2766"/>
      <c r="B79" s="2777"/>
      <c r="C79" s="853" t="str">
        <f>F!C34</f>
        <v xml:space="preserve">Taller vegetation comprises &gt;70% of the vegetated part of the AA and shorter vegetation is absent or is mainly segregated in zones or proportionately large clumps, not scattered widely amid the taller. OR Shorter vegetation comprises &gt;70% of the vegetated part of the AA and taller vegetation is absent or is mainly in zones or proportionately large clumps, not scattered widely amid the taller. </v>
      </c>
      <c r="D79" s="311">
        <f>F!D34</f>
        <v>0</v>
      </c>
      <c r="E79" s="867">
        <v>0</v>
      </c>
      <c r="F79" s="867">
        <f>D79*E79</f>
        <v>0</v>
      </c>
      <c r="G79" s="1176"/>
      <c r="H79" s="2420"/>
      <c r="I79" s="2540"/>
    </row>
    <row r="80" spans="1:9" ht="30" customHeight="1" thickBot="1">
      <c r="A80" s="2799" t="str">
        <f>F!A35</f>
        <v>F6</v>
      </c>
      <c r="B80" s="2770" t="str">
        <f>F!B35</f>
        <v>Large Snags (Dead Standing Trees)</v>
      </c>
      <c r="C80" s="852" t="str">
        <f>F!C35</f>
        <v>Including the adjoining upland area within 10 m of the wetland edge, the number of snags in the AA with diameter &gt;25 cm is:</v>
      </c>
      <c r="D80" s="863"/>
      <c r="E80" s="863"/>
      <c r="F80" s="874"/>
      <c r="G80" s="887" t="str">
        <f>IF((SUM(F!D15:D18)=0),"", MAX(F81:F83)/MAX(E81:E83))</f>
        <v/>
      </c>
      <c r="H80" s="2212" t="s">
        <v>2327</v>
      </c>
      <c r="I80" s="2383" t="s">
        <v>330</v>
      </c>
    </row>
    <row r="81" spans="1:10" ht="15" customHeight="1">
      <c r="A81" s="2800"/>
      <c r="B81" s="2797"/>
      <c r="C81" s="855" t="str">
        <f>F!C36</f>
        <v>None, or fewer than 8/ hectare which exceed this diameter.</v>
      </c>
      <c r="D81" s="313">
        <f>F!D36</f>
        <v>0</v>
      </c>
      <c r="E81" s="865">
        <v>2</v>
      </c>
      <c r="F81" s="865">
        <f>D81*E81</f>
        <v>0</v>
      </c>
      <c r="G81" s="878"/>
      <c r="H81" s="2213"/>
      <c r="I81" s="2490"/>
    </row>
    <row r="82" spans="1:10" ht="15" customHeight="1">
      <c r="A82" s="2800"/>
      <c r="B82" s="2797"/>
      <c r="C82" s="855" t="str">
        <f>F!C37</f>
        <v>Several ( &gt;8/hectare) and a pond, lake, or slow-flowing water wider than 10 m is within 1 km.</v>
      </c>
      <c r="D82" s="313">
        <f>F!D37</f>
        <v>0</v>
      </c>
      <c r="E82" s="865">
        <v>1</v>
      </c>
      <c r="F82" s="865">
        <f>D82*E82</f>
        <v>0</v>
      </c>
      <c r="G82" s="878"/>
      <c r="H82" s="2213"/>
      <c r="I82" s="2490"/>
    </row>
    <row r="83" spans="1:10" ht="15" customHeight="1" thickBot="1">
      <c r="A83" s="2801"/>
      <c r="B83" s="2798"/>
      <c r="C83" s="858" t="str">
        <f>F!C38</f>
        <v>Several ( &gt;8/hectare) but above not true.</v>
      </c>
      <c r="D83" s="316">
        <f>F!D38</f>
        <v>0</v>
      </c>
      <c r="E83" s="867">
        <v>0</v>
      </c>
      <c r="F83" s="867">
        <f>D83*E83</f>
        <v>0</v>
      </c>
      <c r="G83" s="1176"/>
      <c r="H83" s="2377"/>
      <c r="I83" s="2540"/>
    </row>
    <row r="84" spans="1:10" ht="39" customHeight="1" thickBot="1">
      <c r="A84" s="2764" t="str">
        <f>F!A39</f>
        <v>F7</v>
      </c>
      <c r="B84" s="2756" t="str">
        <f>F!B39</f>
        <v>Downed Wood</v>
      </c>
      <c r="C84" s="852" t="str">
        <f>F!C39</f>
        <v>The number of downed wood pieces longer than 2 m and with diameter &gt;10 cm, and not persistently submerged, is:</v>
      </c>
      <c r="D84" s="863"/>
      <c r="E84" s="863"/>
      <c r="F84" s="874"/>
      <c r="G84" s="887" t="str">
        <f>IF((SUM(F!D15:D18)=0),"", IF((D85=1),1,""))</f>
        <v/>
      </c>
      <c r="H84" s="2218" t="s">
        <v>1973</v>
      </c>
      <c r="I84" s="2383" t="s">
        <v>331</v>
      </c>
    </row>
    <row r="85" spans="1:10" ht="30" customHeight="1">
      <c r="A85" s="2768"/>
      <c r="B85" s="2775"/>
      <c r="C85" s="212" t="str">
        <f>F!C40</f>
        <v>Several (&gt;5 if AA is &gt;5 hectares, less for smaller AAs) meet these criteria.</v>
      </c>
      <c r="D85" s="307">
        <f>F!D40</f>
        <v>0</v>
      </c>
      <c r="E85" s="865">
        <v>1</v>
      </c>
      <c r="F85" s="865">
        <f>D85*E85</f>
        <v>0</v>
      </c>
      <c r="G85" s="878"/>
      <c r="H85" s="2211"/>
      <c r="I85" s="2490"/>
    </row>
    <row r="86" spans="1:10" ht="30" customHeight="1" thickBot="1">
      <c r="A86" s="2769"/>
      <c r="B86" s="2776"/>
      <c r="C86" s="853" t="str">
        <f>F!C41</f>
        <v>Few or none that meet these criteria.</v>
      </c>
      <c r="D86" s="311">
        <f>F!D41</f>
        <v>0</v>
      </c>
      <c r="E86" s="867">
        <v>0</v>
      </c>
      <c r="F86" s="867">
        <f>D86*E86</f>
        <v>0</v>
      </c>
      <c r="G86" s="1176"/>
      <c r="H86" s="2420"/>
      <c r="I86" s="2540"/>
    </row>
    <row r="87" spans="1:10" ht="30" customHeight="1" thickBot="1">
      <c r="A87" s="2778" t="str">
        <f>F!A42</f>
        <v>F8</v>
      </c>
      <c r="B87" s="2762" t="str">
        <f>F!B42</f>
        <v xml:space="preserve">Dominance of Most Abundant Shrub Species </v>
      </c>
      <c r="C87" s="849" t="str">
        <f>F!C42</f>
        <v>Determine which two native shrub species comprise the greatest portion of the native shrub cover. Then choose one:</v>
      </c>
      <c r="D87" s="871"/>
      <c r="E87" s="871"/>
      <c r="F87" s="872"/>
      <c r="G87" s="882" t="str">
        <f>IF((SUM(F!D17:D18)&lt;2),"", IF((D89=1),1,""))</f>
        <v/>
      </c>
      <c r="H87" s="2146" t="s">
        <v>1974</v>
      </c>
      <c r="I87" s="2383" t="s">
        <v>354</v>
      </c>
    </row>
    <row r="88" spans="1:10" ht="15" customHeight="1">
      <c r="A88" s="2778"/>
      <c r="B88" s="2762"/>
      <c r="C88" s="859" t="str">
        <f>F!C43</f>
        <v>those species together comprise &gt; 50% of the areal cover of native shrub species.</v>
      </c>
      <c r="D88" s="317">
        <f>F!D43</f>
        <v>0</v>
      </c>
      <c r="E88" s="865">
        <v>1</v>
      </c>
      <c r="F88" s="865">
        <f>D88*E88</f>
        <v>0</v>
      </c>
      <c r="G88" s="878"/>
      <c r="H88" s="2146"/>
      <c r="I88" s="2490"/>
    </row>
    <row r="89" spans="1:10" ht="15.6" customHeight="1" thickBot="1">
      <c r="A89" s="2778"/>
      <c r="B89" s="2762"/>
      <c r="C89" s="860" t="str">
        <f>F!C44</f>
        <v>those species together do not comprise &gt; 50% of the areal cover of native shrub species.</v>
      </c>
      <c r="D89" s="318">
        <f>F!D44</f>
        <v>0</v>
      </c>
      <c r="E89" s="873">
        <v>2</v>
      </c>
      <c r="F89" s="873">
        <f>D89*E89</f>
        <v>0</v>
      </c>
      <c r="G89" s="886"/>
      <c r="H89" s="2149"/>
      <c r="I89" s="2540"/>
    </row>
    <row r="90" spans="1:10" s="35" customFormat="1" ht="30" customHeight="1" thickBot="1">
      <c r="A90" s="2150" t="str">
        <f>F!A45</f>
        <v>F9</v>
      </c>
      <c r="B90" s="2148" t="str">
        <f>F!B45</f>
        <v>N Fixers</v>
      </c>
      <c r="C90" s="439" t="str">
        <f>F!C45</f>
        <v>The percentage of the AA's shrub plus ground cover that contains nitrogen-fixing plants (e.g., alder, bayberry, clover, lupine, alfalfa, other legumes) is:</v>
      </c>
      <c r="D90" s="863"/>
      <c r="E90" s="888"/>
      <c r="F90" s="889"/>
      <c r="G90" s="887">
        <f>MAX(F91:F95)/MAX(E91:E95)</f>
        <v>0</v>
      </c>
      <c r="H90" s="2148" t="s">
        <v>1635</v>
      </c>
      <c r="I90" s="2383" t="s">
        <v>353</v>
      </c>
      <c r="J90" s="187"/>
    </row>
    <row r="91" spans="1:10" ht="15" customHeight="1">
      <c r="A91" s="2151"/>
      <c r="B91" s="2146"/>
      <c r="C91" s="440" t="str">
        <f>F!C46</f>
        <v>&lt;1% or none</v>
      </c>
      <c r="D91" s="255">
        <f>F!D46</f>
        <v>0</v>
      </c>
      <c r="E91" s="865">
        <v>0</v>
      </c>
      <c r="F91" s="865">
        <f>D91*E91</f>
        <v>0</v>
      </c>
      <c r="G91" s="878"/>
      <c r="H91" s="2146"/>
      <c r="I91" s="2490"/>
    </row>
    <row r="92" spans="1:10" ht="15" customHeight="1">
      <c r="A92" s="2151"/>
      <c r="B92" s="2146"/>
      <c r="C92" s="651" t="str">
        <f>F!C47</f>
        <v>1-25% of the shrub plus ground cover, in the AA or along its water edge (whichever has more).</v>
      </c>
      <c r="D92" s="78">
        <f>F!D47</f>
        <v>0</v>
      </c>
      <c r="E92" s="865">
        <v>1</v>
      </c>
      <c r="F92" s="865">
        <f>D92*E92</f>
        <v>0</v>
      </c>
      <c r="G92" s="879"/>
      <c r="H92" s="2146"/>
      <c r="I92" s="2490"/>
    </row>
    <row r="93" spans="1:10" ht="15" customHeight="1">
      <c r="A93" s="2151"/>
      <c r="B93" s="2146"/>
      <c r="C93" s="651" t="str">
        <f>F!C48</f>
        <v>25-50% of the shrub plus ground cover, in the AA or along its water edge (whichever has more).</v>
      </c>
      <c r="D93" s="78">
        <f>F!D48</f>
        <v>0</v>
      </c>
      <c r="E93" s="865">
        <v>2</v>
      </c>
      <c r="F93" s="865">
        <f>D93*E93</f>
        <v>0</v>
      </c>
      <c r="G93" s="879"/>
      <c r="H93" s="2146"/>
      <c r="I93" s="2490"/>
    </row>
    <row r="94" spans="1:10" ht="15" customHeight="1">
      <c r="A94" s="2151"/>
      <c r="B94" s="2146"/>
      <c r="C94" s="651" t="str">
        <f>F!C49</f>
        <v>50-75% of the shrub plus ground cover, in the AA or along its water edge (whichever has more).</v>
      </c>
      <c r="D94" s="78">
        <f>F!D49</f>
        <v>0</v>
      </c>
      <c r="E94" s="865">
        <v>3</v>
      </c>
      <c r="F94" s="865">
        <f>D94*E94</f>
        <v>0</v>
      </c>
      <c r="G94" s="879"/>
      <c r="H94" s="2146"/>
      <c r="I94" s="2490"/>
    </row>
    <row r="95" spans="1:10" ht="15" customHeight="1" thickBot="1">
      <c r="A95" s="2152"/>
      <c r="B95" s="2149"/>
      <c r="C95" s="441" t="str">
        <f>F!C50</f>
        <v>&gt;75% of the shrub plus ground cover, in the AA or along its water edge (whichever has more).</v>
      </c>
      <c r="D95" s="193">
        <f>F!D50</f>
        <v>0</v>
      </c>
      <c r="E95" s="867">
        <v>4</v>
      </c>
      <c r="F95" s="867">
        <f>D95*E95</f>
        <v>0</v>
      </c>
      <c r="G95" s="1176"/>
      <c r="H95" s="2149"/>
      <c r="I95" s="2540"/>
    </row>
    <row r="96" spans="1:10" ht="30" customHeight="1" thickBot="1">
      <c r="A96" s="2795" t="str">
        <f>F!A57</f>
        <v>F11</v>
      </c>
      <c r="B96" s="2757" t="str">
        <f>F!B57</f>
        <v>% Bare Ground &amp; Thatch</v>
      </c>
      <c r="C96" s="849" t="str">
        <f>F!C57</f>
        <v>Consider the parts of the AA that lack surface water at the driest time of the growing season. Viewed from directly above the ground layer, the predominant condition in those areas at that time is:</v>
      </c>
      <c r="D96" s="863"/>
      <c r="E96" s="871"/>
      <c r="F96" s="872"/>
      <c r="G96" s="882">
        <f>MAX(F97:F100)/MAX(E97:E100)</f>
        <v>0</v>
      </c>
      <c r="H96" s="2218" t="s">
        <v>2182</v>
      </c>
      <c r="I96" s="2383" t="s">
        <v>332</v>
      </c>
    </row>
    <row r="97" spans="1:12" ht="42" customHeight="1">
      <c r="A97" s="2796"/>
      <c r="B97" s="2775"/>
      <c r="C97" s="212" t="str">
        <f>F!C58</f>
        <v>Little or no (&lt;5%) bare ground is visible between erect stems or under canopy anywhere in the vegetated AA. Ground is extensively blanketed by dense thatch, moss, lichens, graminoids with great stem densities, or plants with ground-hugging foliage. </v>
      </c>
      <c r="D97" s="307">
        <f>F!D58</f>
        <v>0</v>
      </c>
      <c r="E97" s="865">
        <v>5</v>
      </c>
      <c r="F97" s="865">
        <f>D97*E97</f>
        <v>0</v>
      </c>
      <c r="G97" s="878"/>
      <c r="H97" s="2757"/>
      <c r="I97" s="2490"/>
    </row>
    <row r="98" spans="1:12" ht="27" customHeight="1">
      <c r="A98" s="2796"/>
      <c r="B98" s="2775"/>
      <c r="C98" s="850" t="str">
        <f>F!C59</f>
        <v>Slightly bare ground (5-20% bare between plants) is visible in places, but those areas comprise less than 5% of the unflooded parts of the AA.</v>
      </c>
      <c r="D98" s="308">
        <f>F!D59</f>
        <v>0</v>
      </c>
      <c r="E98" s="865">
        <v>4</v>
      </c>
      <c r="F98" s="865">
        <f>D98*E98</f>
        <v>0</v>
      </c>
      <c r="G98" s="879"/>
      <c r="H98" s="2757"/>
      <c r="I98" s="2490"/>
    </row>
    <row r="99" spans="1:12" ht="27" customHeight="1">
      <c r="A99" s="2796"/>
      <c r="B99" s="2775"/>
      <c r="C99" s="850" t="str">
        <f>F!C60</f>
        <v>Much bare ground (20-50% bare between plants) is visible in places, and those areas comprise more than 5% of the unflooded parts of the AA. </v>
      </c>
      <c r="D99" s="308">
        <f>F!D60</f>
        <v>0</v>
      </c>
      <c r="E99" s="865">
        <v>1</v>
      </c>
      <c r="F99" s="865">
        <f>D99*E99</f>
        <v>0</v>
      </c>
      <c r="G99" s="879"/>
      <c r="H99" s="2757"/>
      <c r="I99" s="2490"/>
    </row>
    <row r="100" spans="1:12" ht="15" customHeight="1" thickBot="1">
      <c r="A100" s="2796"/>
      <c r="B100" s="2775"/>
      <c r="C100" s="850" t="str">
        <f>F!C61</f>
        <v>Other conditions.</v>
      </c>
      <c r="D100" s="308">
        <f>F!D61</f>
        <v>0</v>
      </c>
      <c r="E100" s="873">
        <v>0</v>
      </c>
      <c r="F100" s="873">
        <f>D100*E100</f>
        <v>0</v>
      </c>
      <c r="G100" s="886"/>
      <c r="H100" s="2777"/>
      <c r="I100" s="2540"/>
    </row>
    <row r="101" spans="1:12" ht="60" customHeight="1" thickBot="1">
      <c r="A101" s="2764" t="str">
        <f>F!A63</f>
        <v>F12</v>
      </c>
      <c r="B101" s="2756" t="str">
        <f>F!B63</f>
        <v xml:space="preserve">Ground Irregularity </v>
      </c>
      <c r="C101" s="852"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101" s="863"/>
      <c r="E101" s="863"/>
      <c r="F101" s="874"/>
      <c r="G101" s="887">
        <f>MAX(F102:F104)/MAX(E102:E104)</f>
        <v>0</v>
      </c>
      <c r="H101" s="2756" t="s">
        <v>596</v>
      </c>
      <c r="I101" s="2383" t="s">
        <v>333</v>
      </c>
    </row>
    <row r="102" spans="1:12" ht="15" customHeight="1">
      <c r="A102" s="2768"/>
      <c r="B102" s="2775"/>
      <c r="C102" s="212" t="str">
        <f>F!C64</f>
        <v>Few or none (minimal microtopography; &lt;1% has such features).</v>
      </c>
      <c r="D102" s="307">
        <f>F!D64</f>
        <v>0</v>
      </c>
      <c r="E102" s="865">
        <v>0</v>
      </c>
      <c r="F102" s="865">
        <f>D102*E102</f>
        <v>0</v>
      </c>
      <c r="G102" s="878"/>
      <c r="H102" s="2757"/>
      <c r="I102" s="2490"/>
    </row>
    <row r="103" spans="1:12" ht="15" customHeight="1">
      <c r="A103" s="2768"/>
      <c r="B103" s="2775"/>
      <c r="C103" s="850" t="str">
        <f>F!C65</f>
        <v>Intermediate.</v>
      </c>
      <c r="D103" s="308">
        <f>F!D65</f>
        <v>0</v>
      </c>
      <c r="E103" s="865">
        <v>1</v>
      </c>
      <c r="F103" s="865">
        <f>D103*E103</f>
        <v>0</v>
      </c>
      <c r="G103" s="879"/>
      <c r="H103" s="2757"/>
      <c r="I103" s="2490"/>
    </row>
    <row r="104" spans="1:12" ht="15" customHeight="1" thickBot="1">
      <c r="A104" s="2769"/>
      <c r="B104" s="2776"/>
      <c r="C104" s="853" t="str">
        <f>F!C66</f>
        <v>Several (extensive micro-topography).</v>
      </c>
      <c r="D104" s="311">
        <f>F!D66</f>
        <v>0</v>
      </c>
      <c r="E104" s="867">
        <v>2</v>
      </c>
      <c r="F104" s="867">
        <f>D104*E104</f>
        <v>0</v>
      </c>
      <c r="G104" s="1176"/>
      <c r="H104" s="2777"/>
      <c r="I104" s="2540"/>
    </row>
    <row r="105" spans="1:12" ht="21" customHeight="1" thickBot="1">
      <c r="A105" s="2778" t="str">
        <f>F!A67</f>
        <v>F13</v>
      </c>
      <c r="B105" s="2762" t="str">
        <f>F!B67</f>
        <v>Upland Inclusions</v>
      </c>
      <c r="C105" s="849" t="str">
        <f>F!C67</f>
        <v>Within the AA, inclusions of upland that individually are &gt;100 sq.m. are:</v>
      </c>
      <c r="D105" s="863"/>
      <c r="E105" s="871"/>
      <c r="F105" s="872"/>
      <c r="G105" s="882">
        <f>IF((D106=1),"", MAX(F106:F108)/MAX(E106:E108))</f>
        <v>0</v>
      </c>
      <c r="H105" s="2218" t="s">
        <v>62</v>
      </c>
      <c r="I105" s="2383" t="s">
        <v>334</v>
      </c>
    </row>
    <row r="106" spans="1:12" ht="15" customHeight="1">
      <c r="A106" s="2778"/>
      <c r="B106" s="2762"/>
      <c r="C106" s="855" t="str">
        <f>F!C68</f>
        <v>Few or none.</v>
      </c>
      <c r="D106" s="313">
        <f>F!D68</f>
        <v>0</v>
      </c>
      <c r="E106" s="865">
        <v>0</v>
      </c>
      <c r="F106" s="865">
        <f>D106*E106</f>
        <v>0</v>
      </c>
      <c r="G106" s="878"/>
      <c r="H106" s="2211"/>
      <c r="I106" s="2490"/>
    </row>
    <row r="107" spans="1:12" ht="15" customHeight="1">
      <c r="A107" s="2778"/>
      <c r="B107" s="2762"/>
      <c r="C107" s="856" t="str">
        <f>F!C69</f>
        <v>Intermediate (1 - 10% of vegetated part of the AA).</v>
      </c>
      <c r="D107" s="314">
        <f>F!D69</f>
        <v>0</v>
      </c>
      <c r="E107" s="865">
        <v>1</v>
      </c>
      <c r="F107" s="865">
        <f>D107*E107</f>
        <v>0</v>
      </c>
      <c r="G107" s="1817"/>
      <c r="H107" s="2211"/>
      <c r="I107" s="2490"/>
    </row>
    <row r="108" spans="1:12" ht="15" customHeight="1" thickBot="1">
      <c r="A108" s="2778"/>
      <c r="B108" s="2762"/>
      <c r="C108" s="850" t="str">
        <f>F!C70</f>
        <v>Many (e.g., wetland-upland "mosaic", &gt;10% of the vegetated AA).</v>
      </c>
      <c r="D108" s="308">
        <f>F!D70</f>
        <v>0</v>
      </c>
      <c r="E108" s="873">
        <v>2</v>
      </c>
      <c r="F108" s="873">
        <f>D108*E108</f>
        <v>0</v>
      </c>
      <c r="G108" s="886"/>
      <c r="H108" s="2420"/>
      <c r="I108" s="2540"/>
    </row>
    <row r="109" spans="1:12" s="40" customFormat="1" ht="30" customHeight="1" thickBot="1">
      <c r="A109" s="2802" t="str">
        <f>F!A115</f>
        <v>F24</v>
      </c>
      <c r="B109" s="2761" t="str">
        <f>F!B115</f>
        <v>% of AA Without Surface Water</v>
      </c>
      <c r="C109" s="209" t="str">
        <f>F!C115</f>
        <v>The percentage of the AA that never contains surface water during an average year (that is, except perhaps for a few hours after snowmelt or rainstorms), but which is still a wetland, is:</v>
      </c>
      <c r="D109" s="1080"/>
      <c r="E109" s="875"/>
      <c r="F109" s="863"/>
      <c r="G109" s="887">
        <f>MAX(F110:F115)/MAX(E110:E115)</f>
        <v>0</v>
      </c>
      <c r="H109" s="2148" t="s">
        <v>1291</v>
      </c>
      <c r="I109" s="2491" t="s">
        <v>796</v>
      </c>
      <c r="J109" s="192"/>
      <c r="K109" s="37"/>
      <c r="L109" s="37"/>
    </row>
    <row r="110" spans="1:12" s="40" customFormat="1" ht="27" customHeight="1">
      <c r="A110" s="2790"/>
      <c r="B110" s="2762"/>
      <c r="C110" s="846" t="str">
        <f>F!C116</f>
        <v xml:space="preserve">&lt;1% AND &lt;0.01 hectare (about 10 m on a side) never has surface water. In other words, all or nearly all of the AA is covered by water permanently or at least seasonally.  </v>
      </c>
      <c r="D110" s="249">
        <f>F!D116</f>
        <v>0</v>
      </c>
      <c r="E110" s="865">
        <v>1</v>
      </c>
      <c r="F110" s="865">
        <f t="shared" ref="F110:F115" si="6">D110*E110</f>
        <v>0</v>
      </c>
      <c r="G110" s="886"/>
      <c r="H110" s="2146"/>
      <c r="I110" s="2492"/>
      <c r="J110" s="192"/>
      <c r="K110" s="37"/>
      <c r="L110" s="37"/>
    </row>
    <row r="111" spans="1:12" s="40" customFormat="1" ht="15" customHeight="1">
      <c r="A111" s="2790"/>
      <c r="B111" s="2762"/>
      <c r="C111" s="847" t="str">
        <f>F!C117</f>
        <v>1-25% of the AA,  or &lt;1% but &gt;0.01 ha, never contains surface water.</v>
      </c>
      <c r="D111" s="249">
        <f>F!D117</f>
        <v>0</v>
      </c>
      <c r="E111" s="865">
        <v>2</v>
      </c>
      <c r="F111" s="865">
        <f t="shared" si="6"/>
        <v>0</v>
      </c>
      <c r="G111" s="886"/>
      <c r="H111" s="2146"/>
      <c r="I111" s="2492"/>
      <c r="J111" s="192"/>
      <c r="K111" s="37"/>
      <c r="L111" s="37"/>
    </row>
    <row r="112" spans="1:12" s="40" customFormat="1" ht="15" customHeight="1">
      <c r="A112" s="2790"/>
      <c r="B112" s="2762"/>
      <c r="C112" s="847" t="str">
        <f>F!C118</f>
        <v>25-50% of the AA never contains surface water.</v>
      </c>
      <c r="D112" s="249">
        <f>F!D118</f>
        <v>0</v>
      </c>
      <c r="E112" s="865">
        <v>3</v>
      </c>
      <c r="F112" s="865">
        <f t="shared" si="6"/>
        <v>0</v>
      </c>
      <c r="G112" s="886"/>
      <c r="H112" s="2146"/>
      <c r="I112" s="2492"/>
      <c r="J112" s="192"/>
      <c r="K112" s="37"/>
      <c r="L112" s="37"/>
    </row>
    <row r="113" spans="1:12" s="40" customFormat="1" ht="15" customHeight="1">
      <c r="A113" s="2790"/>
      <c r="B113" s="2762"/>
      <c r="C113" s="847" t="str">
        <f>F!C119</f>
        <v>50-75% of the AA never contains surface water.</v>
      </c>
      <c r="D113" s="249">
        <f>F!D119</f>
        <v>0</v>
      </c>
      <c r="E113" s="865">
        <v>4</v>
      </c>
      <c r="F113" s="865">
        <f t="shared" si="6"/>
        <v>0</v>
      </c>
      <c r="G113" s="886"/>
      <c r="H113" s="2146"/>
      <c r="I113" s="2492"/>
      <c r="J113" s="192"/>
      <c r="K113" s="37"/>
      <c r="L113" s="37"/>
    </row>
    <row r="114" spans="1:12" s="40" customFormat="1" ht="15" customHeight="1">
      <c r="A114" s="2790"/>
      <c r="B114" s="2762"/>
      <c r="C114" s="847" t="str">
        <f>F!C120</f>
        <v>75-99% of the AA never contains surface water.</v>
      </c>
      <c r="D114" s="249">
        <f>F!D120</f>
        <v>0</v>
      </c>
      <c r="E114" s="865">
        <v>6</v>
      </c>
      <c r="F114" s="865">
        <f t="shared" si="6"/>
        <v>0</v>
      </c>
      <c r="G114" s="886"/>
      <c r="H114" s="2146"/>
      <c r="I114" s="2492"/>
      <c r="J114" s="192"/>
      <c r="K114" s="37"/>
      <c r="L114" s="37"/>
    </row>
    <row r="115" spans="1:12" s="40" customFormat="1" ht="27" customHeight="1" thickBot="1">
      <c r="A115" s="2791"/>
      <c r="B115" s="2763"/>
      <c r="C115" s="848" t="str">
        <f>F!C121</f>
        <v>100%. True for many bogs, meadow marshes, swamps that lack vernal pools.  Enter "1" and SKIP to F42 (Channel Connection).</v>
      </c>
      <c r="D115" s="250">
        <f>F!D121</f>
        <v>0</v>
      </c>
      <c r="E115" s="867">
        <v>5</v>
      </c>
      <c r="F115" s="867">
        <f t="shared" si="6"/>
        <v>0</v>
      </c>
      <c r="G115" s="1176"/>
      <c r="H115" s="2149"/>
      <c r="I115" s="2493"/>
      <c r="J115" s="192"/>
      <c r="K115" s="37"/>
      <c r="L115" s="37"/>
    </row>
    <row r="116" spans="1:12" ht="45" customHeight="1" thickBot="1">
      <c r="A116" s="2790" t="str">
        <f>F!A122</f>
        <v>F25</v>
      </c>
      <c r="B116" s="2762" t="str">
        <f>F!B122</f>
        <v>% of AA with Persistent Surface Water</v>
      </c>
      <c r="C116" s="1075"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6" s="871"/>
      <c r="E116" s="871"/>
      <c r="F116" s="872"/>
      <c r="G116" s="882">
        <f>IF((AllSat1&gt;0),"", MAX(F117:F121)/MAX(E117:E121))</f>
        <v>0</v>
      </c>
      <c r="H116" s="2148" t="s">
        <v>2328</v>
      </c>
      <c r="I116" s="2383" t="s">
        <v>328</v>
      </c>
    </row>
    <row r="117" spans="1:12" ht="27" customHeight="1">
      <c r="A117" s="2790"/>
      <c r="B117" s="2762"/>
      <c r="C117" s="851" t="str">
        <f>F!C123</f>
        <v>none. The AA dries up completely (no water in channels either) or never has surface water during most years.</v>
      </c>
      <c r="D117" s="310">
        <f>F!D123</f>
        <v>0</v>
      </c>
      <c r="E117" s="871">
        <v>3</v>
      </c>
      <c r="F117" s="865">
        <f>D117*E117</f>
        <v>0</v>
      </c>
      <c r="G117" s="879"/>
      <c r="H117" s="2146"/>
      <c r="I117" s="2490"/>
    </row>
    <row r="118" spans="1:12" ht="15" customHeight="1">
      <c r="A118" s="2790"/>
      <c r="B118" s="2762"/>
      <c r="C118" s="851" t="str">
        <f>F!C124</f>
        <v>1-20% of the AA.</v>
      </c>
      <c r="D118" s="310">
        <f>F!D124</f>
        <v>0</v>
      </c>
      <c r="E118" s="865">
        <v>4</v>
      </c>
      <c r="F118" s="865">
        <f>D118*E118</f>
        <v>0</v>
      </c>
      <c r="G118" s="879"/>
      <c r="H118" s="2146"/>
      <c r="I118" s="2490"/>
    </row>
    <row r="119" spans="1:12" ht="15" customHeight="1">
      <c r="A119" s="2790"/>
      <c r="B119" s="2762"/>
      <c r="C119" s="851" t="str">
        <f>F!C125</f>
        <v>20-50% of the AA.</v>
      </c>
      <c r="D119" s="310">
        <f>F!D125</f>
        <v>0</v>
      </c>
      <c r="E119" s="865">
        <v>3</v>
      </c>
      <c r="F119" s="865">
        <f>D119*E119</f>
        <v>0</v>
      </c>
      <c r="G119" s="879"/>
      <c r="H119" s="2146"/>
      <c r="I119" s="2490"/>
    </row>
    <row r="120" spans="1:12" ht="15" customHeight="1">
      <c r="A120" s="2790"/>
      <c r="B120" s="2762"/>
      <c r="C120" s="851" t="str">
        <f>F!C126</f>
        <v>50-95% of the AA.</v>
      </c>
      <c r="D120" s="310">
        <f>F!D126</f>
        <v>0</v>
      </c>
      <c r="E120" s="865">
        <v>2</v>
      </c>
      <c r="F120" s="865">
        <f>D120*E120</f>
        <v>0</v>
      </c>
      <c r="G120" s="879"/>
      <c r="H120" s="2146"/>
      <c r="I120" s="2490"/>
    </row>
    <row r="121" spans="1:12" ht="15" customHeight="1" thickBot="1">
      <c r="A121" s="2791"/>
      <c r="B121" s="2763"/>
      <c r="C121" s="848" t="str">
        <f>F!C127</f>
        <v>&gt;95% of the AA. True for many fringe wetlands.</v>
      </c>
      <c r="D121" s="250">
        <f>F!D127</f>
        <v>0</v>
      </c>
      <c r="E121" s="881">
        <v>1</v>
      </c>
      <c r="F121" s="867">
        <f>D121*E121</f>
        <v>0</v>
      </c>
      <c r="G121" s="1176"/>
      <c r="H121" s="2149"/>
      <c r="I121" s="2540"/>
    </row>
    <row r="122" spans="1:12" ht="36" customHeight="1" thickBot="1">
      <c r="A122" s="2789" t="str">
        <f>F!A171</f>
        <v>F34</v>
      </c>
      <c r="B122" s="2771" t="str">
        <f>F!B171</f>
        <v>Width of Vegetated Zone within Wetland</v>
      </c>
      <c r="C122" s="1824" t="str">
        <f>F!C171</f>
        <v>At the time during the growing season when the AA's water level is lowest, the average width of vegetated area in the AA that separates adjoining uplands from open water within the AA is:</v>
      </c>
      <c r="D122" s="1080"/>
      <c r="E122" s="876"/>
      <c r="F122" s="872"/>
      <c r="G122" s="882">
        <f>IF((AllSat1&gt;0),"",IF((TooSmall=1),"",IF((NoOpenPonded=1),"",MAX(F123:F128)/MAX(E123:E128))))</f>
        <v>0</v>
      </c>
      <c r="H122" s="2148" t="s">
        <v>2071</v>
      </c>
      <c r="I122" s="2383" t="s">
        <v>352</v>
      </c>
      <c r="L122" s="40"/>
    </row>
    <row r="123" spans="1:12" ht="18" customHeight="1">
      <c r="A123" s="2789"/>
      <c r="B123" s="2771"/>
      <c r="C123" s="1823" t="str">
        <f>F!C172</f>
        <v>&lt;1 m</v>
      </c>
      <c r="D123" s="314">
        <f>F!D172</f>
        <v>0</v>
      </c>
      <c r="E123" s="883">
        <v>0</v>
      </c>
      <c r="F123" s="865">
        <f t="shared" ref="F123:F128" si="7">D123*E123</f>
        <v>0</v>
      </c>
      <c r="G123" s="884"/>
      <c r="H123" s="2146"/>
      <c r="I123" s="2490"/>
    </row>
    <row r="124" spans="1:12" ht="18" customHeight="1">
      <c r="A124" s="2789"/>
      <c r="B124" s="2771"/>
      <c r="C124" s="1273" t="str">
        <f>F!C173</f>
        <v>1 - 9 m</v>
      </c>
      <c r="D124" s="314">
        <f>F!D173</f>
        <v>0</v>
      </c>
      <c r="E124" s="883">
        <v>1</v>
      </c>
      <c r="F124" s="865">
        <f t="shared" si="7"/>
        <v>0</v>
      </c>
      <c r="G124" s="879"/>
      <c r="H124" s="2146"/>
      <c r="I124" s="2490"/>
    </row>
    <row r="125" spans="1:12" ht="18" customHeight="1">
      <c r="A125" s="2789"/>
      <c r="B125" s="2771"/>
      <c r="C125" s="1273" t="str">
        <f>F!C174</f>
        <v>10 - 29 m</v>
      </c>
      <c r="D125" s="314">
        <f>F!D174</f>
        <v>0</v>
      </c>
      <c r="E125" s="883">
        <v>2</v>
      </c>
      <c r="F125" s="865">
        <f t="shared" si="7"/>
        <v>0</v>
      </c>
      <c r="G125" s="879"/>
      <c r="H125" s="2146"/>
      <c r="I125" s="2490"/>
    </row>
    <row r="126" spans="1:12" ht="18" customHeight="1">
      <c r="A126" s="2789"/>
      <c r="B126" s="2771"/>
      <c r="C126" s="1273" t="str">
        <f>F!C175</f>
        <v>30 - 49 m</v>
      </c>
      <c r="D126" s="314">
        <f>F!D175</f>
        <v>0</v>
      </c>
      <c r="E126" s="883">
        <v>3</v>
      </c>
      <c r="F126" s="865">
        <f t="shared" si="7"/>
        <v>0</v>
      </c>
      <c r="G126" s="879"/>
      <c r="H126" s="2146"/>
      <c r="I126" s="2490"/>
    </row>
    <row r="127" spans="1:12" ht="18" customHeight="1">
      <c r="A127" s="2789"/>
      <c r="B127" s="2771"/>
      <c r="C127" s="1273" t="str">
        <f>F!C176</f>
        <v>50 - 100 m</v>
      </c>
      <c r="D127" s="314">
        <f>F!D176</f>
        <v>0</v>
      </c>
      <c r="E127" s="883">
        <v>5</v>
      </c>
      <c r="F127" s="865">
        <f t="shared" si="7"/>
        <v>0</v>
      </c>
      <c r="G127" s="879"/>
      <c r="H127" s="2146"/>
      <c r="I127" s="2490"/>
    </row>
    <row r="128" spans="1:12" ht="18" customHeight="1" thickBot="1">
      <c r="A128" s="2789"/>
      <c r="B128" s="2771"/>
      <c r="C128" s="1273" t="str">
        <f>F!C177</f>
        <v>&gt; 100 m</v>
      </c>
      <c r="D128" s="314">
        <f>F!D177</f>
        <v>0</v>
      </c>
      <c r="E128" s="885">
        <v>6</v>
      </c>
      <c r="F128" s="873">
        <f t="shared" si="7"/>
        <v>0</v>
      </c>
      <c r="G128" s="886"/>
      <c r="H128" s="2149"/>
      <c r="I128" s="2540"/>
    </row>
    <row r="129" spans="1:9" ht="30" customHeight="1" thickBot="1">
      <c r="A129" s="2792" t="str">
        <f>F!A189</f>
        <v>F37</v>
      </c>
      <c r="B129" s="2770" t="str">
        <f>F!B189</f>
        <v>Interspersion of Robust Emergents &amp; Open Water</v>
      </c>
      <c r="C129" s="852" t="str">
        <f>F!C189</f>
        <v>During most of the part of the growing season when water is present, the spatial pattern of robust herbaceous vegetation (e.g., cattail, tall bulrush, buckbean) is mostly:</v>
      </c>
      <c r="D129" s="863"/>
      <c r="E129" s="875"/>
      <c r="F129" s="874"/>
      <c r="G129" s="887">
        <f>IF((AllSat1&gt;0),"",IF((TooSmall=1),"",IF((NoPonded=1),"",IF((NoOpenPonded+NoOpenPonded1&gt;0),"",IF((AllOpenPond=1),"",MAX(F130:F132)/MAX(E130:E132))))))</f>
        <v>0</v>
      </c>
      <c r="H129" s="2148" t="s">
        <v>1377</v>
      </c>
      <c r="I129" s="2383" t="s">
        <v>351</v>
      </c>
    </row>
    <row r="130" spans="1:9" ht="15" customHeight="1">
      <c r="A130" s="2793"/>
      <c r="B130" s="2771"/>
      <c r="C130" s="855" t="str">
        <f>F!C190</f>
        <v>Scattered. More than 30% of such vegetation forms small islands or corridors surrounded by water.</v>
      </c>
      <c r="D130" s="313">
        <f>F!D190</f>
        <v>0</v>
      </c>
      <c r="E130" s="883">
        <v>3</v>
      </c>
      <c r="F130" s="865">
        <f>D130*E130</f>
        <v>0</v>
      </c>
      <c r="G130" s="866"/>
      <c r="H130" s="2146"/>
      <c r="I130" s="2490"/>
    </row>
    <row r="131" spans="1:9" ht="15" customHeight="1">
      <c r="A131" s="2793"/>
      <c r="B131" s="2771"/>
      <c r="C131" s="856" t="str">
        <f>F!C191</f>
        <v>Intermediate.</v>
      </c>
      <c r="D131" s="314">
        <f>F!D191</f>
        <v>0</v>
      </c>
      <c r="E131" s="883">
        <v>2</v>
      </c>
      <c r="F131" s="865">
        <f>D131*E131</f>
        <v>0</v>
      </c>
      <c r="G131" s="866"/>
      <c r="H131" s="2146"/>
      <c r="I131" s="2490"/>
    </row>
    <row r="132" spans="1:9" ht="27" customHeight="1" thickBot="1">
      <c r="A132" s="2794"/>
      <c r="B132" s="2772"/>
      <c r="C132" s="853" t="str">
        <f>F!C192</f>
        <v>Clumped. More than 70% of such vegetation is in bands along the wetland perimeter or is clumped at one or a few sides of the surface water area.</v>
      </c>
      <c r="D132" s="311">
        <f>F!D192</f>
        <v>0</v>
      </c>
      <c r="E132" s="881">
        <v>1</v>
      </c>
      <c r="F132" s="867">
        <f>D132*E132</f>
        <v>0</v>
      </c>
      <c r="G132" s="868"/>
      <c r="H132" s="2149"/>
      <c r="I132" s="2540"/>
    </row>
    <row r="133" spans="1:9" ht="21" customHeight="1" thickBot="1">
      <c r="A133" s="2764" t="str">
        <f>F!A227</f>
        <v>F49</v>
      </c>
      <c r="B133" s="2761" t="str">
        <f>F!B227</f>
        <v>Beaver Probability</v>
      </c>
      <c r="C133" s="852" t="str">
        <f>F!C227</f>
        <v>Use of the AA by beaver during the past 5 years is (select most applicable ONE):</v>
      </c>
      <c r="D133" s="863"/>
      <c r="E133" s="863"/>
      <c r="F133" s="874"/>
      <c r="G133" s="887">
        <f>IF((AllSat1&gt;0),"", MAX(F134:F136)/MAX(E134:E136))</f>
        <v>0</v>
      </c>
      <c r="H133" s="2148" t="s">
        <v>1690</v>
      </c>
      <c r="I133" s="2383" t="s">
        <v>336</v>
      </c>
    </row>
    <row r="134" spans="1:9" ht="27" customHeight="1">
      <c r="A134" s="2765"/>
      <c r="B134" s="2762"/>
      <c r="C134" s="212" t="str">
        <f>F!C228</f>
        <v>evident from direct observation or presence of gnawed limbs, dams, tracks, dens, lodges, or extensive stands of water-killed trees (snags).</v>
      </c>
      <c r="D134" s="307">
        <f>F!D228</f>
        <v>0</v>
      </c>
      <c r="E134" s="871">
        <v>3</v>
      </c>
      <c r="F134" s="865">
        <f>D134*E134</f>
        <v>0</v>
      </c>
      <c r="G134" s="878"/>
      <c r="H134" s="2146"/>
      <c r="I134" s="2490"/>
    </row>
    <row r="135" spans="1:9" ht="57" customHeight="1">
      <c r="A135" s="2765"/>
      <c r="B135" s="2762"/>
      <c r="C135" s="850"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35" s="308">
        <f>F!D229</f>
        <v>0</v>
      </c>
      <c r="E135" s="871">
        <v>2</v>
      </c>
      <c r="F135" s="865">
        <f>D135*E135</f>
        <v>0</v>
      </c>
      <c r="G135" s="879"/>
      <c r="H135" s="2146"/>
      <c r="I135" s="2490"/>
    </row>
    <row r="136" spans="1:9" ht="27" customHeight="1" thickBot="1">
      <c r="A136" s="2766"/>
      <c r="B136" s="2763"/>
      <c r="C136" s="853" t="str">
        <f>F!C230</f>
        <v xml:space="preserve">unlikely because site characteristics above are deficient, and/or this is a settled area or other area where beaver are routinely removed. </v>
      </c>
      <c r="D136" s="311">
        <f>F!D230</f>
        <v>0</v>
      </c>
      <c r="E136" s="1135">
        <v>0</v>
      </c>
      <c r="F136" s="867">
        <f>D136*E136</f>
        <v>0</v>
      </c>
      <c r="G136" s="1176"/>
      <c r="H136" s="2149"/>
      <c r="I136" s="2540"/>
    </row>
    <row r="137" spans="1:9" ht="30" customHeight="1" thickBot="1">
      <c r="A137" s="2799" t="str">
        <f>F!A240</f>
        <v>F52</v>
      </c>
      <c r="B137" s="2770" t="str">
        <f>F!B240</f>
        <v>Vegetated Buffer as % of Perimeter</v>
      </c>
      <c r="C137" s="210" t="str">
        <f>F!C240</f>
        <v>Along the wetland-upland edge and extending 30 m laterally upslope, the percentage of the upland that contains vegetation cover (except lawns, row crops, heavily grazed land, conifer plantations) is:</v>
      </c>
      <c r="D137" s="1080"/>
      <c r="E137" s="1080"/>
      <c r="F137" s="863"/>
      <c r="G137" s="1819">
        <f>MAX(F138:F142)/MAX(E138:E142)</f>
        <v>0</v>
      </c>
      <c r="H137" s="2148" t="s">
        <v>2119</v>
      </c>
      <c r="I137" s="2383" t="s">
        <v>1989</v>
      </c>
    </row>
    <row r="138" spans="1:9" ht="15" customHeight="1">
      <c r="A138" s="2793"/>
      <c r="B138" s="2771"/>
      <c r="C138" s="855" t="str">
        <f>F!C241</f>
        <v xml:space="preserve">&lt;5% </v>
      </c>
      <c r="D138" s="314">
        <f>F!D241</f>
        <v>0</v>
      </c>
      <c r="E138" s="361">
        <v>0</v>
      </c>
      <c r="F138" s="361">
        <f>D138*E138</f>
        <v>0</v>
      </c>
      <c r="G138" s="879"/>
      <c r="H138" s="2146"/>
      <c r="I138" s="2490"/>
    </row>
    <row r="139" spans="1:9" ht="15" customHeight="1">
      <c r="A139" s="2793"/>
      <c r="B139" s="2771"/>
      <c r="C139" s="856" t="str">
        <f>F!C242</f>
        <v>5 to 30%</v>
      </c>
      <c r="D139" s="314">
        <f>F!D242</f>
        <v>0</v>
      </c>
      <c r="E139" s="361">
        <v>1</v>
      </c>
      <c r="F139" s="361">
        <f>D139*E139</f>
        <v>0</v>
      </c>
      <c r="G139" s="879"/>
      <c r="H139" s="2146"/>
      <c r="I139" s="2490"/>
    </row>
    <row r="140" spans="1:9" ht="15" customHeight="1">
      <c r="A140" s="2793"/>
      <c r="B140" s="2771"/>
      <c r="C140" s="856" t="str">
        <f>F!C243</f>
        <v>30 to 60%</v>
      </c>
      <c r="D140" s="314">
        <f>F!D243</f>
        <v>0</v>
      </c>
      <c r="E140" s="361">
        <v>2</v>
      </c>
      <c r="F140" s="361">
        <f>D140*E140</f>
        <v>0</v>
      </c>
      <c r="G140" s="879"/>
      <c r="H140" s="2146"/>
      <c r="I140" s="2490"/>
    </row>
    <row r="141" spans="1:9" ht="15" customHeight="1">
      <c r="A141" s="2793"/>
      <c r="B141" s="2771"/>
      <c r="C141" s="856" t="str">
        <f>F!C244</f>
        <v>60 to 90%</v>
      </c>
      <c r="D141" s="314">
        <f>F!D244</f>
        <v>0</v>
      </c>
      <c r="E141" s="361">
        <v>4</v>
      </c>
      <c r="F141" s="361">
        <f>D141*E141</f>
        <v>0</v>
      </c>
      <c r="G141" s="879"/>
      <c r="H141" s="2146"/>
      <c r="I141" s="2490"/>
    </row>
    <row r="142" spans="1:9" ht="15" customHeight="1" thickBot="1">
      <c r="A142" s="2794"/>
      <c r="B142" s="2772"/>
      <c r="C142" s="853" t="str">
        <f>F!C245</f>
        <v>&gt;90%, or all the area within 30 m of the AA edge is other wetlands. SKIP to F55.</v>
      </c>
      <c r="D142" s="311">
        <f>F!D245</f>
        <v>0</v>
      </c>
      <c r="E142" s="362">
        <v>5</v>
      </c>
      <c r="F142" s="362">
        <f>D142*E142</f>
        <v>0</v>
      </c>
      <c r="G142" s="1176"/>
      <c r="H142" s="2149"/>
      <c r="I142" s="2540"/>
    </row>
    <row r="143" spans="1:9" ht="30" customHeight="1" thickBot="1">
      <c r="A143" s="2775" t="str">
        <f>F!A246</f>
        <v>F53</v>
      </c>
      <c r="B143" s="2775" t="str">
        <f>F!B246</f>
        <v>Type of Cover in Buffer</v>
      </c>
      <c r="C143" s="849" t="str">
        <f>F!C246</f>
        <v>Within 30 m upslope of where the wetland transitions to upland, the upland land cover that is NOT natural is mostly (mark ONE):</v>
      </c>
      <c r="D143" s="869"/>
      <c r="E143" s="871"/>
      <c r="F143" s="872"/>
      <c r="G143" s="882">
        <f>IF((BuffAllNat=1),"", MAX(F144:F145)/MAX(E144:E145))</f>
        <v>0</v>
      </c>
      <c r="H143" s="2211" t="s">
        <v>2886</v>
      </c>
      <c r="I143" s="2784" t="s">
        <v>340</v>
      </c>
    </row>
    <row r="144" spans="1:9" ht="15" customHeight="1">
      <c r="A144" s="2775"/>
      <c r="B144" s="2775"/>
      <c r="C144" s="1275" t="str">
        <f>F!C247</f>
        <v>impervious surface, e.g., paved road, parking lot, building, exposed rock.</v>
      </c>
      <c r="D144" s="314">
        <f>F!D247</f>
        <v>0</v>
      </c>
      <c r="E144" s="883">
        <v>0</v>
      </c>
      <c r="F144" s="865">
        <f>D144*E144</f>
        <v>0</v>
      </c>
      <c r="G144" s="878"/>
      <c r="H144" s="2211"/>
      <c r="I144" s="2785"/>
    </row>
    <row r="145" spans="1:10" ht="15" customHeight="1" thickBot="1">
      <c r="A145" s="2775"/>
      <c r="B145" s="2775"/>
      <c r="C145" s="1277" t="str">
        <f>F!C248</f>
        <v>bare or nearly bare pervious surface or managed vegetation, e.g., lawn, row crops, unpaved road, dike, landslide.</v>
      </c>
      <c r="D145" s="1276">
        <f>F!D248</f>
        <v>0</v>
      </c>
      <c r="E145" s="867">
        <v>1</v>
      </c>
      <c r="F145" s="873">
        <f>D145*E145</f>
        <v>0</v>
      </c>
      <c r="G145" s="886"/>
      <c r="H145" s="2420"/>
      <c r="I145" s="2786"/>
    </row>
    <row r="146" spans="1:10" ht="60" customHeight="1" thickBot="1">
      <c r="A146" s="209" t="str">
        <f>F!A254</f>
        <v>F55</v>
      </c>
      <c r="B146" s="209" t="str">
        <f>F!B254</f>
        <v xml:space="preserve">Cliffs, Steep Banks, or Salt Lick </v>
      </c>
      <c r="C146" s="854" t="str">
        <f>F!C254</f>
        <v>In the AA or within 100 m, there is a known salt lick, or elevated terrestrial features such as cliffs, talus slopes, stream banks, or excavated pits (but not riprap) that extend at least 2 m nearly vertically, are unvegetated, and potentially contain crevices or other substrate suitable for nesting or den areas. Enter 1 (yes) or 0 (no).</v>
      </c>
      <c r="D146" s="312">
        <f>F!D254</f>
        <v>0</v>
      </c>
      <c r="E146" s="880">
        <v>1</v>
      </c>
      <c r="F146" s="890">
        <f>D146*E146</f>
        <v>0</v>
      </c>
      <c r="G146" s="887" t="str">
        <f>IF((D146=1),1,"")</f>
        <v/>
      </c>
      <c r="H146" s="81" t="s">
        <v>1975</v>
      </c>
      <c r="I146" s="448" t="s">
        <v>335</v>
      </c>
    </row>
    <row r="147" spans="1:10" ht="60" customHeight="1" thickBot="1">
      <c r="A147" s="2757" t="str">
        <f>F!A280</f>
        <v>F61</v>
      </c>
      <c r="B147" s="2757" t="str">
        <f>F!B280</f>
        <v xml:space="preserve">Unvisited Core Area </v>
      </c>
      <c r="C147" s="849"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47" s="863"/>
      <c r="E147" s="871"/>
      <c r="F147" s="872"/>
      <c r="G147" s="882">
        <f>MAX(F148:F153)/MAX(E148:E153)</f>
        <v>0</v>
      </c>
      <c r="H147" s="2218" t="s">
        <v>2094</v>
      </c>
      <c r="I147" s="2383" t="s">
        <v>337</v>
      </c>
    </row>
    <row r="148" spans="1:10" ht="15" customHeight="1">
      <c r="A148" s="2757"/>
      <c r="B148" s="2757"/>
      <c r="C148" s="1274" t="str">
        <f>F!C281</f>
        <v>&lt;5% and no inhabited building is within 100 m of the AA.</v>
      </c>
      <c r="D148" s="308">
        <f>F!D281</f>
        <v>0</v>
      </c>
      <c r="E148" s="1162">
        <v>1</v>
      </c>
      <c r="F148" s="865">
        <f t="shared" ref="F148:F153" si="8">D148*E148</f>
        <v>0</v>
      </c>
      <c r="G148" s="878"/>
      <c r="H148" s="2757"/>
      <c r="I148" s="2490"/>
    </row>
    <row r="149" spans="1:10" ht="15" customHeight="1">
      <c r="A149" s="2757"/>
      <c r="B149" s="2757"/>
      <c r="C149" s="212" t="str">
        <f>F!C282</f>
        <v>&lt;5% and inhabited building is within 100 m of the AA.</v>
      </c>
      <c r="D149" s="314">
        <f>F!D282</f>
        <v>0</v>
      </c>
      <c r="E149" s="1162">
        <v>0</v>
      </c>
      <c r="F149" s="865">
        <f t="shared" si="8"/>
        <v>0</v>
      </c>
      <c r="G149" s="879"/>
      <c r="H149" s="2757"/>
      <c r="I149" s="2490"/>
    </row>
    <row r="150" spans="1:10" ht="15" customHeight="1">
      <c r="A150" s="2757"/>
      <c r="B150" s="2757"/>
      <c r="C150" s="856" t="str">
        <f>F!C283</f>
        <v>5-50% and no inhabited building is within 100 m of the AA.</v>
      </c>
      <c r="D150" s="314">
        <f>F!D283</f>
        <v>0</v>
      </c>
      <c r="E150" s="1162">
        <v>3</v>
      </c>
      <c r="F150" s="865">
        <f t="shared" si="8"/>
        <v>0</v>
      </c>
      <c r="G150" s="879"/>
      <c r="H150" s="2757"/>
      <c r="I150" s="2490"/>
    </row>
    <row r="151" spans="1:10" ht="15" customHeight="1">
      <c r="A151" s="2757"/>
      <c r="B151" s="2757"/>
      <c r="C151" s="212" t="str">
        <f>F!C284</f>
        <v>5-50% and inhabited building is within 100 m of the AA.</v>
      </c>
      <c r="D151" s="307">
        <f>F!D284</f>
        <v>0</v>
      </c>
      <c r="E151" s="1162">
        <v>2</v>
      </c>
      <c r="F151" s="865">
        <f t="shared" si="8"/>
        <v>0</v>
      </c>
      <c r="G151" s="886"/>
      <c r="H151" s="2757"/>
      <c r="I151" s="2490"/>
    </row>
    <row r="152" spans="1:10" ht="15" customHeight="1">
      <c r="A152" s="2757"/>
      <c r="B152" s="2757"/>
      <c r="C152" s="856" t="str">
        <f>F!C285</f>
        <v>50-95%</v>
      </c>
      <c r="D152" s="314">
        <f>F!D285</f>
        <v>0</v>
      </c>
      <c r="E152" s="1162">
        <v>4</v>
      </c>
      <c r="F152" s="865">
        <f t="shared" si="8"/>
        <v>0</v>
      </c>
      <c r="G152" s="886"/>
      <c r="H152" s="2757"/>
      <c r="I152" s="2490"/>
    </row>
    <row r="153" spans="1:10" ht="15" customHeight="1" thickBot="1">
      <c r="A153" s="2757"/>
      <c r="B153" s="2757"/>
      <c r="C153" s="858" t="str">
        <f>F!C286</f>
        <v>&gt;95% of the AA</v>
      </c>
      <c r="D153" s="316">
        <f>F!D286</f>
        <v>0</v>
      </c>
      <c r="E153" s="1252">
        <v>5</v>
      </c>
      <c r="F153" s="873">
        <f t="shared" si="8"/>
        <v>0</v>
      </c>
      <c r="G153" s="886"/>
      <c r="H153" s="2777"/>
      <c r="I153" s="2540"/>
    </row>
    <row r="154" spans="1:10" ht="60" customHeight="1" thickBot="1">
      <c r="A154" s="2756" t="str">
        <f>F!A287</f>
        <v>F62</v>
      </c>
      <c r="B154" s="2756" t="str">
        <f>F!B287</f>
        <v>Frequently Visited Area</v>
      </c>
      <c r="C154" s="852"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154" s="1080"/>
      <c r="E154" s="499"/>
      <c r="F154" s="874"/>
      <c r="G154" s="887">
        <f>MAX(F155:F158)/MAX(E155:E158)</f>
        <v>0</v>
      </c>
      <c r="H154" s="2756" t="s">
        <v>166</v>
      </c>
      <c r="I154" s="2383" t="s">
        <v>338</v>
      </c>
    </row>
    <row r="155" spans="1:10" ht="15" customHeight="1">
      <c r="A155" s="2757"/>
      <c r="B155" s="2757"/>
      <c r="C155" s="855" t="str">
        <f>F!C288</f>
        <v>&lt;5%. If F61 was answered "&gt;95%" (mostly never visited), SKIP to F65.</v>
      </c>
      <c r="D155" s="314">
        <f>F!D288</f>
        <v>0</v>
      </c>
      <c r="E155" s="1162">
        <v>3</v>
      </c>
      <c r="F155" s="865">
        <f>D155*E155</f>
        <v>0</v>
      </c>
      <c r="G155" s="878"/>
      <c r="H155" s="2757"/>
      <c r="I155" s="2490"/>
    </row>
    <row r="156" spans="1:10" ht="15" customHeight="1">
      <c r="A156" s="2757"/>
      <c r="B156" s="2757"/>
      <c r="C156" s="856" t="str">
        <f>F!C289</f>
        <v>5-50%</v>
      </c>
      <c r="D156" s="314">
        <f>F!D289</f>
        <v>0</v>
      </c>
      <c r="E156" s="1162">
        <v>2</v>
      </c>
      <c r="F156" s="865">
        <f>D156*E156</f>
        <v>0</v>
      </c>
      <c r="G156" s="879"/>
      <c r="H156" s="2757"/>
      <c r="I156" s="2490"/>
    </row>
    <row r="157" spans="1:10" ht="15" customHeight="1">
      <c r="A157" s="2757"/>
      <c r="B157" s="2757"/>
      <c r="C157" s="856" t="str">
        <f>F!C290</f>
        <v>50-95%</v>
      </c>
      <c r="D157" s="314">
        <f>F!D290</f>
        <v>0</v>
      </c>
      <c r="E157" s="1162">
        <v>1</v>
      </c>
      <c r="F157" s="865">
        <f>D157*E157</f>
        <v>0</v>
      </c>
      <c r="G157" s="879"/>
      <c r="H157" s="2757"/>
      <c r="I157" s="2490"/>
    </row>
    <row r="158" spans="1:10" ht="15" customHeight="1" thickBot="1">
      <c r="A158" s="2757"/>
      <c r="B158" s="2757"/>
      <c r="C158" s="850" t="str">
        <f>F!C291</f>
        <v>&gt;95% of the AA.</v>
      </c>
      <c r="D158" s="308">
        <f>F!D291</f>
        <v>0</v>
      </c>
      <c r="E158" s="1252">
        <v>0</v>
      </c>
      <c r="F158" s="873">
        <f>D158*E158</f>
        <v>0</v>
      </c>
      <c r="G158" s="886"/>
      <c r="H158" s="2757"/>
      <c r="I158" s="2490"/>
    </row>
    <row r="159" spans="1:10" s="187" customFormat="1" ht="36" customHeight="1" thickBot="1">
      <c r="A159" s="1581" t="s">
        <v>168</v>
      </c>
      <c r="B159" s="1582" t="s">
        <v>2419</v>
      </c>
      <c r="C159" s="1825" t="s">
        <v>1354</v>
      </c>
      <c r="D159" s="1583" t="s">
        <v>64</v>
      </c>
      <c r="E159" s="1746" t="s">
        <v>1383</v>
      </c>
      <c r="F159" s="1706" t="s">
        <v>1384</v>
      </c>
      <c r="G159" s="1747" t="s">
        <v>1293</v>
      </c>
      <c r="H159" s="1582" t="s">
        <v>1294</v>
      </c>
      <c r="I159" s="1588" t="s">
        <v>2622</v>
      </c>
    </row>
    <row r="160" spans="1:10" s="35" customFormat="1" ht="156" customHeight="1" thickBot="1">
      <c r="A160" s="210" t="str">
        <f>OF!A34</f>
        <v>OF5</v>
      </c>
      <c r="B160" s="210" t="str">
        <f>OF!B34</f>
        <v>Herbaceous Uniqueness</v>
      </c>
      <c r="C160" s="1266" t="str">
        <f>OF!C34</f>
        <v xml:space="preserve">Does the AA contain the largest unmanaged herbaceous* patch within 5 km of the AA's edge? (or is the AA's vegetation mostly herbaceous but uplands within 5 km have &lt;10% herbaceous cover?). If so, enter "3" and continue to OF6.  If not, consider: 
Does the AA have the largest unmanaged herbaceous patch within 1 km? (or is the AA's vegetation mostly herbaceous but uplands within 1 km have &lt;10% herbaceous cover?); if so enter "2" and continue to OF6.  If not, consider: 
Does  the AA have the largest unmanaged patch of herbaceous vegetation within 100 m? (or is the AA's vegetation mostly herbaceous but uplands within 100 m have &lt;10% herbaceous cover?)  If so, enter "1"  
[* NOTE: Exclude lawns, row crops, heavily grazed lands, forest, shrublands. Include moss as well as grasslike plants in this use of "herbaceous vegetation"]
</v>
      </c>
      <c r="D160" s="1268">
        <f>OF!D34</f>
        <v>0</v>
      </c>
      <c r="E160" s="1828"/>
      <c r="F160" s="1829"/>
      <c r="G160" s="1821">
        <f>D160/3</f>
        <v>0</v>
      </c>
      <c r="H160" s="5" t="s">
        <v>2901</v>
      </c>
      <c r="I160" s="1744" t="s">
        <v>1992</v>
      </c>
      <c r="J160" s="187"/>
    </row>
    <row r="161" spans="1:10" s="35" customFormat="1" ht="129" customHeight="1" thickBot="1">
      <c r="A161" s="1736" t="str">
        <f>OF!A35</f>
        <v>OF6</v>
      </c>
      <c r="B161" s="1736" t="str">
        <f>OF!B35</f>
        <v>Woody Uniqueness</v>
      </c>
      <c r="C161" s="35" t="str">
        <f>OF!C35</f>
        <v xml:space="preserve">Does the AA contain the largest unmanaged woody* patch within 5 km? (or is the AA's vegetation mostly woody but uplands within 5 km have &lt;10% woody cover?). If so, enter "3" and continue to OF6.  If not, consider: 
Does the AA have the largest unmanaged woody patch within 1 km? (or is the AA's vegetation mostly woody but uplands within 1 km have &lt;10% woody cover?); if so enter "2" and continue to OF6.  If not, consider: 
Does  the AA have the largest unmanaged patch of woody vegetation within 100 m? (or is the AA's vegetation mostly woody but uplands within 100 m have &lt;10% woody cover?)  If so, enter "1".  
 [*NOTE: woody = Shrubland and forest, but exclude conifer plantations. ]
</v>
      </c>
      <c r="D161" s="1272">
        <f>OF!D35</f>
        <v>0</v>
      </c>
      <c r="E161" s="1826"/>
      <c r="F161" s="1827"/>
      <c r="G161" s="1820">
        <f>D161/3</f>
        <v>0</v>
      </c>
      <c r="H161" s="1940" t="s">
        <v>2902</v>
      </c>
      <c r="I161" s="448" t="s">
        <v>1993</v>
      </c>
      <c r="J161" s="187"/>
    </row>
    <row r="162" spans="1:10" s="35" customFormat="1" ht="60" customHeight="1" thickBot="1">
      <c r="A162" s="782" t="str">
        <f>OF!A141</f>
        <v>OF30</v>
      </c>
      <c r="B162" s="206" t="str">
        <f>OF!B141</f>
        <v>Species of Conservation Concern</v>
      </c>
      <c r="C162" s="1270" t="str">
        <f>OF!C145</f>
        <v>Presence of one or more of the nesting songbird or raptor species of conservation concern (SBM) as listed in the Wildlife_Rare worksheet of the accompanying SuppInfo file, during their nesting season (May-July for most species).</v>
      </c>
      <c r="D162" s="1271">
        <f>OF!D145</f>
        <v>0</v>
      </c>
      <c r="E162" s="1250"/>
      <c r="F162" s="833"/>
      <c r="G162" s="832">
        <f>D162</f>
        <v>0</v>
      </c>
      <c r="H162" s="1720" t="s">
        <v>1846</v>
      </c>
      <c r="I162" s="439" t="s">
        <v>350</v>
      </c>
      <c r="J162" s="187"/>
    </row>
    <row r="163" spans="1:10" s="35" customFormat="1" ht="33" customHeight="1" thickBot="1">
      <c r="A163" s="840" t="str">
        <f>OF!A147</f>
        <v>OF31</v>
      </c>
      <c r="B163" s="210" t="str">
        <f>OF!B147</f>
        <v>Designated Important Bird Area (IBA)</v>
      </c>
      <c r="C163" s="857" t="str">
        <f>OF!C147</f>
        <v xml:space="preserve">The AA is all or part of the West Shepody Bay or St. Johns River Important Bird Areas (IBA). See Figures A-3 &amp; A-4 in Appendix A of the Manual. Enter 1= yes, 0= no. </v>
      </c>
      <c r="D163" s="315">
        <f>OF!D147</f>
        <v>0</v>
      </c>
      <c r="E163" s="877"/>
      <c r="F163" s="1136"/>
      <c r="G163" s="1821">
        <f>D163</f>
        <v>0</v>
      </c>
      <c r="H163" s="123" t="s">
        <v>138</v>
      </c>
      <c r="I163" s="439" t="s">
        <v>349</v>
      </c>
      <c r="J163" s="187"/>
    </row>
    <row r="164" spans="1:10" ht="21" customHeight="1" thickBot="1">
      <c r="A164" s="2814"/>
      <c r="B164" s="2814"/>
      <c r="C164" s="2814"/>
      <c r="D164" s="2808"/>
      <c r="E164" s="2808"/>
      <c r="F164" s="2808"/>
      <c r="G164" s="2808"/>
      <c r="H164" s="2808"/>
    </row>
    <row r="165" spans="1:10" ht="21" customHeight="1">
      <c r="A165" s="2815"/>
      <c r="B165" s="2815"/>
      <c r="C165" s="2815"/>
      <c r="D165" s="2641" t="s">
        <v>635</v>
      </c>
      <c r="E165" s="2642"/>
      <c r="F165" s="2642"/>
      <c r="G165" s="1809">
        <f>AVERAGE(Gcover14, Girreg14,Cliffs14, SnagD14,WoodDown14,DeerHab14)</f>
        <v>0</v>
      </c>
      <c r="H165" s="1897" t="s">
        <v>2092</v>
      </c>
      <c r="I165" s="1898" t="s">
        <v>2779</v>
      </c>
    </row>
    <row r="166" spans="1:10" ht="21" customHeight="1">
      <c r="A166" s="2815"/>
      <c r="B166" s="2815"/>
      <c r="C166" s="2815"/>
      <c r="D166" s="2617" t="s">
        <v>636</v>
      </c>
      <c r="E166" s="2618"/>
      <c r="F166" s="2618"/>
      <c r="G166" s="1810" t="str">
        <f>IF((SUM(F!D15:D18)=0),"", AVERAGE(WoodyHtDiv14,ShrubDiv14, WoodPatt14, TreeTypes14))</f>
        <v/>
      </c>
      <c r="H166" s="1858" t="s">
        <v>1910</v>
      </c>
      <c r="I166" s="1899" t="s">
        <v>2780</v>
      </c>
    </row>
    <row r="167" spans="1:10" ht="21" customHeight="1">
      <c r="A167" s="2815"/>
      <c r="B167" s="2815"/>
      <c r="C167" s="2815"/>
      <c r="D167" s="2617" t="s">
        <v>232</v>
      </c>
      <c r="E167" s="2618"/>
      <c r="F167" s="2618"/>
      <c r="G167" s="1810">
        <f>(AVERAGE(SizeHerbac14,Vwidth14))*((AVERAGE(Nfix14, Inclus14, UpEdge14)))</f>
        <v>0</v>
      </c>
      <c r="H167" s="1920" t="s">
        <v>2825</v>
      </c>
      <c r="I167" s="1899" t="s">
        <v>2781</v>
      </c>
    </row>
    <row r="168" spans="1:10" ht="30" customHeight="1">
      <c r="A168" s="2815"/>
      <c r="B168" s="2815"/>
      <c r="C168" s="2815"/>
      <c r="D168" s="2617" t="s">
        <v>198</v>
      </c>
      <c r="E168" s="2618"/>
      <c r="F168" s="2618"/>
      <c r="G168" s="1810">
        <f>AVERAGE(WetTypeDiv14,BuffPerim14,CUtypeLU14, NatVegProx14, NatVegPctScape14, ScapeLU14, NatVegSize14)</f>
        <v>0</v>
      </c>
      <c r="H168" s="1858" t="s">
        <v>2652</v>
      </c>
      <c r="I168" s="1899" t="s">
        <v>2782</v>
      </c>
    </row>
    <row r="169" spans="1:10" s="35" customFormat="1" ht="21" customHeight="1">
      <c r="A169" s="2815"/>
      <c r="B169" s="2815"/>
      <c r="C169" s="2815"/>
      <c r="D169" s="2709" t="s">
        <v>279</v>
      </c>
      <c r="E169" s="2813"/>
      <c r="F169" s="2813"/>
      <c r="G169" s="1811">
        <f>AVERAGE(SatPct14, PermWpct14, PondProx14, Beaver14a, Interspers14)</f>
        <v>0</v>
      </c>
      <c r="H169" s="1858" t="s">
        <v>1586</v>
      </c>
      <c r="I169" s="1899" t="s">
        <v>2783</v>
      </c>
      <c r="J169" s="187"/>
    </row>
    <row r="170" spans="1:10" s="35" customFormat="1" ht="21" customHeight="1" thickBot="1">
      <c r="A170" s="2815"/>
      <c r="B170" s="2815"/>
      <c r="C170" s="2815"/>
      <c r="D170" s="2619" t="s">
        <v>1990</v>
      </c>
      <c r="E170" s="2620"/>
      <c r="F170" s="2620"/>
      <c r="G170" s="1812">
        <f>AVERAGE(Core14a, Core14b, PopCtr14, RdBox14, DisRd14)</f>
        <v>0</v>
      </c>
      <c r="H170" s="1900" t="s">
        <v>2653</v>
      </c>
      <c r="I170" s="1901" t="s">
        <v>2784</v>
      </c>
      <c r="J170" s="187"/>
    </row>
    <row r="171" spans="1:10" s="35" customFormat="1" ht="21" customHeight="1" thickBot="1">
      <c r="A171" s="2815"/>
      <c r="B171" s="2815"/>
      <c r="C171" s="2815"/>
      <c r="D171" s="2809"/>
      <c r="E171" s="2809"/>
      <c r="F171" s="2809"/>
      <c r="G171" s="2809"/>
      <c r="H171" s="2810"/>
      <c r="J171" s="187"/>
    </row>
    <row r="172" spans="1:10" s="35" customFormat="1" ht="30" customHeight="1" thickBot="1">
      <c r="A172" s="2811"/>
      <c r="B172" s="2812"/>
      <c r="C172" s="2805" t="s">
        <v>101</v>
      </c>
      <c r="D172" s="2806"/>
      <c r="E172" s="2807"/>
      <c r="F172" s="1690" t="s">
        <v>75</v>
      </c>
      <c r="G172" s="1813">
        <f>IF((AllWet=1),0,10*(AVERAGE(PermWpct14, AVERAGE(StrucA,StrucB,Produc,Lscape14,Wscape14,Stress14))))</f>
        <v>0</v>
      </c>
      <c r="H172" s="2363" t="s">
        <v>2654</v>
      </c>
      <c r="I172" s="2364"/>
      <c r="J172" s="187"/>
    </row>
    <row r="173" spans="1:10" s="35" customFormat="1" ht="30" customHeight="1" thickBot="1">
      <c r="A173" s="2811"/>
      <c r="B173" s="2812"/>
      <c r="C173" s="2805" t="s">
        <v>2420</v>
      </c>
      <c r="D173" s="2806"/>
      <c r="E173" s="2807"/>
      <c r="F173" s="1690" t="s">
        <v>2888</v>
      </c>
      <c r="G173" s="1814">
        <f>10*(IF((Rare14=1),1, IF((_IBA14=1),1, MAX(HerbUniq14,WoodyUniq14))))</f>
        <v>0</v>
      </c>
      <c r="H173" s="2363" t="s">
        <v>1991</v>
      </c>
      <c r="I173" s="2364"/>
      <c r="J173" s="187"/>
    </row>
    <row r="174" spans="1:10" s="35" customFormat="1" ht="21" customHeight="1" thickBot="1">
      <c r="A174" s="37"/>
      <c r="B174" s="37"/>
      <c r="C174" s="37"/>
      <c r="D174" s="37"/>
      <c r="E174" s="37"/>
      <c r="F174" s="37"/>
      <c r="G174" s="37"/>
      <c r="H174" s="1203"/>
      <c r="J174" s="187"/>
    </row>
    <row r="175" spans="1:10" s="35" customFormat="1" ht="21" customHeight="1" thickBot="1">
      <c r="A175" s="37"/>
      <c r="B175" s="37"/>
      <c r="C175" s="37"/>
      <c r="D175" s="37"/>
      <c r="E175" s="37"/>
      <c r="F175" s="37"/>
      <c r="G175" s="37"/>
      <c r="H175" s="2609" t="s">
        <v>806</v>
      </c>
      <c r="I175" s="2610"/>
      <c r="J175" s="187"/>
    </row>
    <row r="176" spans="1:10" s="35" customFormat="1" ht="27" customHeight="1">
      <c r="A176" s="37"/>
      <c r="B176" s="37"/>
      <c r="C176" s="37"/>
      <c r="D176" s="37"/>
      <c r="E176" s="37"/>
      <c r="F176" s="37"/>
      <c r="G176" s="37"/>
      <c r="H176" s="2582" t="s">
        <v>1003</v>
      </c>
      <c r="I176" s="2583"/>
      <c r="J176" s="187"/>
    </row>
    <row r="177" spans="1:10" s="35" customFormat="1" ht="27" customHeight="1">
      <c r="A177" s="37"/>
      <c r="B177" s="37"/>
      <c r="C177" s="37"/>
      <c r="D177" s="37"/>
      <c r="E177" s="37"/>
      <c r="F177" s="37"/>
      <c r="G177" s="37"/>
      <c r="H177" s="2367" t="s">
        <v>1004</v>
      </c>
      <c r="I177" s="2368"/>
      <c r="J177" s="187"/>
    </row>
    <row r="178" spans="1:10" s="35" customFormat="1" ht="27" customHeight="1">
      <c r="A178" s="37"/>
      <c r="B178" s="37"/>
      <c r="C178" s="37"/>
      <c r="D178" s="37"/>
      <c r="E178" s="37"/>
      <c r="F178" s="37"/>
      <c r="G178" s="37"/>
      <c r="H178" s="2367" t="s">
        <v>1005</v>
      </c>
      <c r="I178" s="2368"/>
      <c r="J178" s="187"/>
    </row>
    <row r="179" spans="1:10" s="35" customFormat="1" ht="27" customHeight="1">
      <c r="A179" s="37"/>
      <c r="B179" s="37"/>
      <c r="C179" s="37"/>
      <c r="D179" s="37"/>
      <c r="E179" s="37"/>
      <c r="F179" s="37"/>
      <c r="G179" s="37"/>
      <c r="H179" s="2367" t="s">
        <v>1221</v>
      </c>
      <c r="I179" s="2368"/>
      <c r="J179" s="187"/>
    </row>
    <row r="180" spans="1:10" s="35" customFormat="1" ht="27" customHeight="1">
      <c r="A180" s="37"/>
      <c r="B180" s="37"/>
      <c r="C180" s="37"/>
      <c r="D180" s="37"/>
      <c r="E180" s="37"/>
      <c r="F180" s="37"/>
      <c r="G180" s="37"/>
      <c r="H180" s="2367" t="s">
        <v>1006</v>
      </c>
      <c r="I180" s="2368"/>
      <c r="J180" s="187"/>
    </row>
    <row r="181" spans="1:10" s="35" customFormat="1" ht="27" customHeight="1">
      <c r="A181" s="37"/>
      <c r="B181" s="37"/>
      <c r="C181" s="37"/>
      <c r="D181" s="37"/>
      <c r="E181" s="37"/>
      <c r="F181" s="37"/>
      <c r="G181" s="37"/>
      <c r="H181" s="2367" t="s">
        <v>1007</v>
      </c>
      <c r="I181" s="2368"/>
      <c r="J181" s="187"/>
    </row>
    <row r="182" spans="1:10" s="35" customFormat="1" ht="27" customHeight="1">
      <c r="A182" s="37"/>
      <c r="B182" s="37"/>
      <c r="C182" s="37"/>
      <c r="D182" s="37"/>
      <c r="E182" s="37"/>
      <c r="F182" s="37"/>
      <c r="G182" s="37"/>
      <c r="H182" s="2367" t="s">
        <v>1008</v>
      </c>
      <c r="I182" s="2368"/>
      <c r="J182" s="187"/>
    </row>
    <row r="183" spans="1:10" s="35" customFormat="1" ht="27" customHeight="1">
      <c r="A183" s="37"/>
      <c r="B183" s="37"/>
      <c r="C183" s="37"/>
      <c r="D183" s="37"/>
      <c r="E183" s="37"/>
      <c r="F183" s="37"/>
      <c r="G183" s="37"/>
      <c r="H183" s="2367" t="s">
        <v>1847</v>
      </c>
      <c r="I183" s="2368"/>
      <c r="J183" s="187"/>
    </row>
    <row r="184" spans="1:10" s="35" customFormat="1" ht="42" customHeight="1">
      <c r="A184" s="37"/>
      <c r="B184" s="37"/>
      <c r="C184" s="37"/>
      <c r="D184" s="37"/>
      <c r="E184" s="37"/>
      <c r="F184" s="37"/>
      <c r="G184" s="37"/>
      <c r="H184" s="2367" t="s">
        <v>1899</v>
      </c>
      <c r="I184" s="2368"/>
      <c r="J184" s="187"/>
    </row>
    <row r="185" spans="1:10" s="35" customFormat="1" ht="27" customHeight="1">
      <c r="A185" s="37"/>
      <c r="B185" s="37"/>
      <c r="C185" s="37"/>
      <c r="D185" s="37"/>
      <c r="E185" s="37"/>
      <c r="F185" s="37"/>
      <c r="G185" s="37"/>
      <c r="H185" s="2367" t="s">
        <v>1220</v>
      </c>
      <c r="I185" s="2368"/>
      <c r="J185" s="187"/>
    </row>
    <row r="186" spans="1:10" s="35" customFormat="1" ht="27" customHeight="1">
      <c r="A186" s="37"/>
      <c r="B186" s="37"/>
      <c r="C186" s="37"/>
      <c r="D186" s="37"/>
      <c r="E186" s="37"/>
      <c r="F186" s="37"/>
      <c r="G186" s="37"/>
      <c r="H186" s="2367" t="s">
        <v>1219</v>
      </c>
      <c r="I186" s="2368"/>
      <c r="J186" s="187"/>
    </row>
    <row r="187" spans="1:10" s="35" customFormat="1" ht="27" customHeight="1">
      <c r="A187" s="37"/>
      <c r="B187" s="37"/>
      <c r="C187" s="37"/>
      <c r="D187" s="37"/>
      <c r="E187" s="37"/>
      <c r="F187" s="37"/>
      <c r="G187" s="37"/>
      <c r="H187" s="2367" t="s">
        <v>1009</v>
      </c>
      <c r="I187" s="2368"/>
      <c r="J187" s="187"/>
    </row>
    <row r="188" spans="1:10" s="35" customFormat="1" ht="27" customHeight="1">
      <c r="A188" s="37"/>
      <c r="B188" s="37"/>
      <c r="C188" s="37"/>
      <c r="D188" s="37"/>
      <c r="E188" s="37"/>
      <c r="F188" s="37"/>
      <c r="G188" s="37"/>
      <c r="H188" s="2367" t="s">
        <v>1010</v>
      </c>
      <c r="I188" s="2368"/>
      <c r="J188" s="187"/>
    </row>
    <row r="189" spans="1:10" s="35" customFormat="1" ht="27" customHeight="1">
      <c r="A189" s="37"/>
      <c r="B189" s="37"/>
      <c r="C189" s="37"/>
      <c r="D189" s="37"/>
      <c r="E189" s="37"/>
      <c r="F189" s="37"/>
      <c r="G189" s="37"/>
      <c r="H189" s="2367" t="s">
        <v>1011</v>
      </c>
      <c r="I189" s="2368"/>
      <c r="J189" s="187"/>
    </row>
    <row r="190" spans="1:10" s="35" customFormat="1" ht="27" customHeight="1">
      <c r="A190" s="37"/>
      <c r="B190" s="37"/>
      <c r="C190" s="37"/>
      <c r="D190" s="37"/>
      <c r="E190" s="37"/>
      <c r="F190" s="37"/>
      <c r="G190" s="37"/>
      <c r="H190" s="2367" t="s">
        <v>1012</v>
      </c>
      <c r="I190" s="2368"/>
      <c r="J190" s="187"/>
    </row>
    <row r="191" spans="1:10" s="35" customFormat="1" ht="27" customHeight="1">
      <c r="A191" s="37"/>
      <c r="B191" s="37"/>
      <c r="C191" s="37"/>
      <c r="D191" s="37"/>
      <c r="E191" s="37"/>
      <c r="F191" s="37"/>
      <c r="G191" s="37"/>
      <c r="H191" s="2371" t="s">
        <v>1664</v>
      </c>
      <c r="I191" s="2372"/>
      <c r="J191" s="187"/>
    </row>
    <row r="192" spans="1:10" s="35" customFormat="1" ht="27" customHeight="1">
      <c r="A192" s="37"/>
      <c r="B192" s="37"/>
      <c r="C192" s="37"/>
      <c r="D192" s="37"/>
      <c r="E192" s="37"/>
      <c r="F192" s="37"/>
      <c r="G192" s="37"/>
      <c r="H192" s="2367" t="s">
        <v>1013</v>
      </c>
      <c r="I192" s="2368"/>
      <c r="J192" s="187"/>
    </row>
    <row r="193" spans="1:10" s="35" customFormat="1" ht="27" customHeight="1">
      <c r="A193" s="37"/>
      <c r="B193" s="37"/>
      <c r="C193" s="37"/>
      <c r="D193" s="37"/>
      <c r="E193" s="37"/>
      <c r="F193" s="37"/>
      <c r="G193" s="37"/>
      <c r="H193" s="2367" t="s">
        <v>1014</v>
      </c>
      <c r="I193" s="2368"/>
      <c r="J193" s="187"/>
    </row>
    <row r="194" spans="1:10" s="35" customFormat="1" ht="27" customHeight="1">
      <c r="A194" s="37"/>
      <c r="B194" s="37"/>
      <c r="C194" s="37"/>
      <c r="D194" s="37"/>
      <c r="E194" s="37"/>
      <c r="F194" s="37"/>
      <c r="G194" s="37"/>
      <c r="H194" s="2371" t="s">
        <v>1665</v>
      </c>
      <c r="I194" s="2372"/>
      <c r="J194" s="187"/>
    </row>
    <row r="195" spans="1:10" s="35" customFormat="1" ht="27" customHeight="1">
      <c r="A195" s="37"/>
      <c r="B195" s="37"/>
      <c r="C195" s="37"/>
      <c r="D195" s="37"/>
      <c r="E195" s="37"/>
      <c r="F195" s="37"/>
      <c r="G195" s="37"/>
      <c r="H195" s="2367" t="s">
        <v>1015</v>
      </c>
      <c r="I195" s="2368"/>
      <c r="J195" s="187"/>
    </row>
    <row r="196" spans="1:10" s="35" customFormat="1" ht="42" customHeight="1">
      <c r="A196" s="37"/>
      <c r="B196" s="37"/>
      <c r="C196" s="37"/>
      <c r="D196" s="37"/>
      <c r="E196" s="37"/>
      <c r="F196" s="37"/>
      <c r="G196" s="37"/>
      <c r="H196" s="2367" t="s">
        <v>1848</v>
      </c>
      <c r="I196" s="2368"/>
      <c r="J196" s="187"/>
    </row>
    <row r="197" spans="1:10" s="35" customFormat="1" ht="27" customHeight="1">
      <c r="A197" s="37"/>
      <c r="B197" s="37"/>
      <c r="C197" s="37"/>
      <c r="D197" s="37"/>
      <c r="E197" s="37"/>
      <c r="F197" s="37"/>
      <c r="G197" s="37"/>
      <c r="H197" s="2367" t="s">
        <v>1016</v>
      </c>
      <c r="I197" s="2368"/>
      <c r="J197" s="187"/>
    </row>
    <row r="198" spans="1:10" s="35" customFormat="1" ht="27" customHeight="1">
      <c r="A198" s="37"/>
      <c r="B198" s="37"/>
      <c r="C198" s="37"/>
      <c r="D198" s="37"/>
      <c r="E198" s="37"/>
      <c r="F198" s="37"/>
      <c r="G198" s="37"/>
      <c r="H198" s="2367" t="s">
        <v>2172</v>
      </c>
      <c r="I198" s="2368"/>
      <c r="J198" s="187"/>
    </row>
    <row r="199" spans="1:10" s="35" customFormat="1" ht="42" customHeight="1">
      <c r="A199" s="37"/>
      <c r="B199" s="37"/>
      <c r="C199" s="37"/>
      <c r="D199" s="37"/>
      <c r="E199" s="37"/>
      <c r="F199" s="37"/>
      <c r="G199" s="37"/>
      <c r="H199" s="2367" t="s">
        <v>1222</v>
      </c>
      <c r="I199" s="2368"/>
      <c r="J199" s="187"/>
    </row>
    <row r="200" spans="1:10" s="35" customFormat="1" ht="27" customHeight="1">
      <c r="A200" s="37"/>
      <c r="B200" s="37"/>
      <c r="C200" s="37"/>
      <c r="D200" s="37"/>
      <c r="E200" s="37"/>
      <c r="F200" s="37"/>
      <c r="G200" s="37"/>
      <c r="H200" s="2367" t="s">
        <v>1017</v>
      </c>
      <c r="I200" s="2368"/>
      <c r="J200" s="187"/>
    </row>
    <row r="201" spans="1:10" s="35" customFormat="1" ht="42" customHeight="1">
      <c r="A201" s="37"/>
      <c r="B201" s="37"/>
      <c r="C201" s="37"/>
      <c r="D201" s="37"/>
      <c r="E201" s="37"/>
      <c r="F201" s="37"/>
      <c r="G201" s="37"/>
      <c r="H201" s="2367" t="s">
        <v>1906</v>
      </c>
      <c r="I201" s="2368"/>
      <c r="J201" s="187"/>
    </row>
    <row r="202" spans="1:10" s="35" customFormat="1" ht="27" customHeight="1">
      <c r="A202" s="37"/>
      <c r="B202" s="37"/>
      <c r="C202" s="37"/>
      <c r="D202" s="37"/>
      <c r="E202" s="37"/>
      <c r="F202" s="37"/>
      <c r="G202" s="37"/>
      <c r="H202" s="2367" t="s">
        <v>1018</v>
      </c>
      <c r="I202" s="2368"/>
      <c r="J202" s="187"/>
    </row>
    <row r="203" spans="1:10" s="35" customFormat="1" ht="27" customHeight="1">
      <c r="A203" s="37"/>
      <c r="B203" s="37"/>
      <c r="C203" s="37"/>
      <c r="D203" s="37"/>
      <c r="E203" s="37"/>
      <c r="F203" s="37"/>
      <c r="G203" s="37"/>
      <c r="H203" s="2367" t="s">
        <v>1019</v>
      </c>
      <c r="I203" s="2368"/>
      <c r="J203" s="187"/>
    </row>
    <row r="204" spans="1:10" s="35" customFormat="1" ht="27" customHeight="1">
      <c r="A204" s="37"/>
      <c r="B204" s="37"/>
      <c r="C204" s="37"/>
      <c r="D204" s="37"/>
      <c r="E204" s="37"/>
      <c r="F204" s="37"/>
      <c r="G204" s="37"/>
      <c r="H204" s="2367" t="s">
        <v>1020</v>
      </c>
      <c r="I204" s="2368"/>
      <c r="J204" s="187"/>
    </row>
    <row r="205" spans="1:10" s="35" customFormat="1" ht="42" customHeight="1">
      <c r="A205" s="37"/>
      <c r="B205" s="37"/>
      <c r="C205" s="37"/>
      <c r="D205" s="37"/>
      <c r="E205" s="37"/>
      <c r="F205" s="37"/>
      <c r="G205" s="37"/>
      <c r="H205" s="2371" t="s">
        <v>1904</v>
      </c>
      <c r="I205" s="2372"/>
      <c r="J205" s="187"/>
    </row>
    <row r="206" spans="1:10" s="35" customFormat="1" ht="27" customHeight="1">
      <c r="A206" s="37"/>
      <c r="B206" s="37"/>
      <c r="C206" s="37"/>
      <c r="D206" s="37"/>
      <c r="E206" s="37"/>
      <c r="F206" s="37"/>
      <c r="G206" s="37"/>
      <c r="H206" s="2367" t="s">
        <v>1021</v>
      </c>
      <c r="I206" s="2368"/>
      <c r="J206" s="187"/>
    </row>
    <row r="207" spans="1:10" s="35" customFormat="1" ht="27" customHeight="1">
      <c r="A207" s="37"/>
      <c r="B207" s="37"/>
      <c r="C207" s="37"/>
      <c r="D207" s="37"/>
      <c r="E207" s="37"/>
      <c r="F207" s="37"/>
      <c r="G207" s="37"/>
      <c r="H207" s="2367" t="s">
        <v>869</v>
      </c>
      <c r="I207" s="2368"/>
      <c r="J207" s="187"/>
    </row>
    <row r="208" spans="1:10" s="35" customFormat="1" ht="42" customHeight="1">
      <c r="A208" s="37"/>
      <c r="B208" s="37"/>
      <c r="C208" s="37"/>
      <c r="D208" s="37"/>
      <c r="E208" s="37"/>
      <c r="F208" s="37"/>
      <c r="G208" s="37"/>
      <c r="H208" s="2367" t="s">
        <v>1022</v>
      </c>
      <c r="I208" s="2368"/>
      <c r="J208" s="187"/>
    </row>
    <row r="209" spans="1:10" s="35" customFormat="1" ht="27" customHeight="1">
      <c r="A209" s="37"/>
      <c r="B209" s="37"/>
      <c r="C209" s="37"/>
      <c r="D209" s="37"/>
      <c r="E209" s="37"/>
      <c r="F209" s="37"/>
      <c r="G209" s="37"/>
      <c r="H209" s="2367" t="s">
        <v>1023</v>
      </c>
      <c r="I209" s="2368"/>
      <c r="J209" s="187"/>
    </row>
    <row r="210" spans="1:10" s="35" customFormat="1" ht="27" customHeight="1">
      <c r="A210" s="37"/>
      <c r="B210" s="37"/>
      <c r="C210" s="37"/>
      <c r="D210" s="37"/>
      <c r="E210" s="37"/>
      <c r="F210" s="37"/>
      <c r="G210" s="37"/>
      <c r="H210" s="2367" t="s">
        <v>1024</v>
      </c>
      <c r="I210" s="2368"/>
      <c r="J210" s="187"/>
    </row>
    <row r="211" spans="1:10" s="35" customFormat="1" ht="27" customHeight="1">
      <c r="A211" s="37"/>
      <c r="B211" s="37"/>
      <c r="C211" s="37"/>
      <c r="D211" s="37"/>
      <c r="E211" s="37"/>
      <c r="F211" s="37"/>
      <c r="G211" s="37"/>
      <c r="H211" s="2367" t="s">
        <v>1025</v>
      </c>
      <c r="I211" s="2368"/>
      <c r="J211" s="187"/>
    </row>
    <row r="212" spans="1:10" s="35" customFormat="1" ht="27" customHeight="1">
      <c r="A212" s="37"/>
      <c r="B212" s="37"/>
      <c r="C212" s="37"/>
      <c r="D212" s="37"/>
      <c r="E212" s="37"/>
      <c r="F212" s="37"/>
      <c r="G212" s="37"/>
      <c r="H212" s="2367" t="s">
        <v>1026</v>
      </c>
      <c r="I212" s="2368"/>
      <c r="J212" s="187"/>
    </row>
    <row r="213" spans="1:10" s="35" customFormat="1" ht="27" customHeight="1">
      <c r="A213" s="37"/>
      <c r="B213" s="37"/>
      <c r="C213" s="37"/>
      <c r="D213" s="37"/>
      <c r="E213" s="37"/>
      <c r="F213" s="37"/>
      <c r="G213" s="37"/>
      <c r="H213" s="2367" t="s">
        <v>1027</v>
      </c>
      <c r="I213" s="2368"/>
      <c r="J213" s="187"/>
    </row>
    <row r="214" spans="1:10" s="35" customFormat="1" ht="27" customHeight="1">
      <c r="A214" s="37"/>
      <c r="B214" s="37"/>
      <c r="C214" s="37"/>
      <c r="D214" s="37"/>
      <c r="E214" s="37"/>
      <c r="F214" s="37"/>
      <c r="G214" s="37"/>
      <c r="H214" s="2367" t="s">
        <v>1028</v>
      </c>
      <c r="I214" s="2368"/>
      <c r="J214" s="187"/>
    </row>
    <row r="215" spans="1:10" s="35" customFormat="1" ht="42" customHeight="1">
      <c r="A215" s="37"/>
      <c r="B215" s="37"/>
      <c r="C215" s="37"/>
      <c r="D215" s="37"/>
      <c r="E215" s="37"/>
      <c r="F215" s="37"/>
      <c r="G215" s="37"/>
      <c r="H215" s="2367" t="s">
        <v>1029</v>
      </c>
      <c r="I215" s="2368"/>
      <c r="J215" s="187"/>
    </row>
    <row r="216" spans="1:10" s="35" customFormat="1" ht="42" customHeight="1">
      <c r="A216" s="37"/>
      <c r="B216" s="37"/>
      <c r="C216" s="37"/>
      <c r="D216" s="37"/>
      <c r="E216" s="37"/>
      <c r="F216" s="37"/>
      <c r="G216" s="37"/>
      <c r="H216" s="2367" t="s">
        <v>1030</v>
      </c>
      <c r="I216" s="2368"/>
      <c r="J216" s="187"/>
    </row>
    <row r="217" spans="1:10" s="35" customFormat="1" ht="27" customHeight="1">
      <c r="A217" s="37"/>
      <c r="B217" s="37"/>
      <c r="C217" s="37"/>
      <c r="D217" s="37"/>
      <c r="E217" s="37"/>
      <c r="F217" s="37"/>
      <c r="G217" s="37"/>
      <c r="H217" s="2367" t="s">
        <v>1031</v>
      </c>
      <c r="I217" s="2368"/>
      <c r="J217" s="187"/>
    </row>
    <row r="218" spans="1:10" s="35" customFormat="1" ht="27" customHeight="1">
      <c r="A218" s="37"/>
      <c r="B218" s="37"/>
      <c r="C218" s="37"/>
      <c r="D218" s="37"/>
      <c r="E218" s="37"/>
      <c r="F218" s="37"/>
      <c r="G218" s="37"/>
      <c r="H218" s="2367" t="s">
        <v>1412</v>
      </c>
      <c r="I218" s="2368"/>
      <c r="J218" s="187"/>
    </row>
    <row r="219" spans="1:10" s="35" customFormat="1" ht="27" customHeight="1">
      <c r="A219" s="37"/>
      <c r="B219" s="37"/>
      <c r="C219" s="37"/>
      <c r="D219" s="37"/>
      <c r="E219" s="37"/>
      <c r="F219" s="37"/>
      <c r="G219" s="37"/>
      <c r="H219" s="2367" t="s">
        <v>1032</v>
      </c>
      <c r="I219" s="2368"/>
      <c r="J219" s="187"/>
    </row>
    <row r="220" spans="1:10" s="35" customFormat="1" ht="27" customHeight="1">
      <c r="A220" s="37"/>
      <c r="B220" s="37"/>
      <c r="C220" s="37"/>
      <c r="D220" s="37"/>
      <c r="E220" s="37"/>
      <c r="F220" s="37"/>
      <c r="G220" s="37"/>
      <c r="H220" s="2367" t="s">
        <v>1033</v>
      </c>
      <c r="I220" s="2368"/>
      <c r="J220" s="187"/>
    </row>
    <row r="221" spans="1:10" s="35" customFormat="1" ht="27" customHeight="1">
      <c r="A221" s="37"/>
      <c r="B221" s="37"/>
      <c r="C221" s="37"/>
      <c r="D221" s="37"/>
      <c r="E221" s="37"/>
      <c r="F221" s="37"/>
      <c r="G221" s="37"/>
      <c r="H221" s="2367" t="s">
        <v>1034</v>
      </c>
      <c r="I221" s="2368"/>
      <c r="J221" s="187"/>
    </row>
    <row r="222" spans="1:10" s="35" customFormat="1" ht="27" customHeight="1">
      <c r="A222" s="37"/>
      <c r="B222" s="37"/>
      <c r="C222" s="37"/>
      <c r="D222" s="37"/>
      <c r="E222" s="37"/>
      <c r="F222" s="37"/>
      <c r="G222" s="37"/>
      <c r="H222" s="2367" t="s">
        <v>1035</v>
      </c>
      <c r="I222" s="2368"/>
      <c r="J222" s="187"/>
    </row>
    <row r="223" spans="1:10" s="35" customFormat="1" ht="42" customHeight="1">
      <c r="A223" s="37"/>
      <c r="B223" s="37"/>
      <c r="C223" s="37"/>
      <c r="D223" s="37"/>
      <c r="E223" s="37"/>
      <c r="F223" s="37"/>
      <c r="G223" s="37"/>
      <c r="H223" s="2367" t="s">
        <v>1905</v>
      </c>
      <c r="I223" s="2368"/>
      <c r="J223" s="187"/>
    </row>
    <row r="224" spans="1:10" s="35" customFormat="1" ht="27" customHeight="1">
      <c r="A224" s="37"/>
      <c r="B224" s="37"/>
      <c r="C224" s="37"/>
      <c r="D224" s="37"/>
      <c r="E224" s="37"/>
      <c r="F224" s="37"/>
      <c r="G224" s="37"/>
      <c r="H224" s="2367" t="s">
        <v>1036</v>
      </c>
      <c r="I224" s="2368"/>
      <c r="J224" s="187"/>
    </row>
    <row r="225" spans="1:10" s="35" customFormat="1" ht="42" customHeight="1">
      <c r="A225" s="37"/>
      <c r="B225" s="37"/>
      <c r="C225" s="37"/>
      <c r="D225" s="37"/>
      <c r="E225" s="37"/>
      <c r="F225" s="37"/>
      <c r="G225" s="37"/>
      <c r="H225" s="2367" t="s">
        <v>1037</v>
      </c>
      <c r="I225" s="2368"/>
      <c r="J225" s="187"/>
    </row>
    <row r="226" spans="1:10" s="35" customFormat="1" ht="27" customHeight="1">
      <c r="A226" s="37"/>
      <c r="B226" s="37"/>
      <c r="C226" s="37"/>
      <c r="D226" s="37"/>
      <c r="E226" s="37"/>
      <c r="F226" s="37"/>
      <c r="G226" s="37"/>
      <c r="H226" s="2367" t="s">
        <v>1691</v>
      </c>
      <c r="I226" s="2368"/>
      <c r="J226" s="187"/>
    </row>
    <row r="227" spans="1:10" s="35" customFormat="1" ht="27" customHeight="1">
      <c r="A227" s="37"/>
      <c r="B227" s="37"/>
      <c r="C227" s="37"/>
      <c r="D227" s="37"/>
      <c r="E227" s="37"/>
      <c r="F227" s="37"/>
      <c r="G227" s="37"/>
      <c r="H227" s="2367" t="s">
        <v>1038</v>
      </c>
      <c r="I227" s="2368"/>
      <c r="J227" s="187"/>
    </row>
    <row r="228" spans="1:10" s="35" customFormat="1" ht="27" customHeight="1">
      <c r="A228" s="37"/>
      <c r="B228" s="37"/>
      <c r="C228" s="37"/>
      <c r="D228" s="37"/>
      <c r="E228" s="37"/>
      <c r="F228" s="37"/>
      <c r="G228" s="37"/>
      <c r="H228" s="2367" t="s">
        <v>1413</v>
      </c>
      <c r="I228" s="2368"/>
      <c r="J228" s="187"/>
    </row>
    <row r="229" spans="1:10" s="35" customFormat="1" ht="27" customHeight="1">
      <c r="A229" s="37"/>
      <c r="B229" s="37"/>
      <c r="C229" s="37"/>
      <c r="D229" s="37"/>
      <c r="E229" s="37"/>
      <c r="F229" s="37"/>
      <c r="G229" s="37"/>
      <c r="H229" s="2367" t="s">
        <v>1039</v>
      </c>
      <c r="I229" s="2368"/>
      <c r="J229" s="187"/>
    </row>
    <row r="230" spans="1:10" s="35" customFormat="1" ht="27" customHeight="1">
      <c r="A230" s="37"/>
      <c r="B230" s="37"/>
      <c r="C230" s="37"/>
      <c r="D230" s="37"/>
      <c r="E230" s="37"/>
      <c r="F230" s="37"/>
      <c r="G230" s="37"/>
      <c r="H230" s="2367" t="s">
        <v>1040</v>
      </c>
      <c r="I230" s="2368"/>
      <c r="J230" s="187"/>
    </row>
    <row r="231" spans="1:10" s="35" customFormat="1" ht="27" customHeight="1">
      <c r="A231" s="37"/>
      <c r="B231" s="37"/>
      <c r="C231" s="37"/>
      <c r="D231" s="37"/>
      <c r="E231" s="37"/>
      <c r="F231" s="37"/>
      <c r="G231" s="37"/>
      <c r="H231" s="2367" t="s">
        <v>1041</v>
      </c>
      <c r="I231" s="2368"/>
      <c r="J231" s="187"/>
    </row>
    <row r="232" spans="1:10" s="35" customFormat="1" ht="27" customHeight="1">
      <c r="A232" s="37"/>
      <c r="B232" s="37"/>
      <c r="C232" s="37"/>
      <c r="D232" s="37"/>
      <c r="E232" s="37"/>
      <c r="F232" s="37"/>
      <c r="G232" s="37"/>
      <c r="H232" s="2367" t="s">
        <v>1042</v>
      </c>
      <c r="I232" s="2368"/>
      <c r="J232" s="187"/>
    </row>
    <row r="233" spans="1:10" s="35" customFormat="1" ht="27" customHeight="1">
      <c r="A233" s="37"/>
      <c r="B233" s="37"/>
      <c r="C233" s="37"/>
      <c r="D233" s="37"/>
      <c r="E233" s="37"/>
      <c r="F233" s="37"/>
      <c r="G233" s="37"/>
      <c r="H233" s="2367" t="s">
        <v>1043</v>
      </c>
      <c r="I233" s="2368"/>
      <c r="J233" s="187"/>
    </row>
    <row r="234" spans="1:10" s="35" customFormat="1" ht="27" customHeight="1">
      <c r="A234" s="37"/>
      <c r="B234" s="37"/>
      <c r="C234" s="37"/>
      <c r="D234" s="37"/>
      <c r="E234" s="37"/>
      <c r="F234" s="37"/>
      <c r="G234" s="37"/>
      <c r="H234" s="2371" t="s">
        <v>1666</v>
      </c>
      <c r="I234" s="2372"/>
      <c r="J234" s="187"/>
    </row>
    <row r="235" spans="1:10" s="35" customFormat="1" ht="27" customHeight="1">
      <c r="A235" s="37"/>
      <c r="B235" s="37"/>
      <c r="C235" s="37"/>
      <c r="D235" s="37"/>
      <c r="E235" s="37"/>
      <c r="F235" s="37"/>
      <c r="G235" s="37"/>
      <c r="H235" s="2367" t="s">
        <v>1044</v>
      </c>
      <c r="I235" s="2368"/>
      <c r="J235" s="187"/>
    </row>
    <row r="236" spans="1:10" s="35" customFormat="1" ht="27" customHeight="1">
      <c r="A236" s="37"/>
      <c r="B236" s="37"/>
      <c r="C236" s="37"/>
      <c r="D236" s="37"/>
      <c r="E236" s="37"/>
      <c r="F236" s="37"/>
      <c r="G236" s="37"/>
      <c r="H236" s="2553" t="s">
        <v>1634</v>
      </c>
      <c r="I236" s="2554"/>
      <c r="J236" s="187"/>
    </row>
    <row r="237" spans="1:10" s="35" customFormat="1" ht="27" customHeight="1" thickBot="1">
      <c r="A237" s="37"/>
      <c r="B237" s="37"/>
      <c r="C237" s="37"/>
      <c r="D237" s="37"/>
      <c r="E237" s="37"/>
      <c r="F237" s="37"/>
      <c r="G237" s="37"/>
      <c r="H237" s="2369" t="s">
        <v>1045</v>
      </c>
      <c r="I237" s="2370"/>
      <c r="J237" s="187"/>
    </row>
    <row r="238" spans="1:10" s="35" customFormat="1">
      <c r="A238" s="37"/>
      <c r="B238" s="37"/>
      <c r="C238" s="37"/>
      <c r="D238" s="37"/>
      <c r="E238" s="37"/>
      <c r="F238" s="37"/>
      <c r="G238" s="37"/>
      <c r="H238" s="1421"/>
      <c r="J238" s="187"/>
    </row>
    <row r="239" spans="1:10" s="35" customFormat="1">
      <c r="A239" s="114"/>
      <c r="B239" s="37"/>
      <c r="C239" s="38"/>
      <c r="D239" s="893"/>
      <c r="E239" s="893"/>
      <c r="F239" s="893"/>
      <c r="G239" s="894"/>
      <c r="H239" s="1421"/>
      <c r="J239" s="187"/>
    </row>
    <row r="240" spans="1:10" s="35" customFormat="1">
      <c r="A240" s="114"/>
      <c r="B240" s="37"/>
      <c r="C240" s="38"/>
      <c r="D240" s="893"/>
      <c r="E240" s="893"/>
      <c r="F240" s="893"/>
      <c r="G240" s="894"/>
      <c r="H240" s="1421"/>
      <c r="J240" s="187"/>
    </row>
    <row r="241" spans="1:10" s="35" customFormat="1">
      <c r="A241" s="114"/>
      <c r="B241" s="37"/>
      <c r="C241" s="38"/>
      <c r="D241" s="893"/>
      <c r="E241" s="893"/>
      <c r="F241" s="893"/>
      <c r="G241" s="894"/>
      <c r="H241" s="1421"/>
      <c r="J241" s="187"/>
    </row>
    <row r="242" spans="1:10" s="35" customFormat="1">
      <c r="A242" s="114"/>
      <c r="B242" s="37"/>
      <c r="C242" s="38"/>
      <c r="D242" s="893"/>
      <c r="E242" s="893"/>
      <c r="F242" s="893"/>
      <c r="G242" s="894"/>
      <c r="H242" s="1421"/>
      <c r="J242" s="187"/>
    </row>
    <row r="243" spans="1:10" s="35" customFormat="1">
      <c r="A243" s="114"/>
      <c r="B243" s="37"/>
      <c r="C243" s="38"/>
      <c r="D243" s="893"/>
      <c r="E243" s="893"/>
      <c r="F243" s="893"/>
      <c r="G243" s="894"/>
      <c r="H243" s="1421"/>
      <c r="J243" s="187"/>
    </row>
    <row r="244" spans="1:10" s="35" customFormat="1">
      <c r="A244" s="114"/>
      <c r="B244" s="37"/>
      <c r="C244" s="38"/>
      <c r="D244" s="893"/>
      <c r="E244" s="893"/>
      <c r="F244" s="893"/>
      <c r="G244" s="894"/>
      <c r="H244" s="1421"/>
      <c r="J244" s="187"/>
    </row>
    <row r="245" spans="1:10" s="35" customFormat="1">
      <c r="A245" s="114"/>
      <c r="B245" s="37"/>
      <c r="C245" s="38"/>
      <c r="D245" s="893"/>
      <c r="E245" s="893"/>
      <c r="F245" s="893"/>
      <c r="G245" s="894"/>
      <c r="H245" s="1421"/>
      <c r="J245" s="187"/>
    </row>
    <row r="246" spans="1:10" s="35" customFormat="1">
      <c r="A246" s="114"/>
      <c r="B246" s="37"/>
      <c r="C246" s="38"/>
      <c r="D246" s="893"/>
      <c r="E246" s="893"/>
      <c r="F246" s="893"/>
      <c r="G246" s="894"/>
      <c r="H246" s="1421"/>
      <c r="J246" s="187"/>
    </row>
    <row r="247" spans="1:10" s="35" customFormat="1">
      <c r="A247" s="114"/>
      <c r="B247" s="37"/>
      <c r="C247" s="38"/>
      <c r="D247" s="893"/>
      <c r="E247" s="893"/>
      <c r="F247" s="893"/>
      <c r="G247" s="894"/>
      <c r="H247" s="1421"/>
      <c r="J247" s="187"/>
    </row>
    <row r="248" spans="1:10" s="35" customFormat="1">
      <c r="A248" s="114"/>
      <c r="B248" s="37"/>
      <c r="C248" s="38"/>
      <c r="D248" s="893"/>
      <c r="E248" s="893"/>
      <c r="F248" s="893"/>
      <c r="G248" s="894"/>
      <c r="H248" s="1421"/>
      <c r="J248" s="187"/>
    </row>
    <row r="249" spans="1:10" s="35" customFormat="1">
      <c r="A249" s="114"/>
      <c r="B249" s="37"/>
      <c r="C249" s="38"/>
      <c r="D249" s="893"/>
      <c r="E249" s="893"/>
      <c r="F249" s="893"/>
      <c r="G249" s="894"/>
      <c r="H249" s="1421"/>
      <c r="J249" s="187"/>
    </row>
    <row r="250" spans="1:10" s="35" customFormat="1">
      <c r="A250" s="114"/>
      <c r="B250" s="37"/>
      <c r="C250" s="38"/>
      <c r="D250" s="893"/>
      <c r="E250" s="893"/>
      <c r="F250" s="893"/>
      <c r="G250" s="894"/>
      <c r="H250" s="1421"/>
      <c r="J250" s="187"/>
    </row>
    <row r="251" spans="1:10" s="35" customFormat="1">
      <c r="A251" s="114"/>
      <c r="B251" s="37"/>
      <c r="C251" s="38"/>
      <c r="D251" s="893"/>
      <c r="E251" s="893"/>
      <c r="F251" s="893"/>
      <c r="G251" s="894"/>
      <c r="H251" s="1421"/>
      <c r="J251" s="187"/>
    </row>
    <row r="252" spans="1:10" s="35" customFormat="1">
      <c r="A252" s="114"/>
      <c r="B252" s="37"/>
      <c r="C252" s="38"/>
      <c r="D252" s="893"/>
      <c r="E252" s="893"/>
      <c r="F252" s="893"/>
      <c r="G252" s="894"/>
      <c r="H252" s="1421"/>
      <c r="J252" s="187"/>
    </row>
    <row r="253" spans="1:10" s="35" customFormat="1">
      <c r="A253" s="114"/>
      <c r="B253" s="37"/>
      <c r="C253" s="38"/>
      <c r="D253" s="893"/>
      <c r="E253" s="893"/>
      <c r="F253" s="893"/>
      <c r="G253" s="894"/>
      <c r="H253" s="1421"/>
      <c r="J253" s="187"/>
    </row>
    <row r="254" spans="1:10" s="35" customFormat="1">
      <c r="A254" s="114"/>
      <c r="B254" s="37"/>
      <c r="C254" s="38"/>
      <c r="D254" s="893"/>
      <c r="E254" s="893"/>
      <c r="F254" s="893"/>
      <c r="G254" s="894"/>
      <c r="H254" s="1421"/>
      <c r="J254" s="187"/>
    </row>
    <row r="255" spans="1:10" s="35" customFormat="1">
      <c r="A255" s="114"/>
      <c r="B255" s="37"/>
      <c r="C255" s="38"/>
      <c r="D255" s="893"/>
      <c r="E255" s="893"/>
      <c r="F255" s="893"/>
      <c r="G255" s="894"/>
      <c r="H255" s="1421"/>
      <c r="J255" s="187"/>
    </row>
    <row r="256" spans="1:10" s="35" customFormat="1">
      <c r="A256" s="114"/>
      <c r="B256" s="37"/>
      <c r="C256" s="38"/>
      <c r="D256" s="893"/>
      <c r="E256" s="893"/>
      <c r="F256" s="893"/>
      <c r="G256" s="894"/>
      <c r="H256" s="1421"/>
      <c r="J256" s="187"/>
    </row>
    <row r="257" spans="1:10" s="35" customFormat="1">
      <c r="A257" s="114"/>
      <c r="B257" s="37"/>
      <c r="C257" s="38"/>
      <c r="D257" s="893"/>
      <c r="E257" s="893"/>
      <c r="F257" s="893"/>
      <c r="G257" s="894"/>
      <c r="H257" s="1421"/>
      <c r="J257" s="187"/>
    </row>
    <row r="258" spans="1:10" s="35" customFormat="1">
      <c r="A258" s="114"/>
      <c r="B258" s="37"/>
      <c r="C258" s="38"/>
      <c r="D258" s="893"/>
      <c r="E258" s="893"/>
      <c r="F258" s="893"/>
      <c r="G258" s="894"/>
      <c r="H258" s="1421"/>
      <c r="J258" s="187"/>
    </row>
    <row r="259" spans="1:10" s="35" customFormat="1">
      <c r="A259" s="114"/>
      <c r="B259" s="37"/>
      <c r="C259" s="38"/>
      <c r="D259" s="893"/>
      <c r="E259" s="893"/>
      <c r="F259" s="893"/>
      <c r="G259" s="894"/>
      <c r="H259" s="1421"/>
      <c r="J259" s="187"/>
    </row>
    <row r="260" spans="1:10" s="35" customFormat="1">
      <c r="A260" s="114"/>
      <c r="B260" s="37"/>
      <c r="C260" s="38"/>
      <c r="D260" s="893"/>
      <c r="E260" s="893"/>
      <c r="F260" s="893"/>
      <c r="G260" s="894"/>
      <c r="H260" s="1421"/>
      <c r="J260" s="187"/>
    </row>
    <row r="261" spans="1:10" s="35" customFormat="1">
      <c r="A261" s="114"/>
      <c r="B261" s="37"/>
      <c r="C261" s="38"/>
      <c r="D261" s="893"/>
      <c r="E261" s="893"/>
      <c r="F261" s="893"/>
      <c r="G261" s="894"/>
      <c r="H261" s="1421"/>
      <c r="J261" s="187"/>
    </row>
    <row r="262" spans="1:10" s="35" customFormat="1">
      <c r="A262" s="114"/>
      <c r="B262" s="37"/>
      <c r="C262" s="38"/>
      <c r="D262" s="893"/>
      <c r="E262" s="893"/>
      <c r="F262" s="893"/>
      <c r="G262" s="894"/>
      <c r="H262" s="1421"/>
      <c r="J262" s="187"/>
    </row>
    <row r="263" spans="1:10" s="35" customFormat="1">
      <c r="A263" s="114"/>
      <c r="B263" s="37"/>
      <c r="C263" s="38"/>
      <c r="D263" s="893"/>
      <c r="E263" s="893"/>
      <c r="F263" s="893"/>
      <c r="G263" s="894"/>
      <c r="H263" s="1421"/>
      <c r="J263" s="187"/>
    </row>
    <row r="264" spans="1:10" s="35" customFormat="1">
      <c r="A264" s="114"/>
      <c r="B264" s="37"/>
      <c r="C264" s="38"/>
      <c r="D264" s="893"/>
      <c r="E264" s="893"/>
      <c r="F264" s="893"/>
      <c r="G264" s="894"/>
      <c r="H264" s="1421"/>
      <c r="J264" s="187"/>
    </row>
    <row r="265" spans="1:10" s="35" customFormat="1">
      <c r="A265" s="114"/>
      <c r="B265" s="37"/>
      <c r="C265" s="38"/>
      <c r="D265" s="893"/>
      <c r="E265" s="893"/>
      <c r="F265" s="893"/>
      <c r="G265" s="894"/>
      <c r="H265" s="1421"/>
      <c r="J265" s="187"/>
    </row>
    <row r="266" spans="1:10" s="35" customFormat="1">
      <c r="A266" s="114"/>
      <c r="B266" s="37"/>
      <c r="C266" s="38"/>
      <c r="D266" s="893"/>
      <c r="E266" s="893"/>
      <c r="F266" s="893"/>
      <c r="G266" s="894"/>
      <c r="H266" s="1421"/>
      <c r="J266" s="187"/>
    </row>
    <row r="267" spans="1:10" s="35" customFormat="1">
      <c r="A267" s="114"/>
      <c r="B267" s="37"/>
      <c r="C267" s="38"/>
      <c r="D267" s="893"/>
      <c r="E267" s="893"/>
      <c r="F267" s="893"/>
      <c r="G267" s="894"/>
      <c r="H267" s="1421"/>
      <c r="J267" s="187"/>
    </row>
    <row r="268" spans="1:10" s="35" customFormat="1">
      <c r="A268" s="114"/>
      <c r="B268" s="37"/>
      <c r="C268" s="38"/>
      <c r="D268" s="893"/>
      <c r="E268" s="893"/>
      <c r="F268" s="893"/>
      <c r="G268" s="894"/>
      <c r="H268" s="1421"/>
      <c r="J268" s="187"/>
    </row>
    <row r="269" spans="1:10" s="35" customFormat="1">
      <c r="A269" s="114"/>
      <c r="B269" s="37"/>
      <c r="C269" s="38"/>
      <c r="D269" s="893"/>
      <c r="E269" s="893"/>
      <c r="F269" s="893"/>
      <c r="G269" s="894"/>
      <c r="H269" s="1421"/>
      <c r="J269" s="187"/>
    </row>
    <row r="270" spans="1:10" s="35" customFormat="1">
      <c r="A270" s="114"/>
      <c r="B270" s="37"/>
      <c r="C270" s="38"/>
      <c r="D270" s="893"/>
      <c r="E270" s="893"/>
      <c r="F270" s="893"/>
      <c r="G270" s="894"/>
      <c r="H270" s="1421"/>
      <c r="J270" s="187"/>
    </row>
    <row r="271" spans="1:10" s="35" customFormat="1">
      <c r="A271" s="114"/>
      <c r="B271" s="37"/>
      <c r="C271" s="38"/>
      <c r="D271" s="893"/>
      <c r="E271" s="893"/>
      <c r="F271" s="893"/>
      <c r="G271" s="894"/>
      <c r="H271" s="1421"/>
      <c r="J271" s="187"/>
    </row>
    <row r="272" spans="1:10" s="35" customFormat="1">
      <c r="A272" s="114"/>
      <c r="B272" s="37"/>
      <c r="C272" s="38"/>
      <c r="D272" s="893"/>
      <c r="E272" s="893"/>
      <c r="F272" s="893"/>
      <c r="G272" s="894"/>
      <c r="H272" s="1421"/>
      <c r="J272" s="187"/>
    </row>
    <row r="273" spans="1:10" s="35" customFormat="1">
      <c r="A273" s="114"/>
      <c r="B273" s="37"/>
      <c r="C273" s="38"/>
      <c r="D273" s="893"/>
      <c r="E273" s="893"/>
      <c r="F273" s="893"/>
      <c r="G273" s="894"/>
      <c r="H273" s="1421"/>
      <c r="J273" s="187"/>
    </row>
    <row r="274" spans="1:10" s="35" customFormat="1">
      <c r="A274" s="114"/>
      <c r="B274" s="37"/>
      <c r="C274" s="38"/>
      <c r="D274" s="893"/>
      <c r="E274" s="893"/>
      <c r="F274" s="893"/>
      <c r="G274" s="894"/>
      <c r="H274" s="1421"/>
      <c r="J274" s="187"/>
    </row>
    <row r="275" spans="1:10" s="35" customFormat="1">
      <c r="A275" s="114"/>
      <c r="B275" s="37"/>
      <c r="C275" s="38"/>
      <c r="D275" s="893"/>
      <c r="E275" s="893"/>
      <c r="F275" s="893"/>
      <c r="G275" s="894"/>
      <c r="H275" s="1421"/>
      <c r="J275" s="187"/>
    </row>
    <row r="276" spans="1:10" s="35" customFormat="1">
      <c r="A276" s="114"/>
      <c r="B276" s="37"/>
      <c r="C276" s="38"/>
      <c r="D276" s="893"/>
      <c r="E276" s="893"/>
      <c r="F276" s="893"/>
      <c r="G276" s="894"/>
      <c r="H276" s="1421"/>
      <c r="J276" s="187"/>
    </row>
    <row r="277" spans="1:10" s="35" customFormat="1">
      <c r="A277" s="114"/>
      <c r="B277" s="37"/>
      <c r="C277" s="38"/>
      <c r="D277" s="893"/>
      <c r="E277" s="893"/>
      <c r="F277" s="893"/>
      <c r="G277" s="894"/>
      <c r="H277" s="1421"/>
      <c r="J277" s="187"/>
    </row>
    <row r="278" spans="1:10" s="35" customFormat="1">
      <c r="A278" s="114"/>
      <c r="B278" s="37"/>
      <c r="C278" s="38"/>
      <c r="D278" s="893"/>
      <c r="E278" s="893"/>
      <c r="F278" s="893"/>
      <c r="G278" s="894"/>
      <c r="H278" s="1421"/>
      <c r="J278" s="187"/>
    </row>
    <row r="279" spans="1:10" s="35" customFormat="1">
      <c r="A279" s="114"/>
      <c r="B279" s="37"/>
      <c r="C279" s="38"/>
      <c r="D279" s="893"/>
      <c r="E279" s="893"/>
      <c r="F279" s="893"/>
      <c r="G279" s="894"/>
      <c r="H279" s="1421"/>
      <c r="J279" s="187"/>
    </row>
    <row r="280" spans="1:10" s="35" customFormat="1">
      <c r="A280" s="114"/>
      <c r="B280" s="37"/>
      <c r="C280" s="38"/>
      <c r="D280" s="893"/>
      <c r="E280" s="893"/>
      <c r="F280" s="893"/>
      <c r="G280" s="894"/>
      <c r="H280" s="1421"/>
      <c r="J280" s="187"/>
    </row>
    <row r="281" spans="1:10" s="35" customFormat="1">
      <c r="A281" s="114"/>
      <c r="B281" s="37"/>
      <c r="C281" s="38"/>
      <c r="D281" s="893"/>
      <c r="E281" s="893"/>
      <c r="F281" s="893"/>
      <c r="G281" s="894"/>
      <c r="H281" s="1421"/>
      <c r="J281" s="187"/>
    </row>
    <row r="282" spans="1:10" s="35" customFormat="1">
      <c r="A282" s="114"/>
      <c r="B282" s="37"/>
      <c r="C282" s="38"/>
      <c r="D282" s="893"/>
      <c r="E282" s="893"/>
      <c r="F282" s="893"/>
      <c r="G282" s="894"/>
      <c r="H282" s="1421"/>
      <c r="J282" s="187"/>
    </row>
    <row r="283" spans="1:10" s="35" customFormat="1">
      <c r="A283" s="114"/>
      <c r="B283" s="37"/>
      <c r="C283" s="38"/>
      <c r="D283" s="893"/>
      <c r="E283" s="893"/>
      <c r="F283" s="893"/>
      <c r="G283" s="894"/>
      <c r="H283" s="1421"/>
      <c r="J283" s="187"/>
    </row>
    <row r="284" spans="1:10" s="35" customFormat="1">
      <c r="A284" s="114"/>
      <c r="B284" s="37"/>
      <c r="C284" s="38"/>
      <c r="D284" s="893"/>
      <c r="E284" s="893"/>
      <c r="F284" s="893"/>
      <c r="G284" s="894"/>
      <c r="H284" s="1421"/>
      <c r="J284" s="187"/>
    </row>
    <row r="285" spans="1:10" s="35" customFormat="1">
      <c r="A285" s="114"/>
      <c r="B285" s="37"/>
      <c r="C285" s="38"/>
      <c r="D285" s="893"/>
      <c r="E285" s="893"/>
      <c r="F285" s="893"/>
      <c r="G285" s="894"/>
      <c r="H285" s="1421"/>
      <c r="J285" s="187"/>
    </row>
    <row r="286" spans="1:10" s="35" customFormat="1">
      <c r="A286" s="114"/>
      <c r="B286" s="37"/>
      <c r="C286" s="38"/>
      <c r="D286" s="893"/>
      <c r="E286" s="893"/>
      <c r="F286" s="893"/>
      <c r="G286" s="894"/>
      <c r="H286" s="1421"/>
      <c r="J286" s="187"/>
    </row>
    <row r="287" spans="1:10" s="35" customFormat="1">
      <c r="A287" s="114"/>
      <c r="B287" s="37"/>
      <c r="C287" s="38"/>
      <c r="D287" s="893"/>
      <c r="E287" s="893"/>
      <c r="F287" s="893"/>
      <c r="G287" s="894"/>
      <c r="H287" s="1421"/>
      <c r="J287" s="187"/>
    </row>
    <row r="288" spans="1:10" s="35" customFormat="1">
      <c r="A288" s="114"/>
      <c r="B288" s="37"/>
      <c r="C288" s="38"/>
      <c r="D288" s="893"/>
      <c r="E288" s="893"/>
      <c r="F288" s="893"/>
      <c r="G288" s="894"/>
      <c r="H288" s="1421"/>
      <c r="J288" s="187"/>
    </row>
    <row r="289" spans="1:10" s="35" customFormat="1">
      <c r="A289" s="114"/>
      <c r="B289" s="37"/>
      <c r="C289" s="38"/>
      <c r="D289" s="893"/>
      <c r="E289" s="893"/>
      <c r="F289" s="893"/>
      <c r="G289" s="894"/>
      <c r="H289" s="1421"/>
      <c r="J289" s="187"/>
    </row>
    <row r="290" spans="1:10" s="35" customFormat="1">
      <c r="A290" s="114"/>
      <c r="B290" s="37"/>
      <c r="C290" s="38"/>
      <c r="D290" s="893"/>
      <c r="E290" s="893"/>
      <c r="F290" s="893"/>
      <c r="G290" s="894"/>
      <c r="H290" s="1421"/>
      <c r="J290" s="187"/>
    </row>
    <row r="291" spans="1:10" s="35" customFormat="1">
      <c r="A291" s="114"/>
      <c r="B291" s="37"/>
      <c r="C291" s="38"/>
      <c r="D291" s="893"/>
      <c r="E291" s="893"/>
      <c r="F291" s="893"/>
      <c r="G291" s="894"/>
      <c r="H291" s="1421"/>
      <c r="J291" s="187"/>
    </row>
    <row r="292" spans="1:10" s="35" customFormat="1">
      <c r="A292" s="114"/>
      <c r="B292" s="37"/>
      <c r="C292" s="38"/>
      <c r="D292" s="893"/>
      <c r="E292" s="893"/>
      <c r="F292" s="893"/>
      <c r="G292" s="894"/>
      <c r="H292" s="1421"/>
      <c r="J292" s="187"/>
    </row>
    <row r="293" spans="1:10" s="35" customFormat="1">
      <c r="A293" s="114"/>
      <c r="B293" s="37"/>
      <c r="C293" s="38"/>
      <c r="D293" s="893"/>
      <c r="E293" s="893"/>
      <c r="F293" s="893"/>
      <c r="G293" s="894"/>
      <c r="H293" s="1421"/>
      <c r="J293" s="187"/>
    </row>
    <row r="294" spans="1:10" s="35" customFormat="1">
      <c r="A294" s="114"/>
      <c r="B294" s="37"/>
      <c r="C294" s="38"/>
      <c r="D294" s="893"/>
      <c r="E294" s="893"/>
      <c r="F294" s="893"/>
      <c r="G294" s="894"/>
      <c r="H294" s="1421"/>
      <c r="J294" s="187"/>
    </row>
    <row r="295" spans="1:10" s="35" customFormat="1">
      <c r="A295" s="114"/>
      <c r="B295" s="37"/>
      <c r="C295" s="38"/>
      <c r="D295" s="893"/>
      <c r="E295" s="893"/>
      <c r="F295" s="893"/>
      <c r="G295" s="894"/>
      <c r="H295" s="1421"/>
      <c r="J295" s="187"/>
    </row>
    <row r="296" spans="1:10" s="35" customFormat="1">
      <c r="A296" s="114"/>
      <c r="B296" s="37"/>
      <c r="C296" s="38"/>
      <c r="D296" s="893"/>
      <c r="E296" s="893"/>
      <c r="F296" s="893"/>
      <c r="G296" s="894"/>
      <c r="H296" s="1421"/>
      <c r="J296" s="187"/>
    </row>
    <row r="297" spans="1:10" s="35" customFormat="1">
      <c r="A297" s="114"/>
      <c r="B297" s="37"/>
      <c r="C297" s="38"/>
      <c r="D297" s="893"/>
      <c r="E297" s="893"/>
      <c r="F297" s="893"/>
      <c r="G297" s="894"/>
      <c r="H297" s="1421"/>
      <c r="J297" s="187"/>
    </row>
    <row r="298" spans="1:10" s="35" customFormat="1">
      <c r="A298" s="114"/>
      <c r="B298" s="37"/>
      <c r="C298" s="38"/>
      <c r="D298" s="893"/>
      <c r="E298" s="893"/>
      <c r="F298" s="893"/>
      <c r="G298" s="894"/>
      <c r="H298" s="39"/>
      <c r="J298" s="187"/>
    </row>
    <row r="299" spans="1:10" s="35" customFormat="1">
      <c r="A299" s="114"/>
      <c r="B299" s="37"/>
      <c r="C299" s="38"/>
      <c r="D299" s="893"/>
      <c r="E299" s="893"/>
      <c r="F299" s="893"/>
      <c r="G299" s="894"/>
      <c r="H299" s="39"/>
      <c r="J299" s="187"/>
    </row>
    <row r="300" spans="1:10" s="35" customFormat="1">
      <c r="A300" s="114"/>
      <c r="B300" s="37"/>
      <c r="C300" s="38"/>
      <c r="D300" s="893"/>
      <c r="E300" s="893"/>
      <c r="F300" s="893"/>
      <c r="G300" s="894"/>
      <c r="H300" s="39"/>
      <c r="J300" s="187"/>
    </row>
    <row r="301" spans="1:10" s="35" customFormat="1">
      <c r="A301" s="114"/>
      <c r="B301" s="37"/>
      <c r="C301" s="38"/>
      <c r="D301" s="893"/>
      <c r="E301" s="893"/>
      <c r="F301" s="893"/>
      <c r="G301" s="894"/>
      <c r="H301" s="39"/>
      <c r="J301" s="187"/>
    </row>
    <row r="302" spans="1:10" s="35" customFormat="1">
      <c r="A302" s="114"/>
      <c r="B302" s="37"/>
      <c r="C302" s="38"/>
      <c r="D302" s="893"/>
      <c r="E302" s="893"/>
      <c r="F302" s="893"/>
      <c r="G302" s="894"/>
      <c r="H302" s="39"/>
      <c r="J302" s="187"/>
    </row>
    <row r="303" spans="1:10" s="35" customFormat="1">
      <c r="A303" s="114"/>
      <c r="B303" s="37"/>
      <c r="C303" s="38"/>
      <c r="D303" s="893"/>
      <c r="E303" s="893"/>
      <c r="F303" s="893"/>
      <c r="G303" s="894"/>
      <c r="H303" s="39"/>
      <c r="J303" s="187"/>
    </row>
    <row r="304" spans="1:10" s="35" customFormat="1">
      <c r="A304" s="114"/>
      <c r="B304" s="37"/>
      <c r="C304" s="38"/>
      <c r="D304" s="893"/>
      <c r="E304" s="893"/>
      <c r="F304" s="893"/>
      <c r="G304" s="894"/>
      <c r="H304" s="39"/>
      <c r="J304" s="187"/>
    </row>
    <row r="305" spans="1:10" s="35" customFormat="1">
      <c r="A305" s="114"/>
      <c r="B305" s="37"/>
      <c r="C305" s="38"/>
      <c r="D305" s="893"/>
      <c r="E305" s="893"/>
      <c r="F305" s="893"/>
      <c r="G305" s="894"/>
      <c r="H305" s="39"/>
      <c r="J305" s="187"/>
    </row>
    <row r="306" spans="1:10" s="35" customFormat="1">
      <c r="A306" s="114"/>
      <c r="B306" s="37"/>
      <c r="C306" s="38"/>
      <c r="D306" s="893"/>
      <c r="E306" s="893"/>
      <c r="F306" s="893"/>
      <c r="G306" s="894"/>
      <c r="H306" s="39"/>
      <c r="J306" s="187"/>
    </row>
    <row r="307" spans="1:10" s="35" customFormat="1">
      <c r="A307" s="114"/>
      <c r="B307" s="37"/>
      <c r="C307" s="38"/>
      <c r="D307" s="893"/>
      <c r="E307" s="893"/>
      <c r="F307" s="893"/>
      <c r="G307" s="894"/>
      <c r="H307" s="39"/>
      <c r="J307" s="187"/>
    </row>
    <row r="308" spans="1:10" s="35" customFormat="1">
      <c r="A308" s="114"/>
      <c r="B308" s="37"/>
      <c r="C308" s="38"/>
      <c r="D308" s="893"/>
      <c r="E308" s="893"/>
      <c r="F308" s="893"/>
      <c r="G308" s="894"/>
      <c r="H308" s="39"/>
      <c r="J308" s="187"/>
    </row>
    <row r="309" spans="1:10" s="35" customFormat="1">
      <c r="A309" s="114"/>
      <c r="B309" s="37"/>
      <c r="C309" s="38"/>
      <c r="D309" s="893"/>
      <c r="E309" s="893"/>
      <c r="F309" s="893"/>
      <c r="G309" s="894"/>
      <c r="H309" s="39"/>
      <c r="J309" s="187"/>
    </row>
    <row r="310" spans="1:10" s="35" customFormat="1">
      <c r="A310" s="114"/>
      <c r="B310" s="37"/>
      <c r="C310" s="38"/>
      <c r="D310" s="893"/>
      <c r="E310" s="893"/>
      <c r="F310" s="893"/>
      <c r="G310" s="894"/>
      <c r="H310" s="39"/>
      <c r="J310" s="187"/>
    </row>
    <row r="311" spans="1:10" s="35" customFormat="1">
      <c r="A311" s="114"/>
      <c r="B311" s="37"/>
      <c r="C311" s="38"/>
      <c r="D311" s="893"/>
      <c r="E311" s="893"/>
      <c r="F311" s="893"/>
      <c r="G311" s="894"/>
      <c r="H311" s="39"/>
      <c r="J311" s="187"/>
    </row>
    <row r="312" spans="1:10" s="35" customFormat="1">
      <c r="A312" s="114"/>
      <c r="B312" s="37"/>
      <c r="C312" s="38"/>
      <c r="D312" s="893"/>
      <c r="E312" s="893"/>
      <c r="F312" s="893"/>
      <c r="G312" s="894"/>
      <c r="H312" s="39"/>
      <c r="J312" s="187"/>
    </row>
    <row r="313" spans="1:10" s="35" customFormat="1">
      <c r="A313" s="114"/>
      <c r="B313" s="37"/>
      <c r="C313" s="38"/>
      <c r="D313" s="893"/>
      <c r="E313" s="893"/>
      <c r="F313" s="893"/>
      <c r="G313" s="894"/>
      <c r="H313" s="39"/>
      <c r="J313" s="187"/>
    </row>
    <row r="314" spans="1:10" s="35" customFormat="1">
      <c r="A314" s="114"/>
      <c r="B314" s="37"/>
      <c r="C314" s="38"/>
      <c r="D314" s="893"/>
      <c r="E314" s="893"/>
      <c r="F314" s="893"/>
      <c r="G314" s="894"/>
      <c r="H314" s="39"/>
      <c r="J314" s="187"/>
    </row>
    <row r="315" spans="1:10" s="35" customFormat="1">
      <c r="A315" s="114"/>
      <c r="B315" s="37"/>
      <c r="C315" s="38"/>
      <c r="D315" s="893"/>
      <c r="E315" s="893"/>
      <c r="F315" s="893"/>
      <c r="G315" s="894"/>
      <c r="H315" s="39"/>
      <c r="J315" s="187"/>
    </row>
    <row r="316" spans="1:10" s="35" customFormat="1">
      <c r="A316" s="114"/>
      <c r="B316" s="37"/>
      <c r="C316" s="38"/>
      <c r="D316" s="893"/>
      <c r="E316" s="893"/>
      <c r="F316" s="893"/>
      <c r="G316" s="894"/>
      <c r="H316" s="39"/>
      <c r="J316" s="187"/>
    </row>
    <row r="317" spans="1:10" s="35" customFormat="1">
      <c r="A317" s="114"/>
      <c r="B317" s="37"/>
      <c r="C317" s="38"/>
      <c r="D317" s="893"/>
      <c r="E317" s="893"/>
      <c r="F317" s="893"/>
      <c r="G317" s="894"/>
      <c r="H317" s="39"/>
      <c r="J317" s="187"/>
    </row>
    <row r="318" spans="1:10" s="35" customFormat="1">
      <c r="A318" s="114"/>
      <c r="B318" s="37"/>
      <c r="C318" s="38"/>
      <c r="D318" s="893"/>
      <c r="E318" s="893"/>
      <c r="F318" s="893"/>
      <c r="G318" s="894"/>
      <c r="H318" s="39"/>
      <c r="J318" s="187"/>
    </row>
    <row r="319" spans="1:10" s="35" customFormat="1">
      <c r="A319" s="114"/>
      <c r="B319" s="37"/>
      <c r="C319" s="38"/>
      <c r="D319" s="893"/>
      <c r="E319" s="893"/>
      <c r="F319" s="893"/>
      <c r="G319" s="894"/>
      <c r="H319" s="39"/>
      <c r="J319" s="187"/>
    </row>
    <row r="320" spans="1:10" s="35" customFormat="1">
      <c r="A320" s="114"/>
      <c r="B320" s="37"/>
      <c r="C320" s="38"/>
      <c r="D320" s="893"/>
      <c r="E320" s="893"/>
      <c r="F320" s="893"/>
      <c r="G320" s="894"/>
      <c r="H320" s="39"/>
      <c r="J320" s="187"/>
    </row>
    <row r="321" spans="1:10" s="35" customFormat="1">
      <c r="A321" s="114"/>
      <c r="B321" s="37"/>
      <c r="C321" s="38"/>
      <c r="D321" s="893"/>
      <c r="E321" s="893"/>
      <c r="F321" s="893"/>
      <c r="G321" s="894"/>
      <c r="H321" s="39"/>
      <c r="J321" s="187"/>
    </row>
    <row r="322" spans="1:10" s="35" customFormat="1">
      <c r="A322" s="114"/>
      <c r="B322" s="37"/>
      <c r="C322" s="38"/>
      <c r="D322" s="893"/>
      <c r="E322" s="893"/>
      <c r="F322" s="893"/>
      <c r="G322" s="894"/>
      <c r="H322" s="39"/>
      <c r="J322" s="187"/>
    </row>
    <row r="323" spans="1:10" s="35" customFormat="1">
      <c r="A323" s="114"/>
      <c r="B323" s="37"/>
      <c r="C323" s="38"/>
      <c r="D323" s="893"/>
      <c r="E323" s="893"/>
      <c r="F323" s="893"/>
      <c r="G323" s="894"/>
      <c r="H323" s="39"/>
      <c r="J323" s="187"/>
    </row>
    <row r="324" spans="1:10" s="35" customFormat="1">
      <c r="A324" s="114"/>
      <c r="B324" s="37"/>
      <c r="C324" s="38"/>
      <c r="D324" s="893"/>
      <c r="E324" s="893"/>
      <c r="F324" s="893"/>
      <c r="G324" s="894"/>
      <c r="H324" s="39"/>
      <c r="J324" s="187"/>
    </row>
    <row r="325" spans="1:10" s="35" customFormat="1">
      <c r="A325" s="114"/>
      <c r="B325" s="37"/>
      <c r="C325" s="38"/>
      <c r="D325" s="893"/>
      <c r="E325" s="893"/>
      <c r="F325" s="893"/>
      <c r="G325" s="894"/>
      <c r="H325" s="39"/>
      <c r="J325" s="187"/>
    </row>
    <row r="326" spans="1:10" s="35" customFormat="1">
      <c r="A326" s="114"/>
      <c r="B326" s="37"/>
      <c r="C326" s="38"/>
      <c r="D326" s="893"/>
      <c r="E326" s="893"/>
      <c r="F326" s="893"/>
      <c r="G326" s="894"/>
      <c r="H326" s="39"/>
      <c r="J326" s="187"/>
    </row>
    <row r="327" spans="1:10" s="35" customFormat="1">
      <c r="A327" s="114"/>
      <c r="B327" s="37"/>
      <c r="C327" s="38"/>
      <c r="D327" s="893"/>
      <c r="E327" s="893"/>
      <c r="F327" s="893"/>
      <c r="G327" s="894"/>
      <c r="H327" s="39"/>
      <c r="J327" s="187"/>
    </row>
    <row r="328" spans="1:10" s="35" customFormat="1">
      <c r="A328" s="114"/>
      <c r="B328" s="37"/>
      <c r="C328" s="38"/>
      <c r="D328" s="893"/>
      <c r="E328" s="893"/>
      <c r="F328" s="893"/>
      <c r="G328" s="894"/>
      <c r="H328" s="39"/>
      <c r="J328" s="187"/>
    </row>
    <row r="329" spans="1:10" s="35" customFormat="1">
      <c r="A329" s="114"/>
      <c r="B329" s="37"/>
      <c r="C329" s="38"/>
      <c r="D329" s="893"/>
      <c r="E329" s="893"/>
      <c r="F329" s="893"/>
      <c r="G329" s="894"/>
      <c r="H329" s="39"/>
      <c r="J329" s="187"/>
    </row>
    <row r="330" spans="1:10" s="35" customFormat="1">
      <c r="A330" s="114"/>
      <c r="B330" s="37"/>
      <c r="C330" s="38"/>
      <c r="D330" s="893"/>
      <c r="E330" s="893"/>
      <c r="F330" s="893"/>
      <c r="G330" s="894"/>
      <c r="H330" s="39"/>
      <c r="J330" s="187"/>
    </row>
    <row r="331" spans="1:10" s="35" customFormat="1">
      <c r="A331" s="114"/>
      <c r="B331" s="37"/>
      <c r="C331" s="38"/>
      <c r="D331" s="893"/>
      <c r="E331" s="893"/>
      <c r="F331" s="893"/>
      <c r="G331" s="894"/>
      <c r="H331" s="39"/>
      <c r="J331" s="187"/>
    </row>
    <row r="332" spans="1:10" s="35" customFormat="1">
      <c r="A332" s="114"/>
      <c r="B332" s="37"/>
      <c r="C332" s="38"/>
      <c r="D332" s="893"/>
      <c r="E332" s="893"/>
      <c r="F332" s="893"/>
      <c r="G332" s="894"/>
      <c r="H332" s="39"/>
      <c r="J332" s="187"/>
    </row>
    <row r="333" spans="1:10" s="35" customFormat="1">
      <c r="A333" s="114"/>
      <c r="B333" s="37"/>
      <c r="C333" s="38"/>
      <c r="D333" s="893"/>
      <c r="E333" s="893"/>
      <c r="F333" s="893"/>
      <c r="G333" s="894"/>
      <c r="H333" s="39"/>
      <c r="J333" s="187"/>
    </row>
    <row r="334" spans="1:10" s="35" customFormat="1">
      <c r="A334" s="114"/>
      <c r="B334" s="37"/>
      <c r="C334" s="38"/>
      <c r="D334" s="893"/>
      <c r="E334" s="893"/>
      <c r="F334" s="893"/>
      <c r="G334" s="894"/>
      <c r="H334" s="39"/>
      <c r="J334" s="187"/>
    </row>
    <row r="335" spans="1:10" s="35" customFormat="1">
      <c r="A335" s="114"/>
      <c r="B335" s="37"/>
      <c r="C335" s="38"/>
      <c r="D335" s="893"/>
      <c r="E335" s="893"/>
      <c r="F335" s="893"/>
      <c r="G335" s="894"/>
      <c r="H335" s="39"/>
      <c r="J335" s="187"/>
    </row>
    <row r="336" spans="1:10" s="35" customFormat="1">
      <c r="A336" s="114"/>
      <c r="B336" s="37"/>
      <c r="C336" s="38"/>
      <c r="D336" s="893"/>
      <c r="E336" s="893"/>
      <c r="F336" s="893"/>
      <c r="G336" s="894"/>
      <c r="H336" s="39"/>
      <c r="J336" s="187"/>
    </row>
    <row r="337" spans="1:10" s="35" customFormat="1">
      <c r="A337" s="114"/>
      <c r="B337" s="37"/>
      <c r="C337" s="38"/>
      <c r="D337" s="893"/>
      <c r="E337" s="893"/>
      <c r="F337" s="893"/>
      <c r="G337" s="894"/>
      <c r="H337" s="39"/>
      <c r="J337" s="187"/>
    </row>
    <row r="338" spans="1:10" s="35" customFormat="1">
      <c r="A338" s="114"/>
      <c r="B338" s="37"/>
      <c r="C338" s="38"/>
      <c r="D338" s="893"/>
      <c r="E338" s="893"/>
      <c r="F338" s="893"/>
      <c r="G338" s="894"/>
      <c r="H338" s="39"/>
      <c r="J338" s="187"/>
    </row>
    <row r="339" spans="1:10" s="35" customFormat="1">
      <c r="A339" s="114"/>
      <c r="B339" s="37"/>
      <c r="C339" s="38"/>
      <c r="D339" s="893"/>
      <c r="E339" s="893"/>
      <c r="F339" s="893"/>
      <c r="G339" s="894"/>
      <c r="H339" s="39"/>
      <c r="J339" s="187"/>
    </row>
    <row r="340" spans="1:10" s="35" customFormat="1">
      <c r="A340" s="114"/>
      <c r="B340" s="37"/>
      <c r="C340" s="38"/>
      <c r="D340" s="893"/>
      <c r="E340" s="893"/>
      <c r="F340" s="893"/>
      <c r="G340" s="894"/>
      <c r="H340" s="39"/>
      <c r="J340" s="187"/>
    </row>
    <row r="341" spans="1:10" s="35" customFormat="1">
      <c r="A341" s="114"/>
      <c r="B341" s="37"/>
      <c r="C341" s="38"/>
      <c r="D341" s="893"/>
      <c r="E341" s="893"/>
      <c r="F341" s="893"/>
      <c r="G341" s="894"/>
      <c r="H341" s="39"/>
      <c r="J341" s="187"/>
    </row>
    <row r="342" spans="1:10" s="35" customFormat="1">
      <c r="A342" s="114"/>
      <c r="B342" s="37"/>
      <c r="C342" s="38"/>
      <c r="D342" s="893"/>
      <c r="E342" s="893"/>
      <c r="F342" s="893"/>
      <c r="G342" s="894"/>
      <c r="H342" s="39"/>
      <c r="J342" s="187"/>
    </row>
    <row r="343" spans="1:10" s="35" customFormat="1">
      <c r="A343" s="114"/>
      <c r="B343" s="37"/>
      <c r="C343" s="38"/>
      <c r="D343" s="893"/>
      <c r="E343" s="893"/>
      <c r="F343" s="893"/>
      <c r="G343" s="894"/>
      <c r="H343" s="39"/>
      <c r="J343" s="187"/>
    </row>
    <row r="344" spans="1:10" s="35" customFormat="1">
      <c r="A344" s="114"/>
      <c r="B344" s="37"/>
      <c r="C344" s="38"/>
      <c r="D344" s="893"/>
      <c r="E344" s="893"/>
      <c r="F344" s="893"/>
      <c r="G344" s="894"/>
      <c r="H344" s="39"/>
      <c r="J344" s="187"/>
    </row>
    <row r="345" spans="1:10" s="35" customFormat="1">
      <c r="A345" s="114"/>
      <c r="B345" s="37"/>
      <c r="C345" s="38"/>
      <c r="D345" s="893"/>
      <c r="E345" s="893"/>
      <c r="F345" s="893"/>
      <c r="G345" s="894"/>
      <c r="H345" s="39"/>
      <c r="J345" s="187"/>
    </row>
    <row r="346" spans="1:10" s="35" customFormat="1">
      <c r="A346" s="114"/>
      <c r="B346" s="37"/>
      <c r="C346" s="38"/>
      <c r="D346" s="893"/>
      <c r="E346" s="893"/>
      <c r="F346" s="893"/>
      <c r="G346" s="894"/>
      <c r="H346" s="39"/>
      <c r="J346" s="187"/>
    </row>
    <row r="347" spans="1:10" s="35" customFormat="1">
      <c r="A347" s="114"/>
      <c r="B347" s="37"/>
      <c r="C347" s="38"/>
      <c r="D347" s="893"/>
      <c r="E347" s="893"/>
      <c r="F347" s="893"/>
      <c r="G347" s="894"/>
      <c r="H347" s="39"/>
      <c r="J347" s="187"/>
    </row>
    <row r="348" spans="1:10" s="35" customFormat="1">
      <c r="A348" s="114"/>
      <c r="B348" s="37"/>
      <c r="C348" s="38"/>
      <c r="D348" s="893"/>
      <c r="E348" s="893"/>
      <c r="F348" s="893"/>
      <c r="G348" s="894"/>
      <c r="H348" s="39"/>
      <c r="J348" s="187"/>
    </row>
    <row r="349" spans="1:10" s="35" customFormat="1">
      <c r="A349" s="114"/>
      <c r="B349" s="37"/>
      <c r="C349" s="38"/>
      <c r="D349" s="893"/>
      <c r="E349" s="893"/>
      <c r="F349" s="893"/>
      <c r="G349" s="894"/>
      <c r="H349" s="39"/>
      <c r="J349" s="187"/>
    </row>
    <row r="350" spans="1:10" s="35" customFormat="1">
      <c r="A350" s="114"/>
      <c r="B350" s="37"/>
      <c r="C350" s="38"/>
      <c r="D350" s="893"/>
      <c r="E350" s="893"/>
      <c r="F350" s="893"/>
      <c r="G350" s="894"/>
      <c r="H350" s="39"/>
      <c r="J350" s="187"/>
    </row>
    <row r="351" spans="1:10" s="35" customFormat="1">
      <c r="A351" s="114"/>
      <c r="B351" s="37"/>
      <c r="C351" s="38"/>
      <c r="D351" s="893"/>
      <c r="E351" s="893"/>
      <c r="F351" s="893"/>
      <c r="G351" s="894"/>
      <c r="H351" s="39"/>
      <c r="J351" s="187"/>
    </row>
    <row r="352" spans="1:10" s="35" customFormat="1">
      <c r="A352" s="114"/>
      <c r="B352" s="37"/>
      <c r="C352" s="38"/>
      <c r="D352" s="893"/>
      <c r="E352" s="893"/>
      <c r="F352" s="893"/>
      <c r="G352" s="894"/>
      <c r="H352" s="39"/>
      <c r="J352" s="187"/>
    </row>
    <row r="353" spans="1:10" s="35" customFormat="1">
      <c r="A353" s="114"/>
      <c r="B353" s="37"/>
      <c r="C353" s="38"/>
      <c r="D353" s="893"/>
      <c r="E353" s="893"/>
      <c r="F353" s="893"/>
      <c r="G353" s="894"/>
      <c r="H353" s="39"/>
      <c r="J353" s="187"/>
    </row>
    <row r="354" spans="1:10" s="35" customFormat="1">
      <c r="A354" s="114"/>
      <c r="B354" s="37"/>
      <c r="C354" s="38"/>
      <c r="D354" s="893"/>
      <c r="E354" s="893"/>
      <c r="F354" s="893"/>
      <c r="G354" s="894"/>
      <c r="H354" s="39"/>
      <c r="J354" s="187"/>
    </row>
    <row r="355" spans="1:10" s="35" customFormat="1">
      <c r="A355" s="114"/>
      <c r="B355" s="37"/>
      <c r="C355" s="38"/>
      <c r="D355" s="893"/>
      <c r="E355" s="893"/>
      <c r="F355" s="893"/>
      <c r="G355" s="894"/>
      <c r="H355" s="39"/>
      <c r="J355" s="187"/>
    </row>
    <row r="356" spans="1:10" s="35" customFormat="1">
      <c r="A356" s="114"/>
      <c r="B356" s="37"/>
      <c r="C356" s="38"/>
      <c r="D356" s="893"/>
      <c r="E356" s="893"/>
      <c r="F356" s="893"/>
      <c r="G356" s="894"/>
      <c r="H356" s="39"/>
      <c r="J356" s="187"/>
    </row>
    <row r="357" spans="1:10" s="35" customFormat="1">
      <c r="A357" s="114"/>
      <c r="B357" s="37"/>
      <c r="C357" s="38"/>
      <c r="D357" s="893"/>
      <c r="E357" s="893"/>
      <c r="F357" s="893"/>
      <c r="G357" s="894"/>
      <c r="H357" s="39"/>
      <c r="J357" s="187"/>
    </row>
    <row r="358" spans="1:10" s="35" customFormat="1">
      <c r="A358" s="114"/>
      <c r="B358" s="37"/>
      <c r="C358" s="38"/>
      <c r="D358" s="893"/>
      <c r="E358" s="893"/>
      <c r="F358" s="893"/>
      <c r="G358" s="894"/>
      <c r="H358" s="39"/>
      <c r="J358" s="187"/>
    </row>
    <row r="359" spans="1:10" s="35" customFormat="1">
      <c r="A359" s="114"/>
      <c r="B359" s="37"/>
      <c r="C359" s="38"/>
      <c r="D359" s="893"/>
      <c r="E359" s="893"/>
      <c r="F359" s="893"/>
      <c r="G359" s="894"/>
      <c r="H359" s="39"/>
      <c r="J359" s="187"/>
    </row>
    <row r="360" spans="1:10" s="35" customFormat="1">
      <c r="A360" s="114"/>
      <c r="B360" s="37"/>
      <c r="C360" s="38"/>
      <c r="D360" s="893"/>
      <c r="E360" s="893"/>
      <c r="F360" s="893"/>
      <c r="G360" s="894"/>
      <c r="H360" s="39"/>
      <c r="J360" s="187"/>
    </row>
    <row r="361" spans="1:10" s="35" customFormat="1">
      <c r="A361" s="114"/>
      <c r="B361" s="37"/>
      <c r="C361" s="38"/>
      <c r="D361" s="893"/>
      <c r="E361" s="893"/>
      <c r="F361" s="893"/>
      <c r="G361" s="894"/>
      <c r="H361" s="39"/>
      <c r="J361" s="187"/>
    </row>
    <row r="362" spans="1:10" s="35" customFormat="1">
      <c r="A362" s="114"/>
      <c r="B362" s="37"/>
      <c r="C362" s="38"/>
      <c r="D362" s="893"/>
      <c r="E362" s="893"/>
      <c r="F362" s="893"/>
      <c r="G362" s="894"/>
      <c r="H362" s="39"/>
      <c r="J362" s="187"/>
    </row>
    <row r="363" spans="1:10" s="35" customFormat="1">
      <c r="A363" s="114"/>
      <c r="B363" s="37"/>
      <c r="C363" s="38"/>
      <c r="D363" s="893"/>
      <c r="E363" s="893"/>
      <c r="F363" s="893"/>
      <c r="G363" s="894"/>
      <c r="H363" s="39"/>
      <c r="J363" s="187"/>
    </row>
    <row r="364" spans="1:10" s="35" customFormat="1">
      <c r="A364" s="114"/>
      <c r="B364" s="37"/>
      <c r="C364" s="38"/>
      <c r="D364" s="893"/>
      <c r="E364" s="893"/>
      <c r="F364" s="893"/>
      <c r="G364" s="894"/>
      <c r="H364" s="39"/>
      <c r="J364" s="187"/>
    </row>
    <row r="365" spans="1:10" s="35" customFormat="1">
      <c r="A365" s="114"/>
      <c r="B365" s="37"/>
      <c r="C365" s="38"/>
      <c r="D365" s="893"/>
      <c r="E365" s="893"/>
      <c r="F365" s="893"/>
      <c r="G365" s="894"/>
      <c r="H365" s="39"/>
      <c r="J365" s="187"/>
    </row>
    <row r="366" spans="1:10" s="35" customFormat="1">
      <c r="A366" s="114"/>
      <c r="B366" s="37"/>
      <c r="C366" s="38"/>
      <c r="D366" s="893"/>
      <c r="E366" s="893"/>
      <c r="F366" s="893"/>
      <c r="G366" s="894"/>
      <c r="H366" s="39"/>
      <c r="J366" s="187"/>
    </row>
    <row r="367" spans="1:10" s="35" customFormat="1">
      <c r="A367" s="114"/>
      <c r="B367" s="37"/>
      <c r="C367" s="38"/>
      <c r="D367" s="893"/>
      <c r="E367" s="893"/>
      <c r="F367" s="893"/>
      <c r="G367" s="894"/>
      <c r="H367" s="39"/>
      <c r="J367" s="187"/>
    </row>
    <row r="368" spans="1:10" s="35" customFormat="1">
      <c r="A368" s="114"/>
      <c r="B368" s="37"/>
      <c r="C368" s="38"/>
      <c r="D368" s="893"/>
      <c r="E368" s="893"/>
      <c r="F368" s="893"/>
      <c r="G368" s="894"/>
      <c r="H368" s="39"/>
      <c r="J368" s="187"/>
    </row>
    <row r="369" spans="1:10" s="35" customFormat="1">
      <c r="A369" s="114"/>
      <c r="B369" s="37"/>
      <c r="C369" s="38"/>
      <c r="D369" s="893"/>
      <c r="E369" s="893"/>
      <c r="F369" s="893"/>
      <c r="G369" s="894"/>
      <c r="H369" s="39"/>
      <c r="J369" s="187"/>
    </row>
    <row r="370" spans="1:10" s="35" customFormat="1">
      <c r="A370" s="114"/>
      <c r="B370" s="37"/>
      <c r="C370" s="38"/>
      <c r="D370" s="893"/>
      <c r="E370" s="893"/>
      <c r="F370" s="893"/>
      <c r="G370" s="894"/>
      <c r="H370" s="39"/>
      <c r="J370" s="187"/>
    </row>
    <row r="371" spans="1:10" s="35" customFormat="1">
      <c r="A371" s="114"/>
      <c r="B371" s="37"/>
      <c r="C371" s="38"/>
      <c r="D371" s="893"/>
      <c r="E371" s="893"/>
      <c r="F371" s="893"/>
      <c r="G371" s="894"/>
      <c r="H371" s="39"/>
      <c r="J371" s="187"/>
    </row>
    <row r="372" spans="1:10" s="35" customFormat="1">
      <c r="A372" s="114"/>
      <c r="B372" s="37"/>
      <c r="C372" s="38"/>
      <c r="D372" s="893"/>
      <c r="E372" s="893"/>
      <c r="F372" s="893"/>
      <c r="G372" s="894"/>
      <c r="H372" s="39"/>
      <c r="J372" s="187"/>
    </row>
    <row r="373" spans="1:10" s="35" customFormat="1">
      <c r="A373" s="114"/>
      <c r="B373" s="37"/>
      <c r="C373" s="38"/>
      <c r="D373" s="893"/>
      <c r="E373" s="893"/>
      <c r="F373" s="893"/>
      <c r="G373" s="894"/>
      <c r="H373" s="39"/>
      <c r="J373" s="187"/>
    </row>
    <row r="374" spans="1:10" s="35" customFormat="1">
      <c r="A374" s="114"/>
      <c r="B374" s="37"/>
      <c r="C374" s="38"/>
      <c r="D374" s="893"/>
      <c r="E374" s="893"/>
      <c r="F374" s="893"/>
      <c r="G374" s="894"/>
      <c r="H374" s="39"/>
      <c r="J374" s="187"/>
    </row>
    <row r="375" spans="1:10" s="35" customFormat="1">
      <c r="A375" s="114"/>
      <c r="B375" s="37"/>
      <c r="C375" s="38"/>
      <c r="D375" s="893"/>
      <c r="E375" s="893"/>
      <c r="F375" s="893"/>
      <c r="G375" s="894"/>
      <c r="H375" s="39"/>
      <c r="J375" s="187"/>
    </row>
    <row r="376" spans="1:10" s="35" customFormat="1">
      <c r="A376" s="114"/>
      <c r="B376" s="37"/>
      <c r="C376" s="38"/>
      <c r="D376" s="893"/>
      <c r="E376" s="893"/>
      <c r="F376" s="893"/>
      <c r="G376" s="894"/>
      <c r="H376" s="39"/>
      <c r="J376" s="187"/>
    </row>
    <row r="377" spans="1:10" s="35" customFormat="1">
      <c r="A377" s="114"/>
      <c r="B377" s="37"/>
      <c r="C377" s="38"/>
      <c r="D377" s="893"/>
      <c r="E377" s="893"/>
      <c r="F377" s="893"/>
      <c r="G377" s="894"/>
      <c r="H377" s="39"/>
      <c r="J377" s="187"/>
    </row>
    <row r="378" spans="1:10" s="35" customFormat="1">
      <c r="A378" s="114"/>
      <c r="B378" s="37"/>
      <c r="C378" s="38"/>
      <c r="D378" s="893"/>
      <c r="E378" s="893"/>
      <c r="F378" s="893"/>
      <c r="G378" s="894"/>
      <c r="H378" s="39"/>
      <c r="J378" s="187"/>
    </row>
    <row r="379" spans="1:10" s="35" customFormat="1">
      <c r="A379" s="114"/>
      <c r="B379" s="37"/>
      <c r="C379" s="38"/>
      <c r="D379" s="893"/>
      <c r="E379" s="893"/>
      <c r="F379" s="893"/>
      <c r="G379" s="894"/>
      <c r="H379" s="39"/>
      <c r="J379" s="187"/>
    </row>
    <row r="380" spans="1:10" s="35" customFormat="1">
      <c r="A380" s="114"/>
      <c r="B380" s="37"/>
      <c r="C380" s="38"/>
      <c r="D380" s="893"/>
      <c r="E380" s="893"/>
      <c r="F380" s="893"/>
      <c r="G380" s="894"/>
      <c r="H380" s="39"/>
      <c r="J380" s="187"/>
    </row>
    <row r="381" spans="1:10" s="35" customFormat="1">
      <c r="A381" s="114"/>
      <c r="B381" s="37"/>
      <c r="C381" s="38"/>
      <c r="D381" s="893"/>
      <c r="E381" s="893"/>
      <c r="F381" s="893"/>
      <c r="G381" s="894"/>
      <c r="H381" s="39"/>
      <c r="J381" s="187"/>
    </row>
    <row r="382" spans="1:10" s="35" customFormat="1">
      <c r="A382" s="114"/>
      <c r="B382" s="37"/>
      <c r="C382" s="38"/>
      <c r="D382" s="893"/>
      <c r="E382" s="893"/>
      <c r="F382" s="893"/>
      <c r="G382" s="894"/>
      <c r="H382" s="39"/>
      <c r="J382" s="187"/>
    </row>
    <row r="383" spans="1:10" s="35" customFormat="1">
      <c r="A383" s="114"/>
      <c r="B383" s="37"/>
      <c r="C383" s="38"/>
      <c r="D383" s="893"/>
      <c r="E383" s="893"/>
      <c r="F383" s="893"/>
      <c r="G383" s="894"/>
      <c r="H383" s="39"/>
      <c r="J383" s="187"/>
    </row>
    <row r="384" spans="1:10" s="35" customFormat="1">
      <c r="A384" s="114"/>
      <c r="B384" s="37"/>
      <c r="C384" s="38"/>
      <c r="D384" s="893"/>
      <c r="E384" s="893"/>
      <c r="F384" s="893"/>
      <c r="G384" s="894"/>
      <c r="H384" s="39"/>
      <c r="J384" s="187"/>
    </row>
    <row r="385" spans="1:10" s="35" customFormat="1">
      <c r="A385" s="37"/>
      <c r="B385" s="37"/>
      <c r="D385" s="893"/>
      <c r="E385" s="893"/>
      <c r="F385" s="893"/>
      <c r="G385" s="894"/>
      <c r="H385" s="39"/>
      <c r="J385" s="187"/>
    </row>
    <row r="386" spans="1:10" s="35" customFormat="1">
      <c r="A386" s="37"/>
      <c r="B386" s="37"/>
      <c r="D386" s="893"/>
      <c r="E386" s="893"/>
      <c r="F386" s="893"/>
      <c r="G386" s="894"/>
      <c r="H386" s="39"/>
      <c r="J386" s="187"/>
    </row>
    <row r="387" spans="1:10" s="35" customFormat="1">
      <c r="A387" s="37"/>
      <c r="B387" s="37"/>
      <c r="D387" s="893"/>
      <c r="E387" s="893"/>
      <c r="F387" s="893"/>
      <c r="G387" s="894"/>
      <c r="H387" s="39"/>
      <c r="J387" s="187"/>
    </row>
    <row r="388" spans="1:10" s="35" customFormat="1">
      <c r="A388" s="37"/>
      <c r="B388" s="37"/>
      <c r="D388" s="893"/>
      <c r="E388" s="893"/>
      <c r="F388" s="893"/>
      <c r="G388" s="894"/>
      <c r="H388" s="39"/>
      <c r="J388" s="187"/>
    </row>
    <row r="389" spans="1:10" s="35" customFormat="1">
      <c r="A389" s="37"/>
      <c r="B389" s="37"/>
      <c r="D389" s="893"/>
      <c r="E389" s="893"/>
      <c r="F389" s="893"/>
      <c r="G389" s="894"/>
      <c r="H389" s="39"/>
      <c r="J389" s="187"/>
    </row>
    <row r="390" spans="1:10" s="35" customFormat="1">
      <c r="A390" s="37"/>
      <c r="B390" s="37"/>
      <c r="D390" s="893"/>
      <c r="E390" s="893"/>
      <c r="F390" s="893"/>
      <c r="G390" s="894"/>
      <c r="H390" s="39"/>
      <c r="J390" s="187"/>
    </row>
    <row r="391" spans="1:10" s="35" customFormat="1">
      <c r="A391" s="37"/>
      <c r="B391" s="37"/>
      <c r="D391" s="893"/>
      <c r="E391" s="893"/>
      <c r="F391" s="893"/>
      <c r="G391" s="894"/>
      <c r="H391" s="39"/>
      <c r="J391" s="187"/>
    </row>
    <row r="392" spans="1:10" s="35" customFormat="1">
      <c r="A392" s="37"/>
      <c r="B392" s="37"/>
      <c r="D392" s="893"/>
      <c r="E392" s="893"/>
      <c r="F392" s="893"/>
      <c r="G392" s="894"/>
      <c r="H392" s="39"/>
      <c r="J392" s="187"/>
    </row>
    <row r="393" spans="1:10" s="35" customFormat="1">
      <c r="A393" s="37"/>
      <c r="B393" s="37"/>
      <c r="D393" s="893"/>
      <c r="E393" s="893"/>
      <c r="F393" s="893"/>
      <c r="G393" s="894"/>
      <c r="H393" s="39"/>
      <c r="J393" s="187"/>
    </row>
    <row r="394" spans="1:10" s="35" customFormat="1">
      <c r="A394" s="37"/>
      <c r="B394" s="37"/>
      <c r="D394" s="893"/>
      <c r="E394" s="893"/>
      <c r="F394" s="893"/>
      <c r="G394" s="894"/>
      <c r="H394" s="39"/>
      <c r="J394" s="187"/>
    </row>
    <row r="395" spans="1:10" s="35" customFormat="1">
      <c r="A395" s="37"/>
      <c r="B395" s="37"/>
      <c r="D395" s="893"/>
      <c r="E395" s="893"/>
      <c r="F395" s="893"/>
      <c r="G395" s="894"/>
      <c r="H395" s="39"/>
      <c r="J395" s="187"/>
    </row>
    <row r="396" spans="1:10" s="35" customFormat="1">
      <c r="A396" s="37"/>
      <c r="B396" s="37"/>
      <c r="D396" s="893"/>
      <c r="E396" s="893"/>
      <c r="F396" s="893"/>
      <c r="G396" s="894"/>
      <c r="H396" s="39"/>
      <c r="J396" s="187"/>
    </row>
    <row r="397" spans="1:10" s="35" customFormat="1">
      <c r="A397" s="37"/>
      <c r="B397" s="37"/>
      <c r="D397" s="893"/>
      <c r="E397" s="893"/>
      <c r="F397" s="893"/>
      <c r="G397" s="894"/>
      <c r="H397" s="39"/>
      <c r="J397" s="187"/>
    </row>
    <row r="398" spans="1:10" s="35" customFormat="1">
      <c r="A398" s="37"/>
      <c r="B398" s="37"/>
      <c r="D398" s="893"/>
      <c r="E398" s="893"/>
      <c r="F398" s="893"/>
      <c r="G398" s="894"/>
      <c r="H398" s="39"/>
      <c r="J398" s="187"/>
    </row>
    <row r="399" spans="1:10" s="35" customFormat="1">
      <c r="A399" s="37"/>
      <c r="B399" s="37"/>
      <c r="D399" s="893"/>
      <c r="E399" s="893"/>
      <c r="F399" s="893"/>
      <c r="G399" s="894"/>
      <c r="H399" s="39"/>
      <c r="J399" s="187"/>
    </row>
    <row r="400" spans="1:10" s="35" customFormat="1">
      <c r="A400" s="37"/>
      <c r="B400" s="37"/>
      <c r="D400" s="893"/>
      <c r="E400" s="893"/>
      <c r="F400" s="893"/>
      <c r="G400" s="894"/>
      <c r="H400" s="39"/>
      <c r="J400" s="187"/>
    </row>
    <row r="401" spans="1:10" s="35" customFormat="1">
      <c r="A401" s="37"/>
      <c r="B401" s="37"/>
      <c r="D401" s="893"/>
      <c r="E401" s="893"/>
      <c r="F401" s="893"/>
      <c r="G401" s="894"/>
      <c r="H401" s="39"/>
      <c r="J401" s="187"/>
    </row>
    <row r="402" spans="1:10" s="35" customFormat="1">
      <c r="A402" s="37"/>
      <c r="B402" s="37"/>
      <c r="D402" s="893"/>
      <c r="E402" s="893"/>
      <c r="F402" s="893"/>
      <c r="G402" s="894"/>
      <c r="H402" s="39"/>
      <c r="J402" s="187"/>
    </row>
    <row r="403" spans="1:10" s="35" customFormat="1">
      <c r="A403" s="37"/>
      <c r="B403" s="37"/>
      <c r="D403" s="893"/>
      <c r="E403" s="893"/>
      <c r="F403" s="893"/>
      <c r="G403" s="894"/>
      <c r="H403" s="39"/>
      <c r="J403" s="187"/>
    </row>
    <row r="404" spans="1:10" s="35" customFormat="1">
      <c r="A404" s="37"/>
      <c r="B404" s="37"/>
      <c r="D404" s="893"/>
      <c r="E404" s="893"/>
      <c r="F404" s="893"/>
      <c r="G404" s="894"/>
      <c r="H404" s="39"/>
      <c r="J404" s="187"/>
    </row>
    <row r="405" spans="1:10" s="35" customFormat="1">
      <c r="A405" s="37"/>
      <c r="B405" s="37"/>
      <c r="D405" s="893"/>
      <c r="E405" s="893"/>
      <c r="F405" s="893"/>
      <c r="G405" s="894"/>
      <c r="H405" s="39"/>
      <c r="J405" s="187"/>
    </row>
    <row r="406" spans="1:10" s="35" customFormat="1">
      <c r="A406" s="37"/>
      <c r="B406" s="37"/>
      <c r="D406" s="893"/>
      <c r="E406" s="893"/>
      <c r="F406" s="893"/>
      <c r="G406" s="894"/>
      <c r="H406" s="39"/>
      <c r="J406" s="187"/>
    </row>
    <row r="407" spans="1:10" s="35" customFormat="1">
      <c r="A407" s="37"/>
      <c r="B407" s="37"/>
      <c r="D407" s="893"/>
      <c r="E407" s="893"/>
      <c r="F407" s="893"/>
      <c r="G407" s="894"/>
      <c r="H407" s="39"/>
      <c r="J407" s="187"/>
    </row>
    <row r="408" spans="1:10" s="35" customFormat="1">
      <c r="A408" s="37"/>
      <c r="B408" s="37"/>
      <c r="D408" s="893"/>
      <c r="E408" s="893"/>
      <c r="F408" s="893"/>
      <c r="G408" s="894"/>
      <c r="H408" s="39"/>
      <c r="J408" s="187"/>
    </row>
    <row r="409" spans="1:10" s="35" customFormat="1">
      <c r="A409" s="37"/>
      <c r="B409" s="37"/>
      <c r="D409" s="893"/>
      <c r="E409" s="893"/>
      <c r="F409" s="893"/>
      <c r="G409" s="894"/>
      <c r="H409" s="39"/>
      <c r="J409" s="187"/>
    </row>
    <row r="410" spans="1:10" s="35" customFormat="1">
      <c r="A410" s="37"/>
      <c r="B410" s="37"/>
      <c r="D410" s="893"/>
      <c r="E410" s="893"/>
      <c r="F410" s="893"/>
      <c r="G410" s="894"/>
      <c r="H410" s="39"/>
      <c r="J410" s="187"/>
    </row>
    <row r="411" spans="1:10" s="35" customFormat="1">
      <c r="A411" s="37"/>
      <c r="B411" s="37"/>
      <c r="D411" s="893"/>
      <c r="E411" s="893"/>
      <c r="F411" s="893"/>
      <c r="G411" s="894"/>
      <c r="H411" s="39"/>
      <c r="J411" s="187"/>
    </row>
    <row r="412" spans="1:10" s="35" customFormat="1">
      <c r="A412" s="37"/>
      <c r="B412" s="37"/>
      <c r="D412" s="893"/>
      <c r="E412" s="893"/>
      <c r="F412" s="893"/>
      <c r="G412" s="894"/>
      <c r="H412" s="39"/>
      <c r="J412" s="187"/>
    </row>
    <row r="413" spans="1:10" s="35" customFormat="1">
      <c r="A413" s="37"/>
      <c r="B413" s="37"/>
      <c r="D413" s="893"/>
      <c r="E413" s="893"/>
      <c r="F413" s="893"/>
      <c r="G413" s="894"/>
      <c r="H413" s="39"/>
      <c r="J413" s="187"/>
    </row>
    <row r="414" spans="1:10" s="35" customFormat="1">
      <c r="A414" s="37"/>
      <c r="B414" s="37"/>
      <c r="D414" s="893"/>
      <c r="E414" s="893"/>
      <c r="F414" s="893"/>
      <c r="G414" s="894"/>
      <c r="H414" s="39"/>
      <c r="J414" s="187"/>
    </row>
    <row r="415" spans="1:10" s="35" customFormat="1">
      <c r="A415" s="37"/>
      <c r="B415" s="37"/>
      <c r="D415" s="893"/>
      <c r="E415" s="893"/>
      <c r="F415" s="893"/>
      <c r="G415" s="894"/>
      <c r="H415" s="39"/>
      <c r="J415" s="187"/>
    </row>
    <row r="416" spans="1:10" s="35" customFormat="1">
      <c r="A416" s="37"/>
      <c r="B416" s="37"/>
      <c r="D416" s="893"/>
      <c r="E416" s="893"/>
      <c r="F416" s="893"/>
      <c r="G416" s="894"/>
      <c r="H416" s="39"/>
      <c r="J416" s="187"/>
    </row>
    <row r="417" spans="1:10" s="35" customFormat="1">
      <c r="A417" s="37"/>
      <c r="B417" s="37"/>
      <c r="D417" s="893"/>
      <c r="E417" s="893"/>
      <c r="F417" s="893"/>
      <c r="G417" s="894"/>
      <c r="H417" s="39"/>
      <c r="J417" s="187"/>
    </row>
    <row r="418" spans="1:10" s="35" customFormat="1">
      <c r="A418" s="37"/>
      <c r="B418" s="37"/>
      <c r="D418" s="893"/>
      <c r="E418" s="893"/>
      <c r="F418" s="893"/>
      <c r="G418" s="894"/>
      <c r="H418" s="39"/>
      <c r="J418" s="187"/>
    </row>
    <row r="419" spans="1:10" s="35" customFormat="1">
      <c r="A419" s="37"/>
      <c r="B419" s="37"/>
      <c r="D419" s="893"/>
      <c r="E419" s="893"/>
      <c r="F419" s="893"/>
      <c r="G419" s="894"/>
      <c r="H419" s="39"/>
      <c r="J419" s="187"/>
    </row>
    <row r="420" spans="1:10" s="35" customFormat="1">
      <c r="A420" s="37"/>
      <c r="B420" s="37"/>
      <c r="D420" s="893"/>
      <c r="E420" s="893"/>
      <c r="F420" s="893"/>
      <c r="G420" s="894"/>
      <c r="H420" s="39"/>
      <c r="J420" s="187"/>
    </row>
    <row r="421" spans="1:10" s="35" customFormat="1">
      <c r="A421" s="37"/>
      <c r="B421" s="37"/>
      <c r="D421" s="893"/>
      <c r="E421" s="893"/>
      <c r="F421" s="893"/>
      <c r="G421" s="894"/>
      <c r="H421" s="39"/>
      <c r="J421" s="187"/>
    </row>
    <row r="422" spans="1:10" s="35" customFormat="1">
      <c r="A422" s="37"/>
      <c r="B422" s="37"/>
      <c r="D422" s="893"/>
      <c r="E422" s="893"/>
      <c r="F422" s="893"/>
      <c r="G422" s="894"/>
      <c r="H422" s="39"/>
      <c r="J422" s="187"/>
    </row>
    <row r="423" spans="1:10" s="35" customFormat="1">
      <c r="A423" s="37"/>
      <c r="B423" s="37"/>
      <c r="D423" s="893"/>
      <c r="E423" s="893"/>
      <c r="F423" s="893"/>
      <c r="G423" s="894"/>
      <c r="H423" s="39"/>
      <c r="J423" s="187"/>
    </row>
    <row r="424" spans="1:10" s="35" customFormat="1">
      <c r="A424" s="37"/>
      <c r="B424" s="37"/>
      <c r="D424" s="893"/>
      <c r="E424" s="893"/>
      <c r="F424" s="893"/>
      <c r="G424" s="894"/>
      <c r="H424" s="39"/>
      <c r="J424" s="187"/>
    </row>
    <row r="425" spans="1:10" s="35" customFormat="1">
      <c r="A425" s="37"/>
      <c r="B425" s="37"/>
      <c r="D425" s="893"/>
      <c r="E425" s="893"/>
      <c r="F425" s="893"/>
      <c r="G425" s="894"/>
      <c r="H425" s="39"/>
      <c r="J425" s="187"/>
    </row>
    <row r="426" spans="1:10" s="35" customFormat="1">
      <c r="A426" s="37"/>
      <c r="B426" s="37"/>
      <c r="D426" s="893"/>
      <c r="E426" s="893"/>
      <c r="F426" s="893"/>
      <c r="G426" s="894"/>
      <c r="H426" s="39"/>
      <c r="J426" s="187"/>
    </row>
    <row r="427" spans="1:10" s="35" customFormat="1">
      <c r="A427" s="37"/>
      <c r="B427" s="37"/>
      <c r="D427" s="893"/>
      <c r="E427" s="893"/>
      <c r="F427" s="893"/>
      <c r="G427" s="894"/>
      <c r="H427" s="39"/>
      <c r="J427" s="187"/>
    </row>
    <row r="428" spans="1:10" s="35" customFormat="1">
      <c r="A428" s="37"/>
      <c r="B428" s="37"/>
      <c r="D428" s="893"/>
      <c r="E428" s="893"/>
      <c r="F428" s="893"/>
      <c r="G428" s="894"/>
      <c r="H428" s="39"/>
      <c r="J428" s="187"/>
    </row>
    <row r="429" spans="1:10" s="35" customFormat="1">
      <c r="A429" s="37"/>
      <c r="B429" s="37"/>
      <c r="D429" s="893"/>
      <c r="E429" s="893"/>
      <c r="F429" s="893"/>
      <c r="G429" s="894"/>
      <c r="H429" s="39"/>
      <c r="J429" s="187"/>
    </row>
    <row r="430" spans="1:10" s="35" customFormat="1">
      <c r="A430" s="37"/>
      <c r="B430" s="37"/>
      <c r="D430" s="893"/>
      <c r="E430" s="893"/>
      <c r="F430" s="893"/>
      <c r="G430" s="894"/>
      <c r="H430" s="39"/>
      <c r="J430" s="187"/>
    </row>
    <row r="431" spans="1:10" s="35" customFormat="1">
      <c r="A431" s="37"/>
      <c r="B431" s="37"/>
      <c r="D431" s="893"/>
      <c r="E431" s="893"/>
      <c r="F431" s="893"/>
      <c r="G431" s="894"/>
      <c r="H431" s="39"/>
      <c r="J431" s="187"/>
    </row>
    <row r="432" spans="1:10" s="35" customFormat="1">
      <c r="A432" s="37"/>
      <c r="B432" s="37"/>
      <c r="D432" s="893"/>
      <c r="E432" s="893"/>
      <c r="F432" s="893"/>
      <c r="G432" s="894"/>
      <c r="H432" s="39"/>
      <c r="J432" s="187"/>
    </row>
    <row r="433" spans="1:10" s="35" customFormat="1">
      <c r="A433" s="37"/>
      <c r="B433" s="37"/>
      <c r="D433" s="893"/>
      <c r="E433" s="893"/>
      <c r="F433" s="893"/>
      <c r="G433" s="894"/>
      <c r="H433" s="39"/>
      <c r="J433" s="187"/>
    </row>
    <row r="434" spans="1:10" s="35" customFormat="1">
      <c r="A434" s="37"/>
      <c r="B434" s="37"/>
      <c r="D434" s="893"/>
      <c r="E434" s="893"/>
      <c r="F434" s="893"/>
      <c r="G434" s="894"/>
      <c r="H434" s="39"/>
      <c r="J434" s="187"/>
    </row>
    <row r="435" spans="1:10" s="35" customFormat="1">
      <c r="A435" s="37"/>
      <c r="B435" s="37"/>
      <c r="D435" s="893"/>
      <c r="E435" s="893"/>
      <c r="F435" s="893"/>
      <c r="G435" s="894"/>
      <c r="H435" s="39"/>
      <c r="J435" s="187"/>
    </row>
    <row r="436" spans="1:10" s="35" customFormat="1">
      <c r="A436" s="37"/>
      <c r="B436" s="37"/>
      <c r="D436" s="893"/>
      <c r="E436" s="893"/>
      <c r="F436" s="893"/>
      <c r="G436" s="894"/>
      <c r="H436" s="39"/>
      <c r="J436" s="187"/>
    </row>
    <row r="437" spans="1:10" s="35" customFormat="1">
      <c r="A437" s="37"/>
      <c r="B437" s="37"/>
      <c r="D437" s="893"/>
      <c r="E437" s="893"/>
      <c r="F437" s="893"/>
      <c r="G437" s="894"/>
      <c r="H437" s="39"/>
      <c r="J437" s="187"/>
    </row>
    <row r="438" spans="1:10" s="35" customFormat="1">
      <c r="A438" s="37"/>
      <c r="B438" s="37"/>
      <c r="D438" s="893"/>
      <c r="E438" s="893"/>
      <c r="F438" s="893"/>
      <c r="G438" s="894"/>
      <c r="H438" s="39"/>
      <c r="J438" s="187"/>
    </row>
    <row r="439" spans="1:10" s="35" customFormat="1">
      <c r="A439" s="37"/>
      <c r="B439" s="37"/>
      <c r="D439" s="893"/>
      <c r="E439" s="893"/>
      <c r="F439" s="893"/>
      <c r="G439" s="894"/>
      <c r="H439" s="39"/>
      <c r="J439" s="187"/>
    </row>
    <row r="440" spans="1:10" s="35" customFormat="1">
      <c r="A440" s="37"/>
      <c r="B440" s="37"/>
      <c r="D440" s="893"/>
      <c r="E440" s="893"/>
      <c r="F440" s="893"/>
      <c r="G440" s="894"/>
      <c r="H440" s="39"/>
      <c r="J440" s="187"/>
    </row>
    <row r="441" spans="1:10" s="35" customFormat="1">
      <c r="A441" s="37"/>
      <c r="B441" s="37"/>
      <c r="D441" s="893"/>
      <c r="E441" s="893"/>
      <c r="F441" s="893"/>
      <c r="G441" s="894"/>
      <c r="H441" s="39"/>
      <c r="J441" s="187"/>
    </row>
    <row r="442" spans="1:10" s="35" customFormat="1">
      <c r="A442" s="37"/>
      <c r="B442" s="37"/>
      <c r="D442" s="893"/>
      <c r="E442" s="893"/>
      <c r="F442" s="893"/>
      <c r="G442" s="894"/>
      <c r="H442" s="39"/>
      <c r="J442" s="187"/>
    </row>
    <row r="443" spans="1:10" s="35" customFormat="1">
      <c r="A443" s="37"/>
      <c r="B443" s="37"/>
      <c r="D443" s="893"/>
      <c r="E443" s="893"/>
      <c r="F443" s="893"/>
      <c r="G443" s="894"/>
      <c r="H443" s="39"/>
      <c r="J443" s="187"/>
    </row>
    <row r="444" spans="1:10" s="35" customFormat="1">
      <c r="A444" s="37"/>
      <c r="B444" s="37"/>
      <c r="D444" s="893"/>
      <c r="E444" s="893"/>
      <c r="F444" s="893"/>
      <c r="G444" s="894"/>
      <c r="H444" s="39"/>
      <c r="J444" s="187"/>
    </row>
    <row r="445" spans="1:10" s="35" customFormat="1">
      <c r="A445" s="37"/>
      <c r="B445" s="37"/>
      <c r="D445" s="893"/>
      <c r="E445" s="893"/>
      <c r="F445" s="893"/>
      <c r="G445" s="894"/>
      <c r="H445" s="39"/>
      <c r="J445" s="187"/>
    </row>
    <row r="446" spans="1:10" s="35" customFormat="1">
      <c r="A446" s="37"/>
      <c r="B446" s="37"/>
      <c r="D446" s="893"/>
      <c r="E446" s="893"/>
      <c r="F446" s="893"/>
      <c r="G446" s="894"/>
      <c r="H446" s="39"/>
      <c r="J446" s="187"/>
    </row>
    <row r="447" spans="1:10" s="35" customFormat="1">
      <c r="A447" s="37"/>
      <c r="B447" s="37"/>
      <c r="D447" s="893"/>
      <c r="E447" s="893"/>
      <c r="F447" s="893"/>
      <c r="G447" s="894"/>
      <c r="H447" s="39"/>
      <c r="J447" s="187"/>
    </row>
    <row r="448" spans="1:10" s="35" customFormat="1">
      <c r="A448" s="37"/>
      <c r="B448" s="37"/>
      <c r="D448" s="893"/>
      <c r="E448" s="893"/>
      <c r="F448" s="893"/>
      <c r="G448" s="894"/>
      <c r="H448" s="39"/>
      <c r="J448" s="187"/>
    </row>
    <row r="449" spans="1:10" s="35" customFormat="1">
      <c r="A449" s="37"/>
      <c r="B449" s="37"/>
      <c r="D449" s="893"/>
      <c r="E449" s="893"/>
      <c r="F449" s="893"/>
      <c r="G449" s="894"/>
      <c r="H449" s="39"/>
      <c r="J449" s="187"/>
    </row>
    <row r="450" spans="1:10" s="35" customFormat="1">
      <c r="A450" s="37"/>
      <c r="B450" s="37"/>
      <c r="D450" s="893"/>
      <c r="E450" s="893"/>
      <c r="F450" s="893"/>
      <c r="G450" s="894"/>
      <c r="H450" s="39"/>
      <c r="J450" s="187"/>
    </row>
    <row r="451" spans="1:10" s="35" customFormat="1">
      <c r="A451" s="37"/>
      <c r="B451" s="37"/>
      <c r="D451" s="893"/>
      <c r="E451" s="893"/>
      <c r="F451" s="893"/>
      <c r="G451" s="894"/>
      <c r="H451" s="39"/>
      <c r="J451" s="187"/>
    </row>
    <row r="452" spans="1:10" s="35" customFormat="1">
      <c r="A452" s="37"/>
      <c r="B452" s="37"/>
      <c r="D452" s="893"/>
      <c r="E452" s="893"/>
      <c r="F452" s="893"/>
      <c r="G452" s="894"/>
      <c r="H452" s="39"/>
      <c r="J452" s="187"/>
    </row>
    <row r="453" spans="1:10" s="35" customFormat="1">
      <c r="A453" s="37"/>
      <c r="B453" s="37"/>
      <c r="D453" s="893"/>
      <c r="E453" s="893"/>
      <c r="F453" s="893"/>
      <c r="G453" s="894"/>
      <c r="H453" s="39"/>
      <c r="J453" s="187"/>
    </row>
    <row r="454" spans="1:10" s="35" customFormat="1">
      <c r="A454" s="37"/>
      <c r="B454" s="37"/>
      <c r="D454" s="893"/>
      <c r="E454" s="893"/>
      <c r="F454" s="893"/>
      <c r="G454" s="894"/>
      <c r="H454" s="39"/>
      <c r="J454" s="187"/>
    </row>
    <row r="455" spans="1:10" s="35" customFormat="1">
      <c r="A455" s="37"/>
      <c r="B455" s="37"/>
      <c r="D455" s="893"/>
      <c r="E455" s="893"/>
      <c r="F455" s="893"/>
      <c r="G455" s="894"/>
      <c r="H455" s="39"/>
      <c r="J455" s="187"/>
    </row>
    <row r="456" spans="1:10" s="35" customFormat="1">
      <c r="A456" s="37"/>
      <c r="B456" s="37"/>
      <c r="D456" s="893"/>
      <c r="E456" s="893"/>
      <c r="F456" s="893"/>
      <c r="G456" s="894"/>
      <c r="H456" s="39"/>
      <c r="J456" s="187"/>
    </row>
    <row r="457" spans="1:10" s="35" customFormat="1">
      <c r="A457" s="37"/>
      <c r="B457" s="37"/>
      <c r="D457" s="893"/>
      <c r="E457" s="893"/>
      <c r="F457" s="893"/>
      <c r="G457" s="894"/>
      <c r="H457" s="39"/>
      <c r="J457" s="187"/>
    </row>
    <row r="458" spans="1:10" s="35" customFormat="1">
      <c r="A458" s="37"/>
      <c r="B458" s="37"/>
      <c r="D458" s="893"/>
      <c r="E458" s="893"/>
      <c r="F458" s="893"/>
      <c r="G458" s="894"/>
      <c r="H458" s="39"/>
      <c r="J458" s="187"/>
    </row>
    <row r="459" spans="1:10" s="35" customFormat="1">
      <c r="A459" s="37"/>
      <c r="B459" s="37"/>
      <c r="D459" s="893"/>
      <c r="E459" s="893"/>
      <c r="F459" s="893"/>
      <c r="G459" s="894"/>
      <c r="H459" s="39"/>
      <c r="J459" s="187"/>
    </row>
    <row r="460" spans="1:10" s="35" customFormat="1">
      <c r="A460" s="37"/>
      <c r="B460" s="37"/>
      <c r="D460" s="893"/>
      <c r="E460" s="893"/>
      <c r="F460" s="893"/>
      <c r="G460" s="894"/>
      <c r="H460" s="39"/>
      <c r="J460" s="187"/>
    </row>
    <row r="461" spans="1:10" s="35" customFormat="1">
      <c r="A461" s="37"/>
      <c r="B461" s="37"/>
      <c r="D461" s="893"/>
      <c r="E461" s="893"/>
      <c r="F461" s="893"/>
      <c r="G461" s="894"/>
      <c r="H461" s="39"/>
      <c r="J461" s="187"/>
    </row>
    <row r="462" spans="1:10" s="35" customFormat="1">
      <c r="A462" s="37"/>
      <c r="B462" s="37"/>
      <c r="D462" s="893"/>
      <c r="E462" s="893"/>
      <c r="F462" s="893"/>
      <c r="G462" s="894"/>
      <c r="H462" s="39"/>
      <c r="J462" s="187"/>
    </row>
    <row r="463" spans="1:10" s="35" customFormat="1">
      <c r="A463" s="37"/>
      <c r="B463" s="37"/>
      <c r="D463" s="893"/>
      <c r="E463" s="893"/>
      <c r="F463" s="893"/>
      <c r="G463" s="894"/>
      <c r="H463" s="39"/>
      <c r="J463" s="187"/>
    </row>
    <row r="464" spans="1:10" s="35" customFormat="1">
      <c r="A464" s="37"/>
      <c r="B464" s="37"/>
      <c r="D464" s="893"/>
      <c r="E464" s="893"/>
      <c r="F464" s="893"/>
      <c r="G464" s="894"/>
      <c r="H464" s="39"/>
      <c r="J464" s="187"/>
    </row>
    <row r="465" spans="1:10" s="35" customFormat="1">
      <c r="A465" s="37"/>
      <c r="B465" s="37"/>
      <c r="D465" s="893"/>
      <c r="E465" s="893"/>
      <c r="F465" s="893"/>
      <c r="G465" s="894"/>
      <c r="H465" s="39"/>
      <c r="J465" s="187"/>
    </row>
    <row r="466" spans="1:10" s="35" customFormat="1">
      <c r="A466" s="37"/>
      <c r="B466" s="37"/>
      <c r="D466" s="893"/>
      <c r="E466" s="893"/>
      <c r="F466" s="893"/>
      <c r="G466" s="894"/>
      <c r="H466" s="39"/>
      <c r="J466" s="187"/>
    </row>
    <row r="467" spans="1:10" s="35" customFormat="1">
      <c r="A467" s="37"/>
      <c r="B467" s="37"/>
      <c r="D467" s="893"/>
      <c r="E467" s="893"/>
      <c r="F467" s="893"/>
      <c r="G467" s="894"/>
      <c r="H467" s="39"/>
      <c r="J467" s="187"/>
    </row>
    <row r="468" spans="1:10" s="35" customFormat="1">
      <c r="A468" s="37"/>
      <c r="B468" s="37"/>
      <c r="D468" s="893"/>
      <c r="E468" s="893"/>
      <c r="F468" s="893"/>
      <c r="G468" s="894"/>
      <c r="H468" s="39"/>
      <c r="J468" s="187"/>
    </row>
    <row r="469" spans="1:10" s="35" customFormat="1">
      <c r="A469" s="37"/>
      <c r="B469" s="37"/>
      <c r="D469" s="893"/>
      <c r="E469" s="893"/>
      <c r="F469" s="893"/>
      <c r="G469" s="894"/>
      <c r="H469" s="39"/>
      <c r="J469" s="187"/>
    </row>
    <row r="470" spans="1:10" s="35" customFormat="1">
      <c r="A470" s="37"/>
      <c r="B470" s="37"/>
      <c r="D470" s="893"/>
      <c r="E470" s="893"/>
      <c r="F470" s="893"/>
      <c r="G470" s="894"/>
      <c r="H470" s="39"/>
      <c r="J470" s="187"/>
    </row>
    <row r="471" spans="1:10" s="35" customFormat="1">
      <c r="A471" s="37"/>
      <c r="B471" s="37"/>
      <c r="D471" s="893"/>
      <c r="E471" s="893"/>
      <c r="F471" s="893"/>
      <c r="G471" s="894"/>
      <c r="H471" s="39"/>
      <c r="J471" s="187"/>
    </row>
    <row r="472" spans="1:10" s="35" customFormat="1">
      <c r="A472" s="37"/>
      <c r="B472" s="37"/>
      <c r="D472" s="893"/>
      <c r="E472" s="893"/>
      <c r="F472" s="893"/>
      <c r="G472" s="894"/>
      <c r="H472" s="39"/>
      <c r="J472" s="187"/>
    </row>
    <row r="473" spans="1:10" s="35" customFormat="1">
      <c r="A473" s="37"/>
      <c r="B473" s="37"/>
      <c r="D473" s="893"/>
      <c r="E473" s="893"/>
      <c r="F473" s="893"/>
      <c r="G473" s="894"/>
      <c r="H473" s="39"/>
      <c r="J473" s="187"/>
    </row>
    <row r="474" spans="1:10" s="35" customFormat="1">
      <c r="A474" s="37"/>
      <c r="B474" s="37"/>
      <c r="D474" s="893"/>
      <c r="E474" s="893"/>
      <c r="F474" s="893"/>
      <c r="G474" s="894"/>
      <c r="H474" s="39"/>
      <c r="J474" s="187"/>
    </row>
    <row r="475" spans="1:10" s="35" customFormat="1">
      <c r="A475" s="37"/>
      <c r="B475" s="37"/>
      <c r="D475" s="893"/>
      <c r="E475" s="893"/>
      <c r="F475" s="893"/>
      <c r="G475" s="894"/>
      <c r="H475" s="39"/>
      <c r="J475" s="187"/>
    </row>
    <row r="476" spans="1:10" s="35" customFormat="1">
      <c r="A476" s="37"/>
      <c r="B476" s="37"/>
      <c r="D476" s="893"/>
      <c r="E476" s="893"/>
      <c r="F476" s="893"/>
      <c r="G476" s="894"/>
      <c r="H476" s="39"/>
      <c r="J476" s="187"/>
    </row>
    <row r="477" spans="1:10" s="35" customFormat="1">
      <c r="A477" s="37"/>
      <c r="B477" s="37"/>
      <c r="D477" s="893"/>
      <c r="E477" s="893"/>
      <c r="F477" s="893"/>
      <c r="G477" s="894"/>
      <c r="H477" s="39"/>
      <c r="J477" s="187"/>
    </row>
    <row r="478" spans="1:10" s="35" customFormat="1">
      <c r="A478" s="37"/>
      <c r="B478" s="37"/>
      <c r="D478" s="893"/>
      <c r="E478" s="893"/>
      <c r="F478" s="893"/>
      <c r="G478" s="894"/>
      <c r="H478" s="39"/>
      <c r="J478" s="187"/>
    </row>
    <row r="479" spans="1:10" s="35" customFormat="1">
      <c r="A479" s="37"/>
      <c r="B479" s="37"/>
      <c r="D479" s="893"/>
      <c r="E479" s="893"/>
      <c r="F479" s="893"/>
      <c r="G479" s="894"/>
      <c r="H479" s="39"/>
      <c r="J479" s="187"/>
    </row>
    <row r="480" spans="1:10" s="35" customFormat="1">
      <c r="A480" s="37"/>
      <c r="B480" s="37"/>
      <c r="D480" s="893"/>
      <c r="E480" s="893"/>
      <c r="F480" s="893"/>
      <c r="G480" s="894"/>
      <c r="H480" s="39"/>
      <c r="J480" s="187"/>
    </row>
    <row r="481" spans="1:10" s="35" customFormat="1">
      <c r="A481" s="37"/>
      <c r="B481" s="37"/>
      <c r="D481" s="893"/>
      <c r="E481" s="893"/>
      <c r="F481" s="893"/>
      <c r="G481" s="894"/>
      <c r="H481" s="39"/>
      <c r="J481" s="187"/>
    </row>
    <row r="482" spans="1:10" s="35" customFormat="1">
      <c r="A482" s="37"/>
      <c r="B482" s="37"/>
      <c r="D482" s="893"/>
      <c r="E482" s="893"/>
      <c r="F482" s="893"/>
      <c r="G482" s="894"/>
      <c r="H482" s="39"/>
      <c r="J482" s="187"/>
    </row>
    <row r="483" spans="1:10" s="35" customFormat="1">
      <c r="A483" s="37"/>
      <c r="B483" s="37"/>
      <c r="D483" s="893"/>
      <c r="E483" s="893"/>
      <c r="F483" s="893"/>
      <c r="G483" s="894"/>
      <c r="H483" s="39"/>
      <c r="J483" s="187"/>
    </row>
    <row r="484" spans="1:10" s="35" customFormat="1">
      <c r="A484" s="37"/>
      <c r="B484" s="37"/>
      <c r="D484" s="893"/>
      <c r="E484" s="893"/>
      <c r="F484" s="893"/>
      <c r="G484" s="894"/>
      <c r="H484" s="39"/>
      <c r="J484" s="187"/>
    </row>
    <row r="485" spans="1:10" s="35" customFormat="1">
      <c r="A485" s="37"/>
      <c r="B485" s="37"/>
      <c r="D485" s="893"/>
      <c r="E485" s="893"/>
      <c r="F485" s="893"/>
      <c r="G485" s="894"/>
      <c r="H485" s="39"/>
      <c r="J485" s="187"/>
    </row>
    <row r="486" spans="1:10" s="35" customFormat="1">
      <c r="A486" s="37"/>
      <c r="B486" s="37"/>
      <c r="D486" s="893"/>
      <c r="E486" s="893"/>
      <c r="F486" s="893"/>
      <c r="G486" s="894"/>
      <c r="H486" s="39"/>
      <c r="J486" s="187"/>
    </row>
    <row r="487" spans="1:10" s="35" customFormat="1">
      <c r="A487" s="37"/>
      <c r="B487" s="37"/>
      <c r="D487" s="893"/>
      <c r="E487" s="893"/>
      <c r="F487" s="893"/>
      <c r="G487" s="894"/>
      <c r="H487" s="39"/>
      <c r="J487" s="187"/>
    </row>
    <row r="488" spans="1:10" s="35" customFormat="1">
      <c r="A488" s="37"/>
      <c r="B488" s="37"/>
      <c r="D488" s="893"/>
      <c r="E488" s="893"/>
      <c r="F488" s="893"/>
      <c r="G488" s="894"/>
      <c r="H488" s="39"/>
      <c r="J488" s="187"/>
    </row>
    <row r="489" spans="1:10" s="35" customFormat="1">
      <c r="A489" s="37"/>
      <c r="B489" s="37"/>
      <c r="D489" s="893"/>
      <c r="E489" s="893"/>
      <c r="F489" s="893"/>
      <c r="G489" s="894"/>
      <c r="H489" s="39"/>
      <c r="J489" s="187"/>
    </row>
    <row r="490" spans="1:10" s="35" customFormat="1">
      <c r="A490" s="37"/>
      <c r="B490" s="37"/>
      <c r="D490" s="893"/>
      <c r="E490" s="893"/>
      <c r="F490" s="893"/>
      <c r="G490" s="894"/>
      <c r="H490" s="39"/>
      <c r="J490" s="187"/>
    </row>
    <row r="491" spans="1:10" s="35" customFormat="1">
      <c r="A491" s="37"/>
      <c r="B491" s="37"/>
      <c r="D491" s="893"/>
      <c r="E491" s="893"/>
      <c r="F491" s="893"/>
      <c r="G491" s="894"/>
      <c r="H491" s="39"/>
      <c r="J491" s="187"/>
    </row>
    <row r="492" spans="1:10" s="35" customFormat="1">
      <c r="A492" s="37"/>
      <c r="B492" s="37"/>
      <c r="D492" s="893"/>
      <c r="E492" s="893"/>
      <c r="F492" s="893"/>
      <c r="G492" s="894"/>
      <c r="H492" s="39"/>
      <c r="J492" s="187"/>
    </row>
    <row r="493" spans="1:10" s="35" customFormat="1">
      <c r="A493" s="37"/>
      <c r="B493" s="37"/>
      <c r="D493" s="893"/>
      <c r="E493" s="893"/>
      <c r="F493" s="893"/>
      <c r="G493" s="894"/>
      <c r="H493" s="39"/>
      <c r="J493" s="187"/>
    </row>
    <row r="494" spans="1:10" s="35" customFormat="1">
      <c r="A494" s="37"/>
      <c r="B494" s="37"/>
      <c r="D494" s="893"/>
      <c r="E494" s="893"/>
      <c r="F494" s="893"/>
      <c r="G494" s="894"/>
      <c r="H494" s="39"/>
      <c r="J494" s="187"/>
    </row>
    <row r="495" spans="1:10" s="35" customFormat="1">
      <c r="A495" s="37"/>
      <c r="B495" s="37"/>
      <c r="D495" s="893"/>
      <c r="E495" s="893"/>
      <c r="F495" s="893"/>
      <c r="G495" s="894"/>
      <c r="H495" s="39"/>
      <c r="J495" s="187"/>
    </row>
    <row r="496" spans="1:10" s="35" customFormat="1">
      <c r="A496" s="37"/>
      <c r="B496" s="37"/>
      <c r="D496" s="893"/>
      <c r="E496" s="893"/>
      <c r="F496" s="893"/>
      <c r="G496" s="894"/>
      <c r="H496" s="39"/>
      <c r="J496" s="187"/>
    </row>
    <row r="497" spans="1:10" s="35" customFormat="1">
      <c r="A497" s="37"/>
      <c r="B497" s="37"/>
      <c r="D497" s="893"/>
      <c r="E497" s="893"/>
      <c r="F497" s="893"/>
      <c r="G497" s="894"/>
      <c r="H497" s="39"/>
      <c r="J497" s="187"/>
    </row>
    <row r="498" spans="1:10" s="35" customFormat="1">
      <c r="A498" s="37"/>
      <c r="B498" s="37"/>
      <c r="D498" s="893"/>
      <c r="E498" s="893"/>
      <c r="F498" s="893"/>
      <c r="G498" s="894"/>
      <c r="H498" s="39"/>
      <c r="J498" s="187"/>
    </row>
    <row r="499" spans="1:10" s="35" customFormat="1">
      <c r="A499" s="37"/>
      <c r="B499" s="37"/>
      <c r="D499" s="893"/>
      <c r="E499" s="893"/>
      <c r="F499" s="893"/>
      <c r="G499" s="894"/>
      <c r="H499" s="39"/>
      <c r="J499" s="187"/>
    </row>
    <row r="500" spans="1:10" s="35" customFormat="1">
      <c r="A500" s="37"/>
      <c r="B500" s="37"/>
      <c r="D500" s="893"/>
      <c r="E500" s="893"/>
      <c r="F500" s="893"/>
      <c r="G500" s="894"/>
      <c r="H500" s="39"/>
      <c r="J500" s="187"/>
    </row>
    <row r="501" spans="1:10" s="35" customFormat="1">
      <c r="A501" s="37"/>
      <c r="B501" s="37"/>
      <c r="D501" s="893"/>
      <c r="E501" s="893"/>
      <c r="F501" s="893"/>
      <c r="G501" s="894"/>
      <c r="H501" s="39"/>
      <c r="J501" s="187"/>
    </row>
    <row r="502" spans="1:10" s="35" customFormat="1">
      <c r="A502" s="37"/>
      <c r="B502" s="37"/>
      <c r="D502" s="893"/>
      <c r="E502" s="893"/>
      <c r="F502" s="893"/>
      <c r="G502" s="894"/>
      <c r="H502" s="39"/>
      <c r="J502" s="187"/>
    </row>
    <row r="503" spans="1:10" s="35" customFormat="1">
      <c r="A503" s="37"/>
      <c r="B503" s="37"/>
      <c r="D503" s="893"/>
      <c r="E503" s="893"/>
      <c r="F503" s="893"/>
      <c r="G503" s="894"/>
      <c r="H503" s="39"/>
      <c r="J503" s="187"/>
    </row>
    <row r="504" spans="1:10" s="35" customFormat="1">
      <c r="A504" s="37"/>
      <c r="B504" s="37"/>
      <c r="D504" s="893"/>
      <c r="E504" s="893"/>
      <c r="F504" s="893"/>
      <c r="G504" s="894"/>
      <c r="H504" s="39"/>
      <c r="J504" s="187"/>
    </row>
    <row r="505" spans="1:10" s="35" customFormat="1">
      <c r="A505" s="37"/>
      <c r="B505" s="37"/>
      <c r="D505" s="893"/>
      <c r="E505" s="893"/>
      <c r="F505" s="893"/>
      <c r="G505" s="894"/>
      <c r="H505" s="39"/>
      <c r="J505" s="187"/>
    </row>
    <row r="506" spans="1:10" s="35" customFormat="1">
      <c r="A506" s="37"/>
      <c r="B506" s="37"/>
      <c r="D506" s="893"/>
      <c r="E506" s="893"/>
      <c r="F506" s="893"/>
      <c r="G506" s="894"/>
      <c r="H506" s="39"/>
      <c r="J506" s="187"/>
    </row>
    <row r="507" spans="1:10" s="35" customFormat="1">
      <c r="A507" s="37"/>
      <c r="B507" s="37"/>
      <c r="D507" s="893"/>
      <c r="E507" s="893"/>
      <c r="F507" s="893"/>
      <c r="G507" s="894"/>
      <c r="H507" s="39"/>
      <c r="J507" s="187"/>
    </row>
    <row r="508" spans="1:10" s="35" customFormat="1">
      <c r="A508" s="37"/>
      <c r="B508" s="37"/>
      <c r="D508" s="893"/>
      <c r="E508" s="893"/>
      <c r="F508" s="893"/>
      <c r="G508" s="894"/>
      <c r="H508" s="39"/>
      <c r="J508" s="187"/>
    </row>
    <row r="509" spans="1:10" s="35" customFormat="1">
      <c r="A509" s="37"/>
      <c r="B509" s="37"/>
      <c r="D509" s="893"/>
      <c r="E509" s="893"/>
      <c r="F509" s="893"/>
      <c r="G509" s="894"/>
      <c r="H509" s="39"/>
      <c r="J509" s="187"/>
    </row>
    <row r="510" spans="1:10" s="35" customFormat="1">
      <c r="A510" s="37"/>
      <c r="B510" s="37"/>
      <c r="D510" s="893"/>
      <c r="E510" s="893"/>
      <c r="F510" s="893"/>
      <c r="G510" s="894"/>
      <c r="H510" s="39"/>
      <c r="J510" s="187"/>
    </row>
    <row r="511" spans="1:10" s="35" customFormat="1">
      <c r="A511" s="37"/>
      <c r="B511" s="37"/>
      <c r="D511" s="893"/>
      <c r="E511" s="893"/>
      <c r="F511" s="893"/>
      <c r="G511" s="894"/>
      <c r="H511" s="39"/>
      <c r="J511" s="187"/>
    </row>
    <row r="512" spans="1:10" s="35" customFormat="1">
      <c r="A512" s="37"/>
      <c r="B512" s="37"/>
      <c r="D512" s="893"/>
      <c r="E512" s="893"/>
      <c r="F512" s="893"/>
      <c r="G512" s="894"/>
      <c r="H512" s="39"/>
      <c r="J512" s="187"/>
    </row>
    <row r="513" spans="1:10" s="35" customFormat="1">
      <c r="A513" s="37"/>
      <c r="B513" s="37"/>
      <c r="D513" s="893"/>
      <c r="E513" s="893"/>
      <c r="F513" s="893"/>
      <c r="G513" s="894"/>
      <c r="H513" s="39"/>
      <c r="J513" s="187"/>
    </row>
    <row r="514" spans="1:10" s="35" customFormat="1">
      <c r="A514" s="37"/>
      <c r="B514" s="37"/>
      <c r="D514" s="893"/>
      <c r="E514" s="893"/>
      <c r="F514" s="893"/>
      <c r="G514" s="894"/>
      <c r="H514" s="39"/>
      <c r="J514" s="187"/>
    </row>
    <row r="515" spans="1:10" s="35" customFormat="1">
      <c r="A515" s="37"/>
      <c r="B515" s="37"/>
      <c r="D515" s="893"/>
      <c r="E515" s="893"/>
      <c r="F515" s="893"/>
      <c r="G515" s="894"/>
      <c r="H515" s="39"/>
      <c r="J515" s="187"/>
    </row>
    <row r="516" spans="1:10" s="35" customFormat="1">
      <c r="A516" s="37"/>
      <c r="B516" s="37"/>
      <c r="D516" s="893"/>
      <c r="E516" s="893"/>
      <c r="F516" s="893"/>
      <c r="G516" s="894"/>
      <c r="H516" s="39"/>
      <c r="J516" s="187"/>
    </row>
    <row r="517" spans="1:10" s="35" customFormat="1">
      <c r="A517" s="37"/>
      <c r="B517" s="37"/>
      <c r="D517" s="893"/>
      <c r="E517" s="893"/>
      <c r="F517" s="893"/>
      <c r="G517" s="894"/>
      <c r="H517" s="39"/>
      <c r="J517" s="187"/>
    </row>
    <row r="518" spans="1:10" s="35" customFormat="1">
      <c r="A518" s="37"/>
      <c r="B518" s="37"/>
      <c r="D518" s="893"/>
      <c r="E518" s="893"/>
      <c r="F518" s="893"/>
      <c r="G518" s="894"/>
      <c r="H518" s="39"/>
      <c r="J518" s="187"/>
    </row>
    <row r="519" spans="1:10" s="35" customFormat="1">
      <c r="A519" s="37"/>
      <c r="B519" s="37"/>
      <c r="D519" s="893"/>
      <c r="E519" s="893"/>
      <c r="F519" s="893"/>
      <c r="G519" s="894"/>
      <c r="H519" s="39"/>
      <c r="J519" s="187"/>
    </row>
    <row r="520" spans="1:10" s="35" customFormat="1">
      <c r="A520" s="37"/>
      <c r="B520" s="37"/>
      <c r="D520" s="893"/>
      <c r="E520" s="893"/>
      <c r="F520" s="893"/>
      <c r="G520" s="894"/>
      <c r="H520" s="39"/>
      <c r="J520" s="187"/>
    </row>
    <row r="521" spans="1:10" s="35" customFormat="1">
      <c r="A521" s="37"/>
      <c r="B521" s="37"/>
      <c r="D521" s="893"/>
      <c r="E521" s="893"/>
      <c r="F521" s="893"/>
      <c r="G521" s="894"/>
      <c r="H521" s="39"/>
      <c r="J521" s="187"/>
    </row>
    <row r="522" spans="1:10" s="35" customFormat="1">
      <c r="A522" s="37"/>
      <c r="B522" s="37"/>
      <c r="D522" s="893"/>
      <c r="E522" s="893"/>
      <c r="F522" s="893"/>
      <c r="G522" s="894"/>
      <c r="H522" s="39"/>
      <c r="J522" s="187"/>
    </row>
    <row r="523" spans="1:10" s="35" customFormat="1">
      <c r="A523" s="37"/>
      <c r="B523" s="37"/>
      <c r="D523" s="893"/>
      <c r="E523" s="893"/>
      <c r="F523" s="893"/>
      <c r="G523" s="894"/>
      <c r="H523" s="39"/>
      <c r="J523" s="187"/>
    </row>
    <row r="524" spans="1:10" s="35" customFormat="1">
      <c r="A524" s="37"/>
      <c r="B524" s="37"/>
      <c r="D524" s="893"/>
      <c r="E524" s="893"/>
      <c r="F524" s="893"/>
      <c r="G524" s="894"/>
      <c r="H524" s="39"/>
      <c r="J524" s="187"/>
    </row>
    <row r="525" spans="1:10" s="35" customFormat="1">
      <c r="A525" s="37"/>
      <c r="B525" s="37"/>
      <c r="D525" s="893"/>
      <c r="E525" s="893"/>
      <c r="F525" s="893"/>
      <c r="G525" s="894"/>
      <c r="H525" s="39"/>
      <c r="J525" s="187"/>
    </row>
    <row r="526" spans="1:10" s="35" customFormat="1">
      <c r="A526" s="37"/>
      <c r="B526" s="37"/>
      <c r="D526" s="893"/>
      <c r="E526" s="893"/>
      <c r="F526" s="893"/>
      <c r="G526" s="894"/>
      <c r="H526" s="39"/>
      <c r="J526" s="187"/>
    </row>
    <row r="527" spans="1:10" s="35" customFormat="1">
      <c r="A527" s="37"/>
      <c r="B527" s="37"/>
      <c r="D527" s="893"/>
      <c r="E527" s="893"/>
      <c r="F527" s="893"/>
      <c r="G527" s="894"/>
      <c r="H527" s="39"/>
      <c r="J527" s="187"/>
    </row>
    <row r="528" spans="1:10" s="35" customFormat="1">
      <c r="A528" s="37"/>
      <c r="B528" s="37"/>
      <c r="D528" s="893"/>
      <c r="E528" s="893"/>
      <c r="F528" s="893"/>
      <c r="G528" s="894"/>
      <c r="H528" s="39"/>
      <c r="J528" s="187"/>
    </row>
    <row r="529" spans="1:10" s="35" customFormat="1">
      <c r="A529" s="37"/>
      <c r="B529" s="37"/>
      <c r="D529" s="893"/>
      <c r="E529" s="893"/>
      <c r="F529" s="893"/>
      <c r="G529" s="894"/>
      <c r="H529" s="39"/>
      <c r="J529" s="187"/>
    </row>
    <row r="530" spans="1:10" s="35" customFormat="1">
      <c r="A530" s="37"/>
      <c r="B530" s="37"/>
      <c r="D530" s="893"/>
      <c r="E530" s="893"/>
      <c r="F530" s="893"/>
      <c r="G530" s="894"/>
      <c r="H530" s="39"/>
      <c r="J530" s="187"/>
    </row>
    <row r="531" spans="1:10" s="35" customFormat="1">
      <c r="A531" s="37"/>
      <c r="B531" s="37"/>
      <c r="D531" s="893"/>
      <c r="E531" s="893"/>
      <c r="F531" s="893"/>
      <c r="G531" s="894"/>
      <c r="H531" s="39"/>
      <c r="J531" s="187"/>
    </row>
    <row r="532" spans="1:10" s="35" customFormat="1">
      <c r="A532" s="37"/>
      <c r="B532" s="37"/>
      <c r="D532" s="893"/>
      <c r="E532" s="893"/>
      <c r="F532" s="893"/>
      <c r="G532" s="894"/>
      <c r="H532" s="39"/>
      <c r="J532" s="187"/>
    </row>
    <row r="533" spans="1:10" s="35" customFormat="1">
      <c r="A533" s="37"/>
      <c r="B533" s="37"/>
      <c r="D533" s="893"/>
      <c r="E533" s="893"/>
      <c r="F533" s="893"/>
      <c r="G533" s="894"/>
      <c r="H533" s="39"/>
      <c r="J533" s="187"/>
    </row>
    <row r="534" spans="1:10" s="35" customFormat="1">
      <c r="A534" s="37"/>
      <c r="B534" s="37"/>
      <c r="D534" s="893"/>
      <c r="E534" s="893"/>
      <c r="F534" s="893"/>
      <c r="G534" s="894"/>
      <c r="H534" s="39"/>
      <c r="J534" s="187"/>
    </row>
    <row r="535" spans="1:10" s="35" customFormat="1">
      <c r="A535" s="37"/>
      <c r="B535" s="37"/>
      <c r="D535" s="893"/>
      <c r="E535" s="893"/>
      <c r="F535" s="893"/>
      <c r="G535" s="894"/>
      <c r="H535" s="39"/>
      <c r="J535" s="187"/>
    </row>
    <row r="536" spans="1:10" s="35" customFormat="1">
      <c r="A536" s="37"/>
      <c r="B536" s="37"/>
      <c r="D536" s="893"/>
      <c r="E536" s="893"/>
      <c r="F536" s="893"/>
      <c r="G536" s="894"/>
      <c r="H536" s="39"/>
      <c r="J536" s="187"/>
    </row>
    <row r="537" spans="1:10" s="35" customFormat="1">
      <c r="A537" s="37"/>
      <c r="B537" s="37"/>
      <c r="D537" s="893"/>
      <c r="E537" s="893"/>
      <c r="F537" s="893"/>
      <c r="G537" s="894"/>
      <c r="H537" s="39"/>
      <c r="J537" s="187"/>
    </row>
    <row r="538" spans="1:10" s="35" customFormat="1">
      <c r="A538" s="37"/>
      <c r="B538" s="37"/>
      <c r="D538" s="893"/>
      <c r="E538" s="893"/>
      <c r="F538" s="893"/>
      <c r="G538" s="894"/>
      <c r="H538" s="39"/>
      <c r="J538" s="187"/>
    </row>
    <row r="539" spans="1:10" s="35" customFormat="1">
      <c r="A539" s="37"/>
      <c r="B539" s="37"/>
      <c r="D539" s="893"/>
      <c r="E539" s="893"/>
      <c r="F539" s="893"/>
      <c r="G539" s="894"/>
      <c r="H539" s="39"/>
      <c r="J539" s="187"/>
    </row>
    <row r="540" spans="1:10" s="35" customFormat="1">
      <c r="A540" s="37"/>
      <c r="B540" s="37"/>
      <c r="D540" s="893"/>
      <c r="E540" s="893"/>
      <c r="F540" s="893"/>
      <c r="G540" s="894"/>
      <c r="H540" s="39"/>
      <c r="J540" s="187"/>
    </row>
    <row r="541" spans="1:10" s="35" customFormat="1">
      <c r="A541" s="37"/>
      <c r="B541" s="37"/>
      <c r="D541" s="893"/>
      <c r="E541" s="893"/>
      <c r="F541" s="893"/>
      <c r="G541" s="894"/>
      <c r="H541" s="39"/>
      <c r="J541" s="187"/>
    </row>
    <row r="542" spans="1:10" s="35" customFormat="1">
      <c r="A542" s="37"/>
      <c r="B542" s="37"/>
      <c r="D542" s="893"/>
      <c r="E542" s="893"/>
      <c r="F542" s="893"/>
      <c r="G542" s="894"/>
      <c r="H542" s="39"/>
      <c r="J542" s="187"/>
    </row>
    <row r="543" spans="1:10" s="35" customFormat="1">
      <c r="A543" s="37"/>
      <c r="B543" s="37"/>
      <c r="D543" s="893"/>
      <c r="E543" s="893"/>
      <c r="F543" s="893"/>
      <c r="G543" s="894"/>
      <c r="H543" s="39"/>
      <c r="J543" s="187"/>
    </row>
    <row r="544" spans="1:10" s="35" customFormat="1">
      <c r="A544" s="37"/>
      <c r="B544" s="37"/>
      <c r="D544" s="893"/>
      <c r="E544" s="893"/>
      <c r="F544" s="893"/>
      <c r="G544" s="894"/>
      <c r="H544" s="39"/>
      <c r="J544" s="187"/>
    </row>
    <row r="545" spans="1:10" s="35" customFormat="1">
      <c r="A545" s="37"/>
      <c r="B545" s="37"/>
      <c r="D545" s="893"/>
      <c r="E545" s="893"/>
      <c r="F545" s="893"/>
      <c r="G545" s="894"/>
      <c r="H545" s="39"/>
      <c r="J545" s="187"/>
    </row>
    <row r="546" spans="1:10" s="35" customFormat="1">
      <c r="A546" s="37"/>
      <c r="B546" s="37"/>
      <c r="D546" s="893"/>
      <c r="E546" s="893"/>
      <c r="F546" s="893"/>
      <c r="G546" s="894"/>
      <c r="H546" s="39"/>
      <c r="J546" s="187"/>
    </row>
    <row r="547" spans="1:10" s="35" customFormat="1">
      <c r="A547" s="37"/>
      <c r="B547" s="37"/>
      <c r="D547" s="893"/>
      <c r="E547" s="893"/>
      <c r="F547" s="893"/>
      <c r="G547" s="894"/>
      <c r="H547" s="39"/>
      <c r="J547" s="187"/>
    </row>
    <row r="548" spans="1:10" s="35" customFormat="1">
      <c r="A548" s="37"/>
      <c r="B548" s="37"/>
      <c r="D548" s="893"/>
      <c r="E548" s="893"/>
      <c r="F548" s="893"/>
      <c r="G548" s="894"/>
      <c r="H548" s="39"/>
      <c r="J548" s="187"/>
    </row>
    <row r="549" spans="1:10" s="35" customFormat="1">
      <c r="A549" s="37"/>
      <c r="B549" s="37"/>
      <c r="D549" s="893"/>
      <c r="E549" s="893"/>
      <c r="F549" s="893"/>
      <c r="G549" s="894"/>
      <c r="H549" s="39"/>
      <c r="J549" s="187"/>
    </row>
    <row r="550" spans="1:10" s="35" customFormat="1">
      <c r="A550" s="37"/>
      <c r="B550" s="37"/>
      <c r="D550" s="893"/>
      <c r="E550" s="893"/>
      <c r="F550" s="893"/>
      <c r="G550" s="894"/>
      <c r="H550" s="39"/>
      <c r="J550" s="187"/>
    </row>
    <row r="551" spans="1:10" s="35" customFormat="1">
      <c r="A551" s="37"/>
      <c r="B551" s="37"/>
      <c r="D551" s="893"/>
      <c r="E551" s="893"/>
      <c r="F551" s="893"/>
      <c r="G551" s="894"/>
      <c r="H551" s="39"/>
      <c r="J551" s="187"/>
    </row>
    <row r="552" spans="1:10" s="35" customFormat="1">
      <c r="A552" s="37"/>
      <c r="B552" s="37"/>
      <c r="D552" s="893"/>
      <c r="E552" s="893"/>
      <c r="F552" s="893"/>
      <c r="G552" s="894"/>
      <c r="H552" s="39"/>
      <c r="J552" s="187"/>
    </row>
    <row r="553" spans="1:10" s="35" customFormat="1">
      <c r="A553" s="37"/>
      <c r="B553" s="37"/>
      <c r="D553" s="893"/>
      <c r="E553" s="893"/>
      <c r="F553" s="893"/>
      <c r="G553" s="894"/>
      <c r="H553" s="39"/>
      <c r="J553" s="187"/>
    </row>
    <row r="554" spans="1:10" s="35" customFormat="1">
      <c r="A554" s="37"/>
      <c r="B554" s="37"/>
      <c r="D554" s="893"/>
      <c r="E554" s="893"/>
      <c r="F554" s="893"/>
      <c r="G554" s="894"/>
      <c r="H554" s="39"/>
      <c r="J554" s="187"/>
    </row>
    <row r="555" spans="1:10" s="35" customFormat="1">
      <c r="A555" s="37"/>
      <c r="B555" s="37"/>
      <c r="D555" s="893"/>
      <c r="E555" s="893"/>
      <c r="F555" s="893"/>
      <c r="G555" s="894"/>
      <c r="H555" s="39"/>
      <c r="J555" s="187"/>
    </row>
    <row r="556" spans="1:10" s="35" customFormat="1">
      <c r="A556" s="37"/>
      <c r="B556" s="37"/>
      <c r="D556" s="893"/>
      <c r="E556" s="893"/>
      <c r="F556" s="893"/>
      <c r="G556" s="894"/>
      <c r="H556" s="39"/>
      <c r="J556" s="187"/>
    </row>
    <row r="557" spans="1:10" s="35" customFormat="1">
      <c r="A557" s="37"/>
      <c r="B557" s="37"/>
      <c r="D557" s="893"/>
      <c r="E557" s="893"/>
      <c r="F557" s="893"/>
      <c r="G557" s="894"/>
      <c r="H557" s="39"/>
      <c r="J557" s="187"/>
    </row>
    <row r="558" spans="1:10" s="35" customFormat="1">
      <c r="A558" s="37"/>
      <c r="B558" s="37"/>
      <c r="D558" s="893"/>
      <c r="E558" s="893"/>
      <c r="F558" s="893"/>
      <c r="G558" s="894"/>
      <c r="H558" s="39"/>
      <c r="J558" s="187"/>
    </row>
    <row r="559" spans="1:10" s="35" customFormat="1">
      <c r="A559" s="37"/>
      <c r="B559" s="37"/>
      <c r="D559" s="893"/>
      <c r="E559" s="893"/>
      <c r="F559" s="893"/>
      <c r="G559" s="894"/>
      <c r="H559" s="39"/>
      <c r="J559" s="187"/>
    </row>
    <row r="560" spans="1:10" s="35" customFormat="1">
      <c r="A560" s="37"/>
      <c r="B560" s="37"/>
      <c r="D560" s="893"/>
      <c r="E560" s="893"/>
      <c r="F560" s="893"/>
      <c r="G560" s="894"/>
      <c r="H560" s="39"/>
      <c r="J560" s="187"/>
    </row>
    <row r="561" spans="1:10" s="35" customFormat="1">
      <c r="A561" s="37"/>
      <c r="B561" s="37"/>
      <c r="D561" s="893"/>
      <c r="E561" s="893"/>
      <c r="F561" s="893"/>
      <c r="G561" s="894"/>
      <c r="H561" s="39"/>
      <c r="J561" s="187"/>
    </row>
    <row r="562" spans="1:10" s="35" customFormat="1">
      <c r="A562" s="37"/>
      <c r="B562" s="37"/>
      <c r="D562" s="893"/>
      <c r="E562" s="893"/>
      <c r="F562" s="893"/>
      <c r="G562" s="894"/>
      <c r="H562" s="39"/>
      <c r="J562" s="187"/>
    </row>
    <row r="563" spans="1:10" s="35" customFormat="1">
      <c r="A563" s="37"/>
      <c r="B563" s="37"/>
      <c r="D563" s="893"/>
      <c r="E563" s="893"/>
      <c r="F563" s="893"/>
      <c r="G563" s="894"/>
      <c r="H563" s="39"/>
      <c r="J563" s="187"/>
    </row>
    <row r="564" spans="1:10" s="35" customFormat="1">
      <c r="A564" s="37"/>
      <c r="B564" s="37"/>
      <c r="D564" s="893"/>
      <c r="E564" s="893"/>
      <c r="F564" s="893"/>
      <c r="G564" s="894"/>
      <c r="H564" s="39"/>
      <c r="J564" s="187"/>
    </row>
    <row r="565" spans="1:10" s="35" customFormat="1">
      <c r="A565" s="37"/>
      <c r="B565" s="37"/>
      <c r="D565" s="893"/>
      <c r="E565" s="893"/>
      <c r="F565" s="893"/>
      <c r="G565" s="894"/>
      <c r="H565" s="39"/>
      <c r="J565" s="187"/>
    </row>
    <row r="566" spans="1:10" s="35" customFormat="1">
      <c r="A566" s="37"/>
      <c r="B566" s="37"/>
      <c r="D566" s="893"/>
      <c r="E566" s="893"/>
      <c r="F566" s="893"/>
      <c r="G566" s="894"/>
      <c r="H566" s="39"/>
      <c r="J566" s="187"/>
    </row>
    <row r="567" spans="1:10" s="35" customFormat="1">
      <c r="A567" s="37"/>
      <c r="B567" s="37"/>
      <c r="D567" s="893"/>
      <c r="E567" s="893"/>
      <c r="F567" s="893"/>
      <c r="G567" s="894"/>
      <c r="H567" s="39"/>
      <c r="J567" s="187"/>
    </row>
    <row r="568" spans="1:10" s="35" customFormat="1">
      <c r="A568" s="37"/>
      <c r="B568" s="37"/>
      <c r="D568" s="893"/>
      <c r="E568" s="893"/>
      <c r="F568" s="893"/>
      <c r="G568" s="894"/>
      <c r="H568" s="39"/>
      <c r="J568" s="187"/>
    </row>
    <row r="569" spans="1:10" s="35" customFormat="1">
      <c r="A569" s="37"/>
      <c r="B569" s="37"/>
      <c r="D569" s="893"/>
      <c r="E569" s="893"/>
      <c r="F569" s="893"/>
      <c r="G569" s="894"/>
      <c r="H569" s="39"/>
      <c r="J569" s="187"/>
    </row>
    <row r="570" spans="1:10" s="35" customFormat="1">
      <c r="A570" s="37"/>
      <c r="B570" s="37"/>
      <c r="D570" s="893"/>
      <c r="E570" s="893"/>
      <c r="F570" s="893"/>
      <c r="G570" s="894"/>
      <c r="H570" s="39"/>
      <c r="J570" s="187"/>
    </row>
    <row r="571" spans="1:10" s="35" customFormat="1">
      <c r="A571" s="37"/>
      <c r="B571" s="37"/>
      <c r="D571" s="893"/>
      <c r="E571" s="893"/>
      <c r="F571" s="893"/>
      <c r="G571" s="894"/>
      <c r="H571" s="39"/>
      <c r="J571" s="187"/>
    </row>
    <row r="572" spans="1:10" s="35" customFormat="1">
      <c r="A572" s="37"/>
      <c r="B572" s="37"/>
      <c r="D572" s="893"/>
      <c r="E572" s="893"/>
      <c r="F572" s="893"/>
      <c r="G572" s="894"/>
      <c r="H572" s="39"/>
      <c r="J572" s="187"/>
    </row>
    <row r="573" spans="1:10" s="35" customFormat="1">
      <c r="A573" s="37"/>
      <c r="B573" s="37"/>
      <c r="D573" s="893"/>
      <c r="E573" s="893"/>
      <c r="F573" s="893"/>
      <c r="G573" s="894"/>
      <c r="H573" s="39"/>
      <c r="J573" s="187"/>
    </row>
    <row r="574" spans="1:10" s="35" customFormat="1">
      <c r="A574" s="37"/>
      <c r="B574" s="37"/>
      <c r="D574" s="893"/>
      <c r="E574" s="893"/>
      <c r="F574" s="893"/>
      <c r="G574" s="894"/>
      <c r="H574" s="39"/>
      <c r="J574" s="187"/>
    </row>
    <row r="575" spans="1:10" s="35" customFormat="1">
      <c r="A575" s="37"/>
      <c r="B575" s="37"/>
      <c r="D575" s="893"/>
      <c r="E575" s="893"/>
      <c r="F575" s="893"/>
      <c r="G575" s="894"/>
      <c r="H575" s="39"/>
      <c r="J575" s="187"/>
    </row>
    <row r="576" spans="1:10" s="35" customFormat="1">
      <c r="A576" s="37"/>
      <c r="B576" s="37"/>
      <c r="D576" s="893"/>
      <c r="E576" s="893"/>
      <c r="F576" s="893"/>
      <c r="G576" s="894"/>
      <c r="H576" s="39"/>
      <c r="J576" s="187"/>
    </row>
    <row r="577" spans="1:10" s="35" customFormat="1">
      <c r="A577" s="37"/>
      <c r="B577" s="37"/>
      <c r="D577" s="893"/>
      <c r="E577" s="893"/>
      <c r="F577" s="893"/>
      <c r="G577" s="894"/>
      <c r="H577" s="39"/>
      <c r="J577" s="187"/>
    </row>
    <row r="578" spans="1:10" s="35" customFormat="1">
      <c r="A578" s="37"/>
      <c r="B578" s="37"/>
      <c r="D578" s="893"/>
      <c r="E578" s="893"/>
      <c r="F578" s="893"/>
      <c r="G578" s="894"/>
      <c r="H578" s="39"/>
      <c r="J578" s="187"/>
    </row>
    <row r="579" spans="1:10" s="35" customFormat="1">
      <c r="A579" s="37"/>
      <c r="B579" s="37"/>
      <c r="D579" s="893"/>
      <c r="E579" s="893"/>
      <c r="F579" s="893"/>
      <c r="G579" s="894"/>
      <c r="H579" s="39"/>
      <c r="J579" s="187"/>
    </row>
    <row r="580" spans="1:10" s="35" customFormat="1">
      <c r="A580" s="37"/>
      <c r="B580" s="37"/>
      <c r="D580" s="893"/>
      <c r="E580" s="893"/>
      <c r="F580" s="893"/>
      <c r="G580" s="894"/>
      <c r="H580" s="39"/>
      <c r="J580" s="187"/>
    </row>
    <row r="581" spans="1:10" s="35" customFormat="1">
      <c r="A581" s="37"/>
      <c r="B581" s="37"/>
      <c r="D581" s="893"/>
      <c r="E581" s="893"/>
      <c r="F581" s="893"/>
      <c r="G581" s="894"/>
      <c r="H581" s="39"/>
      <c r="J581" s="187"/>
    </row>
    <row r="582" spans="1:10" s="35" customFormat="1">
      <c r="A582" s="37"/>
      <c r="B582" s="37"/>
      <c r="D582" s="893"/>
      <c r="E582" s="893"/>
      <c r="F582" s="893"/>
      <c r="G582" s="894"/>
      <c r="H582" s="39"/>
      <c r="J582" s="187"/>
    </row>
    <row r="583" spans="1:10" s="35" customFormat="1">
      <c r="A583" s="37"/>
      <c r="B583" s="37"/>
      <c r="D583" s="893"/>
      <c r="E583" s="893"/>
      <c r="F583" s="893"/>
      <c r="G583" s="894"/>
      <c r="H583" s="39"/>
      <c r="J583" s="187"/>
    </row>
    <row r="584" spans="1:10" s="35" customFormat="1">
      <c r="A584" s="37"/>
      <c r="B584" s="37"/>
      <c r="D584" s="893"/>
      <c r="E584" s="893"/>
      <c r="F584" s="893"/>
      <c r="G584" s="894"/>
      <c r="H584" s="39"/>
      <c r="J584" s="187"/>
    </row>
    <row r="585" spans="1:10" s="35" customFormat="1">
      <c r="A585" s="37"/>
      <c r="B585" s="37"/>
      <c r="D585" s="893"/>
      <c r="E585" s="893"/>
      <c r="F585" s="893"/>
      <c r="G585" s="894"/>
      <c r="H585" s="39"/>
      <c r="J585" s="187"/>
    </row>
    <row r="586" spans="1:10" s="35" customFormat="1">
      <c r="A586" s="37"/>
      <c r="B586" s="37"/>
      <c r="D586" s="893"/>
      <c r="E586" s="893"/>
      <c r="F586" s="893"/>
      <c r="G586" s="894"/>
      <c r="H586" s="39"/>
      <c r="J586" s="187"/>
    </row>
    <row r="587" spans="1:10" s="35" customFormat="1">
      <c r="A587" s="37"/>
      <c r="B587" s="37"/>
      <c r="D587" s="893"/>
      <c r="E587" s="893"/>
      <c r="F587" s="893"/>
      <c r="G587" s="894"/>
      <c r="H587" s="39"/>
      <c r="J587" s="187"/>
    </row>
    <row r="588" spans="1:10" s="35" customFormat="1">
      <c r="A588" s="37"/>
      <c r="B588" s="37"/>
      <c r="D588" s="893"/>
      <c r="E588" s="893"/>
      <c r="F588" s="893"/>
      <c r="G588" s="894"/>
      <c r="H588" s="39"/>
      <c r="J588" s="187"/>
    </row>
    <row r="589" spans="1:10" s="35" customFormat="1">
      <c r="A589" s="37"/>
      <c r="B589" s="37"/>
      <c r="D589" s="893"/>
      <c r="E589" s="893"/>
      <c r="F589" s="893"/>
      <c r="G589" s="894"/>
      <c r="H589" s="39"/>
      <c r="J589" s="187"/>
    </row>
    <row r="590" spans="1:10" s="35" customFormat="1">
      <c r="A590" s="37"/>
      <c r="B590" s="37"/>
      <c r="D590" s="893"/>
      <c r="E590" s="893"/>
      <c r="F590" s="893"/>
      <c r="G590" s="894"/>
      <c r="H590" s="39"/>
      <c r="J590" s="187"/>
    </row>
    <row r="591" spans="1:10" s="35" customFormat="1">
      <c r="A591" s="37"/>
      <c r="B591" s="37"/>
      <c r="D591" s="893"/>
      <c r="E591" s="893"/>
      <c r="F591" s="893"/>
      <c r="G591" s="894"/>
      <c r="H591" s="39"/>
      <c r="J591" s="187"/>
    </row>
    <row r="592" spans="1:10" s="35" customFormat="1">
      <c r="A592" s="37"/>
      <c r="B592" s="37"/>
      <c r="D592" s="893"/>
      <c r="E592" s="893"/>
      <c r="F592" s="893"/>
      <c r="G592" s="894"/>
      <c r="H592" s="39"/>
      <c r="J592" s="187"/>
    </row>
    <row r="593" spans="1:10" s="35" customFormat="1">
      <c r="A593" s="37"/>
      <c r="B593" s="37"/>
      <c r="D593" s="893"/>
      <c r="E593" s="893"/>
      <c r="F593" s="893"/>
      <c r="G593" s="894"/>
      <c r="H593" s="39"/>
      <c r="J593" s="187"/>
    </row>
    <row r="594" spans="1:10" s="35" customFormat="1">
      <c r="A594" s="37"/>
      <c r="B594" s="37"/>
      <c r="D594" s="893"/>
      <c r="E594" s="893"/>
      <c r="F594" s="893"/>
      <c r="G594" s="894"/>
      <c r="H594" s="39"/>
      <c r="J594" s="187"/>
    </row>
    <row r="595" spans="1:10" s="35" customFormat="1">
      <c r="A595" s="37"/>
      <c r="B595" s="37"/>
      <c r="D595" s="893"/>
      <c r="E595" s="893"/>
      <c r="F595" s="893"/>
      <c r="G595" s="894"/>
      <c r="H595" s="39"/>
      <c r="J595" s="187"/>
    </row>
    <row r="596" spans="1:10" s="35" customFormat="1">
      <c r="A596" s="37"/>
      <c r="B596" s="37"/>
      <c r="D596" s="893"/>
      <c r="E596" s="893"/>
      <c r="F596" s="893"/>
      <c r="G596" s="894"/>
      <c r="H596" s="39"/>
      <c r="J596" s="187"/>
    </row>
    <row r="597" spans="1:10" s="35" customFormat="1">
      <c r="A597" s="37"/>
      <c r="B597" s="37"/>
      <c r="D597" s="893"/>
      <c r="E597" s="893"/>
      <c r="F597" s="893"/>
      <c r="G597" s="894"/>
      <c r="H597" s="39"/>
      <c r="J597" s="187"/>
    </row>
    <row r="598" spans="1:10" s="35" customFormat="1">
      <c r="A598" s="37"/>
      <c r="B598" s="37"/>
      <c r="D598" s="893"/>
      <c r="E598" s="893"/>
      <c r="F598" s="893"/>
      <c r="G598" s="894"/>
      <c r="H598" s="39"/>
      <c r="J598" s="187"/>
    </row>
    <row r="599" spans="1:10" s="35" customFormat="1">
      <c r="A599" s="37"/>
      <c r="B599" s="37"/>
      <c r="D599" s="893"/>
      <c r="E599" s="893"/>
      <c r="F599" s="893"/>
      <c r="G599" s="894"/>
      <c r="H599" s="39"/>
      <c r="J599" s="187"/>
    </row>
    <row r="600" spans="1:10" s="35" customFormat="1">
      <c r="A600" s="37"/>
      <c r="B600" s="37"/>
      <c r="D600" s="893"/>
      <c r="E600" s="893"/>
      <c r="F600" s="893"/>
      <c r="G600" s="894"/>
      <c r="H600" s="39"/>
      <c r="J600" s="187"/>
    </row>
    <row r="601" spans="1:10" s="35" customFormat="1">
      <c r="A601" s="37"/>
      <c r="B601" s="37"/>
      <c r="D601" s="893"/>
      <c r="E601" s="893"/>
      <c r="F601" s="893"/>
      <c r="G601" s="894"/>
      <c r="H601" s="39"/>
      <c r="J601" s="187"/>
    </row>
    <row r="602" spans="1:10" s="35" customFormat="1">
      <c r="A602" s="37"/>
      <c r="B602" s="37"/>
      <c r="D602" s="893"/>
      <c r="E602" s="893"/>
      <c r="F602" s="893"/>
      <c r="G602" s="894"/>
      <c r="H602" s="39"/>
      <c r="J602" s="187"/>
    </row>
    <row r="603" spans="1:10" s="35" customFormat="1">
      <c r="A603" s="37"/>
      <c r="B603" s="37"/>
      <c r="D603" s="893"/>
      <c r="E603" s="893"/>
      <c r="F603" s="893"/>
      <c r="G603" s="894"/>
      <c r="H603" s="39"/>
      <c r="J603" s="187"/>
    </row>
    <row r="604" spans="1:10" s="35" customFormat="1">
      <c r="A604" s="37"/>
      <c r="B604" s="37"/>
      <c r="D604" s="893"/>
      <c r="E604" s="893"/>
      <c r="F604" s="893"/>
      <c r="G604" s="894"/>
      <c r="H604" s="39"/>
      <c r="J604" s="187"/>
    </row>
    <row r="605" spans="1:10" s="35" customFormat="1">
      <c r="A605" s="37"/>
      <c r="B605" s="37"/>
      <c r="D605" s="893"/>
      <c r="E605" s="893"/>
      <c r="F605" s="893"/>
      <c r="G605" s="894"/>
      <c r="H605" s="39"/>
      <c r="J605" s="187"/>
    </row>
    <row r="606" spans="1:10" s="35" customFormat="1">
      <c r="A606" s="37"/>
      <c r="B606" s="37"/>
      <c r="D606" s="893"/>
      <c r="E606" s="893"/>
      <c r="F606" s="893"/>
      <c r="G606" s="894"/>
      <c r="H606" s="39"/>
      <c r="J606" s="187"/>
    </row>
    <row r="607" spans="1:10" s="35" customFormat="1">
      <c r="A607" s="37"/>
      <c r="B607" s="37"/>
      <c r="D607" s="893"/>
      <c r="E607" s="893"/>
      <c r="F607" s="893"/>
      <c r="G607" s="894"/>
      <c r="H607" s="39"/>
      <c r="J607" s="187"/>
    </row>
    <row r="608" spans="1:10" s="35" customFormat="1">
      <c r="A608" s="37"/>
      <c r="B608" s="37"/>
      <c r="D608" s="893"/>
      <c r="E608" s="893"/>
      <c r="F608" s="893"/>
      <c r="G608" s="894"/>
      <c r="H608" s="39"/>
      <c r="J608" s="187"/>
    </row>
    <row r="609" spans="1:10" s="35" customFormat="1">
      <c r="A609" s="37"/>
      <c r="B609" s="37"/>
      <c r="D609" s="893"/>
      <c r="E609" s="893"/>
      <c r="F609" s="893"/>
      <c r="G609" s="894"/>
      <c r="H609" s="39"/>
      <c r="J609" s="187"/>
    </row>
    <row r="610" spans="1:10" s="35" customFormat="1">
      <c r="A610" s="37"/>
      <c r="B610" s="37"/>
      <c r="D610" s="893"/>
      <c r="E610" s="893"/>
      <c r="F610" s="893"/>
      <c r="G610" s="894"/>
      <c r="H610" s="39"/>
      <c r="J610" s="187"/>
    </row>
    <row r="611" spans="1:10" s="35" customFormat="1">
      <c r="A611" s="37"/>
      <c r="B611" s="37"/>
      <c r="D611" s="893"/>
      <c r="E611" s="893"/>
      <c r="F611" s="893"/>
      <c r="G611" s="894"/>
      <c r="H611" s="39"/>
      <c r="J611" s="187"/>
    </row>
    <row r="612" spans="1:10" s="35" customFormat="1">
      <c r="A612" s="37"/>
      <c r="B612" s="37"/>
      <c r="D612" s="893"/>
      <c r="E612" s="893"/>
      <c r="F612" s="893"/>
      <c r="G612" s="894"/>
      <c r="H612" s="39"/>
      <c r="J612" s="187"/>
    </row>
    <row r="613" spans="1:10" s="35" customFormat="1">
      <c r="A613" s="37"/>
      <c r="B613" s="37"/>
      <c r="D613" s="893"/>
      <c r="E613" s="893"/>
      <c r="F613" s="893"/>
      <c r="G613" s="894"/>
      <c r="H613" s="39"/>
      <c r="J613" s="187"/>
    </row>
    <row r="614" spans="1:10" s="35" customFormat="1">
      <c r="A614" s="37"/>
      <c r="B614" s="37"/>
      <c r="D614" s="893"/>
      <c r="E614" s="893"/>
      <c r="F614" s="893"/>
      <c r="G614" s="894"/>
      <c r="H614" s="39"/>
      <c r="J614" s="187"/>
    </row>
    <row r="615" spans="1:10" s="35" customFormat="1">
      <c r="A615" s="37"/>
      <c r="B615" s="37"/>
      <c r="D615" s="893"/>
      <c r="E615" s="893"/>
      <c r="F615" s="893"/>
      <c r="G615" s="894"/>
      <c r="H615" s="39"/>
      <c r="J615" s="187"/>
    </row>
    <row r="616" spans="1:10" s="35" customFormat="1">
      <c r="A616" s="37"/>
      <c r="B616" s="37"/>
      <c r="D616" s="893"/>
      <c r="E616" s="893"/>
      <c r="F616" s="893"/>
      <c r="G616" s="894"/>
      <c r="H616" s="39"/>
      <c r="J616" s="187"/>
    </row>
    <row r="617" spans="1:10" s="35" customFormat="1">
      <c r="A617" s="37"/>
      <c r="B617" s="37"/>
      <c r="D617" s="893"/>
      <c r="E617" s="893"/>
      <c r="F617" s="893"/>
      <c r="G617" s="894"/>
      <c r="H617" s="39"/>
      <c r="J617" s="187"/>
    </row>
    <row r="618" spans="1:10" s="35" customFormat="1">
      <c r="A618" s="37"/>
      <c r="B618" s="37"/>
      <c r="D618" s="893"/>
      <c r="E618" s="893"/>
      <c r="F618" s="893"/>
      <c r="G618" s="894"/>
      <c r="H618" s="39"/>
      <c r="J618" s="187"/>
    </row>
    <row r="619" spans="1:10" s="35" customFormat="1">
      <c r="A619" s="37"/>
      <c r="B619" s="37"/>
      <c r="D619" s="893"/>
      <c r="E619" s="893"/>
      <c r="F619" s="893"/>
      <c r="G619" s="894"/>
      <c r="H619" s="39"/>
      <c r="J619" s="187"/>
    </row>
    <row r="620" spans="1:10" s="35" customFormat="1">
      <c r="A620" s="37"/>
      <c r="B620" s="37"/>
      <c r="D620" s="893"/>
      <c r="E620" s="893"/>
      <c r="F620" s="893"/>
      <c r="G620" s="894"/>
      <c r="H620" s="39"/>
      <c r="J620" s="187"/>
    </row>
    <row r="621" spans="1:10" s="35" customFormat="1">
      <c r="A621" s="37"/>
      <c r="B621" s="37"/>
      <c r="D621" s="893"/>
      <c r="E621" s="893"/>
      <c r="F621" s="893"/>
      <c r="G621" s="894"/>
      <c r="H621" s="39"/>
      <c r="J621" s="187"/>
    </row>
    <row r="622" spans="1:10" s="35" customFormat="1">
      <c r="A622" s="37"/>
      <c r="B622" s="37"/>
      <c r="D622" s="893"/>
      <c r="E622" s="893"/>
      <c r="F622" s="893"/>
      <c r="G622" s="894"/>
      <c r="H622" s="39"/>
      <c r="J622" s="187"/>
    </row>
    <row r="623" spans="1:10" s="35" customFormat="1">
      <c r="A623" s="37"/>
      <c r="B623" s="37"/>
      <c r="D623" s="893"/>
      <c r="E623" s="893"/>
      <c r="F623" s="893"/>
      <c r="G623" s="894"/>
      <c r="H623" s="39"/>
      <c r="J623" s="187"/>
    </row>
    <row r="624" spans="1:10" s="35" customFormat="1">
      <c r="A624" s="37"/>
      <c r="B624" s="37"/>
      <c r="D624" s="893"/>
      <c r="E624" s="893"/>
      <c r="F624" s="893"/>
      <c r="G624" s="894"/>
      <c r="H624" s="39"/>
      <c r="J624" s="187"/>
    </row>
    <row r="625" spans="1:10" s="35" customFormat="1">
      <c r="A625" s="37"/>
      <c r="B625" s="37"/>
      <c r="D625" s="893"/>
      <c r="E625" s="893"/>
      <c r="F625" s="893"/>
      <c r="G625" s="894"/>
      <c r="H625" s="39"/>
      <c r="J625" s="187"/>
    </row>
    <row r="626" spans="1:10" s="35" customFormat="1">
      <c r="A626" s="37"/>
      <c r="B626" s="37"/>
      <c r="D626" s="893"/>
      <c r="E626" s="893"/>
      <c r="F626" s="893"/>
      <c r="G626" s="894"/>
      <c r="H626" s="39"/>
      <c r="J626" s="187"/>
    </row>
    <row r="627" spans="1:10" s="35" customFormat="1">
      <c r="A627" s="37"/>
      <c r="B627" s="37"/>
      <c r="D627" s="893"/>
      <c r="E627" s="893"/>
      <c r="F627" s="893"/>
      <c r="G627" s="894"/>
      <c r="H627" s="39"/>
      <c r="J627" s="187"/>
    </row>
    <row r="628" spans="1:10" s="35" customFormat="1">
      <c r="A628" s="37"/>
      <c r="B628" s="37"/>
      <c r="D628" s="893"/>
      <c r="E628" s="893"/>
      <c r="F628" s="893"/>
      <c r="G628" s="894"/>
      <c r="H628" s="39"/>
      <c r="J628" s="187"/>
    </row>
    <row r="629" spans="1:10" s="35" customFormat="1">
      <c r="A629" s="37"/>
      <c r="B629" s="37"/>
      <c r="D629" s="893"/>
      <c r="E629" s="893"/>
      <c r="F629" s="893"/>
      <c r="G629" s="894"/>
      <c r="H629" s="39"/>
      <c r="J629" s="187"/>
    </row>
    <row r="630" spans="1:10" s="35" customFormat="1">
      <c r="A630" s="37"/>
      <c r="B630" s="37"/>
      <c r="D630" s="893"/>
      <c r="E630" s="893"/>
      <c r="F630" s="893"/>
      <c r="G630" s="894"/>
      <c r="H630" s="39"/>
      <c r="J630" s="187"/>
    </row>
    <row r="631" spans="1:10" s="35" customFormat="1">
      <c r="A631" s="37"/>
      <c r="B631" s="37"/>
      <c r="D631" s="893"/>
      <c r="E631" s="893"/>
      <c r="F631" s="893"/>
      <c r="G631" s="894"/>
      <c r="H631" s="39"/>
      <c r="J631" s="187"/>
    </row>
    <row r="632" spans="1:10" s="35" customFormat="1">
      <c r="A632" s="37"/>
      <c r="B632" s="37"/>
      <c r="D632" s="893"/>
      <c r="E632" s="893"/>
      <c r="F632" s="893"/>
      <c r="G632" s="894"/>
      <c r="H632" s="39"/>
      <c r="J632" s="187"/>
    </row>
    <row r="633" spans="1:10" s="35" customFormat="1">
      <c r="A633" s="37"/>
      <c r="B633" s="37"/>
      <c r="D633" s="893"/>
      <c r="E633" s="893"/>
      <c r="F633" s="893"/>
      <c r="G633" s="894"/>
      <c r="H633" s="39"/>
      <c r="J633" s="187"/>
    </row>
    <row r="634" spans="1:10" s="35" customFormat="1">
      <c r="A634" s="37"/>
      <c r="B634" s="37"/>
      <c r="D634" s="893"/>
      <c r="E634" s="893"/>
      <c r="F634" s="893"/>
      <c r="G634" s="894"/>
      <c r="H634" s="39"/>
      <c r="J634" s="187"/>
    </row>
    <row r="635" spans="1:10" s="35" customFormat="1">
      <c r="A635" s="37"/>
      <c r="B635" s="37"/>
      <c r="D635" s="893"/>
      <c r="E635" s="893"/>
      <c r="F635" s="893"/>
      <c r="G635" s="894"/>
      <c r="H635" s="39"/>
      <c r="J635" s="187"/>
    </row>
    <row r="636" spans="1:10" s="35" customFormat="1">
      <c r="A636" s="37"/>
      <c r="B636" s="37"/>
      <c r="D636" s="893"/>
      <c r="E636" s="893"/>
      <c r="F636" s="893"/>
      <c r="G636" s="894"/>
      <c r="H636" s="39"/>
      <c r="J636" s="187"/>
    </row>
    <row r="637" spans="1:10" s="35" customFormat="1">
      <c r="A637" s="37"/>
      <c r="B637" s="37"/>
      <c r="D637" s="893"/>
      <c r="E637" s="893"/>
      <c r="F637" s="893"/>
      <c r="G637" s="894"/>
      <c r="H637" s="39"/>
      <c r="J637" s="187"/>
    </row>
    <row r="638" spans="1:10" s="35" customFormat="1">
      <c r="A638" s="37"/>
      <c r="B638" s="37"/>
      <c r="D638" s="893"/>
      <c r="E638" s="893"/>
      <c r="F638" s="893"/>
      <c r="G638" s="894"/>
      <c r="H638" s="39"/>
      <c r="J638" s="187"/>
    </row>
    <row r="639" spans="1:10" s="35" customFormat="1">
      <c r="A639" s="37"/>
      <c r="B639" s="37"/>
      <c r="D639" s="893"/>
      <c r="E639" s="893"/>
      <c r="F639" s="893"/>
      <c r="G639" s="894"/>
      <c r="H639" s="39"/>
      <c r="J639" s="187"/>
    </row>
    <row r="640" spans="1:10" s="35" customFormat="1">
      <c r="A640" s="37"/>
      <c r="B640" s="37"/>
      <c r="D640" s="893"/>
      <c r="E640" s="893"/>
      <c r="F640" s="893"/>
      <c r="G640" s="894"/>
      <c r="H640" s="39"/>
      <c r="J640" s="187"/>
    </row>
    <row r="641" spans="1:10" s="35" customFormat="1">
      <c r="A641" s="37"/>
      <c r="B641" s="37"/>
      <c r="D641" s="893"/>
      <c r="E641" s="893"/>
      <c r="F641" s="893"/>
      <c r="G641" s="894"/>
      <c r="H641" s="39"/>
      <c r="J641" s="187"/>
    </row>
    <row r="642" spans="1:10" s="35" customFormat="1">
      <c r="A642" s="37"/>
      <c r="B642" s="37"/>
      <c r="D642" s="893"/>
      <c r="E642" s="893"/>
      <c r="F642" s="893"/>
      <c r="G642" s="894"/>
      <c r="H642" s="39"/>
      <c r="J642" s="187"/>
    </row>
    <row r="643" spans="1:10" s="35" customFormat="1">
      <c r="A643" s="37"/>
      <c r="B643" s="37"/>
      <c r="D643" s="893"/>
      <c r="E643" s="893"/>
      <c r="F643" s="893"/>
      <c r="G643" s="894"/>
      <c r="H643" s="39"/>
      <c r="J643" s="187"/>
    </row>
    <row r="644" spans="1:10" s="35" customFormat="1">
      <c r="A644" s="37"/>
      <c r="B644" s="37"/>
      <c r="D644" s="893"/>
      <c r="E644" s="893"/>
      <c r="F644" s="893"/>
      <c r="G644" s="894"/>
      <c r="H644" s="39"/>
      <c r="J644" s="187"/>
    </row>
    <row r="645" spans="1:10" s="35" customFormat="1">
      <c r="A645" s="37"/>
      <c r="B645" s="37"/>
      <c r="D645" s="893"/>
      <c r="E645" s="893"/>
      <c r="F645" s="893"/>
      <c r="G645" s="894"/>
      <c r="H645" s="39"/>
      <c r="J645" s="187"/>
    </row>
    <row r="646" spans="1:10" s="35" customFormat="1">
      <c r="A646" s="37"/>
      <c r="B646" s="37"/>
      <c r="D646" s="893"/>
      <c r="E646" s="893"/>
      <c r="F646" s="893"/>
      <c r="G646" s="894"/>
      <c r="H646" s="39"/>
      <c r="J646" s="187"/>
    </row>
    <row r="647" spans="1:10" s="35" customFormat="1">
      <c r="A647" s="37"/>
      <c r="B647" s="37"/>
      <c r="D647" s="893"/>
      <c r="E647" s="893"/>
      <c r="F647" s="893"/>
      <c r="G647" s="894"/>
      <c r="H647" s="39"/>
      <c r="J647" s="187"/>
    </row>
    <row r="648" spans="1:10" s="35" customFormat="1">
      <c r="A648" s="37"/>
      <c r="B648" s="37"/>
      <c r="D648" s="893"/>
      <c r="E648" s="893"/>
      <c r="F648" s="893"/>
      <c r="G648" s="894"/>
      <c r="H648" s="39"/>
      <c r="J648" s="187"/>
    </row>
    <row r="649" spans="1:10" s="35" customFormat="1">
      <c r="A649" s="37"/>
      <c r="B649" s="37"/>
      <c r="D649" s="893"/>
      <c r="E649" s="893"/>
      <c r="F649" s="893"/>
      <c r="G649" s="894"/>
      <c r="H649" s="39"/>
      <c r="J649" s="187"/>
    </row>
    <row r="650" spans="1:10" s="35" customFormat="1">
      <c r="A650" s="37"/>
      <c r="B650" s="37"/>
      <c r="D650" s="893"/>
      <c r="E650" s="893"/>
      <c r="F650" s="893"/>
      <c r="G650" s="894"/>
      <c r="H650" s="39"/>
      <c r="J650" s="187"/>
    </row>
    <row r="651" spans="1:10" s="35" customFormat="1">
      <c r="A651" s="37"/>
      <c r="B651" s="37"/>
      <c r="D651" s="893"/>
      <c r="E651" s="893"/>
      <c r="F651" s="893"/>
      <c r="G651" s="894"/>
      <c r="H651" s="39"/>
      <c r="J651" s="187"/>
    </row>
    <row r="652" spans="1:10" s="35" customFormat="1">
      <c r="A652" s="37"/>
      <c r="B652" s="37"/>
      <c r="D652" s="893"/>
      <c r="E652" s="893"/>
      <c r="F652" s="893"/>
      <c r="G652" s="894"/>
      <c r="H652" s="39"/>
      <c r="J652" s="187"/>
    </row>
    <row r="653" spans="1:10" s="35" customFormat="1">
      <c r="A653" s="37"/>
      <c r="B653" s="37"/>
      <c r="D653" s="893"/>
      <c r="E653" s="893"/>
      <c r="F653" s="893"/>
      <c r="G653" s="894"/>
      <c r="H653" s="39"/>
      <c r="J653" s="187"/>
    </row>
    <row r="654" spans="1:10" s="35" customFormat="1">
      <c r="A654" s="37"/>
      <c r="B654" s="37"/>
      <c r="D654" s="893"/>
      <c r="E654" s="893"/>
      <c r="F654" s="893"/>
      <c r="G654" s="894"/>
      <c r="H654" s="39"/>
      <c r="J654" s="187"/>
    </row>
    <row r="655" spans="1:10" s="35" customFormat="1">
      <c r="A655" s="37"/>
      <c r="B655" s="37"/>
      <c r="D655" s="893"/>
      <c r="E655" s="893"/>
      <c r="F655" s="893"/>
      <c r="G655" s="894"/>
      <c r="H655" s="39"/>
      <c r="J655" s="187"/>
    </row>
    <row r="656" spans="1:10" s="35" customFormat="1">
      <c r="A656" s="37"/>
      <c r="B656" s="37"/>
      <c r="D656" s="893"/>
      <c r="E656" s="893"/>
      <c r="F656" s="893"/>
      <c r="G656" s="894"/>
      <c r="H656" s="39"/>
      <c r="J656" s="187"/>
    </row>
    <row r="657" spans="1:10" s="35" customFormat="1">
      <c r="A657" s="37"/>
      <c r="B657" s="37"/>
      <c r="D657" s="893"/>
      <c r="E657" s="893"/>
      <c r="F657" s="893"/>
      <c r="G657" s="894"/>
      <c r="H657" s="39"/>
      <c r="J657" s="187"/>
    </row>
    <row r="658" spans="1:10" s="35" customFormat="1">
      <c r="A658" s="37"/>
      <c r="B658" s="37"/>
      <c r="D658" s="893"/>
      <c r="E658" s="893"/>
      <c r="F658" s="893"/>
      <c r="G658" s="894"/>
      <c r="H658" s="39"/>
      <c r="J658" s="187"/>
    </row>
    <row r="659" spans="1:10" s="35" customFormat="1">
      <c r="A659" s="37"/>
      <c r="B659" s="37"/>
      <c r="D659" s="893"/>
      <c r="E659" s="893"/>
      <c r="F659" s="893"/>
      <c r="G659" s="894"/>
      <c r="H659" s="39"/>
      <c r="J659" s="187"/>
    </row>
    <row r="660" spans="1:10" s="35" customFormat="1">
      <c r="A660" s="37"/>
      <c r="B660" s="37"/>
      <c r="D660" s="893"/>
      <c r="E660" s="893"/>
      <c r="F660" s="893"/>
      <c r="G660" s="894"/>
      <c r="H660" s="39"/>
      <c r="J660" s="187"/>
    </row>
    <row r="661" spans="1:10" s="35" customFormat="1">
      <c r="A661" s="37"/>
      <c r="B661" s="37"/>
      <c r="D661" s="893"/>
      <c r="E661" s="893"/>
      <c r="F661" s="893"/>
      <c r="G661" s="894"/>
      <c r="H661" s="39"/>
      <c r="J661" s="187"/>
    </row>
    <row r="662" spans="1:10" s="35" customFormat="1">
      <c r="A662" s="37"/>
      <c r="B662" s="37"/>
      <c r="D662" s="893"/>
      <c r="E662" s="893"/>
      <c r="F662" s="893"/>
      <c r="G662" s="894"/>
      <c r="H662" s="39"/>
      <c r="J662" s="187"/>
    </row>
    <row r="663" spans="1:10" s="35" customFormat="1">
      <c r="A663" s="37"/>
      <c r="B663" s="37"/>
      <c r="D663" s="893"/>
      <c r="E663" s="893"/>
      <c r="F663" s="893"/>
      <c r="G663" s="894"/>
      <c r="H663" s="39"/>
      <c r="J663" s="187"/>
    </row>
    <row r="664" spans="1:10" s="35" customFormat="1">
      <c r="A664" s="37"/>
      <c r="B664" s="37"/>
      <c r="D664" s="893"/>
      <c r="E664" s="893"/>
      <c r="F664" s="893"/>
      <c r="G664" s="894"/>
      <c r="H664" s="39"/>
      <c r="J664" s="187"/>
    </row>
    <row r="665" spans="1:10" s="35" customFormat="1">
      <c r="A665" s="37"/>
      <c r="B665" s="37"/>
      <c r="D665" s="893"/>
      <c r="E665" s="893"/>
      <c r="F665" s="893"/>
      <c r="G665" s="894"/>
      <c r="H665" s="39"/>
      <c r="J665" s="187"/>
    </row>
    <row r="666" spans="1:10" s="35" customFormat="1">
      <c r="A666" s="37"/>
      <c r="B666" s="37"/>
      <c r="D666" s="893"/>
      <c r="E666" s="893"/>
      <c r="F666" s="893"/>
      <c r="G666" s="894"/>
      <c r="H666" s="39"/>
      <c r="J666" s="187"/>
    </row>
    <row r="667" spans="1:10" s="35" customFormat="1">
      <c r="A667" s="37"/>
      <c r="B667" s="37"/>
      <c r="D667" s="893"/>
      <c r="E667" s="893"/>
      <c r="F667" s="893"/>
      <c r="G667" s="894"/>
      <c r="H667" s="39"/>
      <c r="J667" s="187"/>
    </row>
    <row r="668" spans="1:10" s="35" customFormat="1">
      <c r="A668" s="37"/>
      <c r="B668" s="37"/>
      <c r="D668" s="893"/>
      <c r="E668" s="893"/>
      <c r="F668" s="893"/>
      <c r="G668" s="894"/>
      <c r="H668" s="39"/>
      <c r="J668" s="187"/>
    </row>
    <row r="669" spans="1:10" s="35" customFormat="1">
      <c r="A669" s="37"/>
      <c r="B669" s="37"/>
      <c r="D669" s="893"/>
      <c r="E669" s="893"/>
      <c r="F669" s="893"/>
      <c r="G669" s="894"/>
      <c r="H669" s="39"/>
      <c r="J669" s="187"/>
    </row>
    <row r="670" spans="1:10" s="35" customFormat="1">
      <c r="A670" s="37"/>
      <c r="B670" s="37"/>
      <c r="D670" s="893"/>
      <c r="E670" s="893"/>
      <c r="F670" s="893"/>
      <c r="G670" s="894"/>
      <c r="H670" s="39"/>
      <c r="J670" s="187"/>
    </row>
    <row r="671" spans="1:10" s="35" customFormat="1">
      <c r="A671" s="37"/>
      <c r="B671" s="37"/>
      <c r="D671" s="893"/>
      <c r="E671" s="893"/>
      <c r="F671" s="893"/>
      <c r="G671" s="894"/>
      <c r="H671" s="39"/>
      <c r="J671" s="187"/>
    </row>
    <row r="672" spans="1:10" s="35" customFormat="1">
      <c r="A672" s="37"/>
      <c r="B672" s="37"/>
      <c r="D672" s="893"/>
      <c r="E672" s="893"/>
      <c r="F672" s="893"/>
      <c r="G672" s="894"/>
      <c r="H672" s="39"/>
      <c r="J672" s="187"/>
    </row>
    <row r="673" spans="1:10" s="35" customFormat="1">
      <c r="A673" s="37"/>
      <c r="B673" s="37"/>
      <c r="D673" s="893"/>
      <c r="E673" s="893"/>
      <c r="F673" s="893"/>
      <c r="G673" s="894"/>
      <c r="H673" s="39"/>
      <c r="J673" s="187"/>
    </row>
    <row r="674" spans="1:10" s="35" customFormat="1">
      <c r="A674" s="37"/>
      <c r="B674" s="37"/>
      <c r="D674" s="893"/>
      <c r="E674" s="893"/>
      <c r="F674" s="893"/>
      <c r="G674" s="894"/>
      <c r="H674" s="39"/>
      <c r="J674" s="187"/>
    </row>
    <row r="675" spans="1:10" s="35" customFormat="1">
      <c r="A675" s="37"/>
      <c r="B675" s="37"/>
      <c r="D675" s="893"/>
      <c r="E675" s="893"/>
      <c r="F675" s="893"/>
      <c r="G675" s="894"/>
      <c r="H675" s="39"/>
      <c r="J675" s="187"/>
    </row>
    <row r="676" spans="1:10" s="35" customFormat="1">
      <c r="A676" s="37"/>
      <c r="B676" s="37"/>
      <c r="D676" s="893"/>
      <c r="E676" s="893"/>
      <c r="F676" s="893"/>
      <c r="G676" s="894"/>
      <c r="H676" s="39"/>
      <c r="J676" s="187"/>
    </row>
  </sheetData>
  <sheetProtection password="C74A" sheet="1" objects="1" scenarios="1" formatCells="0" formatColumns="0" formatRows="0"/>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91">
    <mergeCell ref="C172:E172"/>
    <mergeCell ref="A137:A142"/>
    <mergeCell ref="D164:H164"/>
    <mergeCell ref="D171:H171"/>
    <mergeCell ref="A172:B173"/>
    <mergeCell ref="C173:E173"/>
    <mergeCell ref="D165:F165"/>
    <mergeCell ref="D166:F166"/>
    <mergeCell ref="D167:F167"/>
    <mergeCell ref="D168:F168"/>
    <mergeCell ref="D169:F169"/>
    <mergeCell ref="D170:F170"/>
    <mergeCell ref="A143:A145"/>
    <mergeCell ref="A147:A153"/>
    <mergeCell ref="A164:C171"/>
    <mergeCell ref="H172:I172"/>
    <mergeCell ref="H173:I173"/>
    <mergeCell ref="I143:I145"/>
    <mergeCell ref="I147:I153"/>
    <mergeCell ref="I154:I158"/>
    <mergeCell ref="B143:B145"/>
    <mergeCell ref="B154:B158"/>
    <mergeCell ref="B147:B153"/>
    <mergeCell ref="H147:H153"/>
    <mergeCell ref="A122:A128"/>
    <mergeCell ref="A116:A121"/>
    <mergeCell ref="A129:A132"/>
    <mergeCell ref="A133:A136"/>
    <mergeCell ref="A154:A158"/>
    <mergeCell ref="B10:B17"/>
    <mergeCell ref="B18:B25"/>
    <mergeCell ref="A18:A25"/>
    <mergeCell ref="B137:B142"/>
    <mergeCell ref="A105:A108"/>
    <mergeCell ref="A96:A100"/>
    <mergeCell ref="B80:B83"/>
    <mergeCell ref="A66:A74"/>
    <mergeCell ref="A75:A79"/>
    <mergeCell ref="A80:A83"/>
    <mergeCell ref="A90:A95"/>
    <mergeCell ref="A84:A86"/>
    <mergeCell ref="A101:A104"/>
    <mergeCell ref="A55:A58"/>
    <mergeCell ref="B133:B136"/>
    <mergeCell ref="A109:A115"/>
    <mergeCell ref="A35:A40"/>
    <mergeCell ref="A41:A47"/>
    <mergeCell ref="A10:A17"/>
    <mergeCell ref="H105:H108"/>
    <mergeCell ref="H80:H83"/>
    <mergeCell ref="B90:B95"/>
    <mergeCell ref="H84:H86"/>
    <mergeCell ref="H75:H79"/>
    <mergeCell ref="H96:H100"/>
    <mergeCell ref="B84:B86"/>
    <mergeCell ref="B96:B100"/>
    <mergeCell ref="B129:B132"/>
    <mergeCell ref="B87:B89"/>
    <mergeCell ref="H87:H89"/>
    <mergeCell ref="H90:H95"/>
    <mergeCell ref="H129:H132"/>
    <mergeCell ref="H116:H121"/>
    <mergeCell ref="H109:H115"/>
    <mergeCell ref="B101:B104"/>
    <mergeCell ref="H101:H104"/>
    <mergeCell ref="B105:B108"/>
    <mergeCell ref="B122:B128"/>
    <mergeCell ref="B116:B121"/>
    <mergeCell ref="H122:H128"/>
    <mergeCell ref="B109:B115"/>
    <mergeCell ref="A87:A89"/>
    <mergeCell ref="E1:I1"/>
    <mergeCell ref="I3:I9"/>
    <mergeCell ref="I10:I17"/>
    <mergeCell ref="I18:I25"/>
    <mergeCell ref="I26:I31"/>
    <mergeCell ref="I32:I34"/>
    <mergeCell ref="I35:I40"/>
    <mergeCell ref="H55:H58"/>
    <mergeCell ref="B26:B31"/>
    <mergeCell ref="B49:B54"/>
    <mergeCell ref="H18:H25"/>
    <mergeCell ref="H26:H31"/>
    <mergeCell ref="B55:B58"/>
    <mergeCell ref="H32:H34"/>
    <mergeCell ref="H35:H40"/>
    <mergeCell ref="I41:I47"/>
    <mergeCell ref="I49:I54"/>
    <mergeCell ref="H41:H47"/>
    <mergeCell ref="H49:H54"/>
    <mergeCell ref="B3:B9"/>
    <mergeCell ref="H3:H9"/>
    <mergeCell ref="B32:B34"/>
    <mergeCell ref="B41:B47"/>
    <mergeCell ref="I55:I58"/>
    <mergeCell ref="A1:B1"/>
    <mergeCell ref="B35:B40"/>
    <mergeCell ref="A32:A34"/>
    <mergeCell ref="A3:A9"/>
    <mergeCell ref="I60:I64"/>
    <mergeCell ref="I66:I74"/>
    <mergeCell ref="I75:I79"/>
    <mergeCell ref="I80:I83"/>
    <mergeCell ref="A26:A31"/>
    <mergeCell ref="A49:A54"/>
    <mergeCell ref="H60:H64"/>
    <mergeCell ref="B60:B64"/>
    <mergeCell ref="A60:A64"/>
    <mergeCell ref="H10:H17"/>
    <mergeCell ref="H66:H74"/>
    <mergeCell ref="B66:B74"/>
    <mergeCell ref="B75:B79"/>
    <mergeCell ref="I84:I86"/>
    <mergeCell ref="I87:I89"/>
    <mergeCell ref="I90:I95"/>
    <mergeCell ref="I96:I100"/>
    <mergeCell ref="I101:I104"/>
    <mergeCell ref="I105:I108"/>
    <mergeCell ref="I109:I115"/>
    <mergeCell ref="I116:I121"/>
    <mergeCell ref="I122:I128"/>
    <mergeCell ref="I129:I132"/>
    <mergeCell ref="I133:I136"/>
    <mergeCell ref="I137:I142"/>
    <mergeCell ref="H184:I184"/>
    <mergeCell ref="H185:I185"/>
    <mergeCell ref="H143:H145"/>
    <mergeCell ref="H186:I186"/>
    <mergeCell ref="H187:I187"/>
    <mergeCell ref="H188:I188"/>
    <mergeCell ref="H154:H158"/>
    <mergeCell ref="H137:H142"/>
    <mergeCell ref="H133:H136"/>
    <mergeCell ref="H189:I189"/>
    <mergeCell ref="H190:I190"/>
    <mergeCell ref="H191:I191"/>
    <mergeCell ref="H175:I175"/>
    <mergeCell ref="H176:I176"/>
    <mergeCell ref="H177:I177"/>
    <mergeCell ref="H178:I178"/>
    <mergeCell ref="H179:I179"/>
    <mergeCell ref="H180:I180"/>
    <mergeCell ref="H181:I181"/>
    <mergeCell ref="H182:I182"/>
    <mergeCell ref="H183:I183"/>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207:I207"/>
    <mergeCell ref="H208:I208"/>
    <mergeCell ref="H209:I209"/>
    <mergeCell ref="H210:I210"/>
    <mergeCell ref="H211:I211"/>
    <mergeCell ref="H212:I212"/>
    <mergeCell ref="H213:I213"/>
    <mergeCell ref="H214:I214"/>
    <mergeCell ref="H215:I215"/>
    <mergeCell ref="H216:I216"/>
    <mergeCell ref="H217:I217"/>
    <mergeCell ref="H218:I218"/>
    <mergeCell ref="H219:I219"/>
    <mergeCell ref="H220:I220"/>
    <mergeCell ref="H221:I221"/>
    <mergeCell ref="H222:I222"/>
    <mergeCell ref="H223:I223"/>
    <mergeCell ref="H224:I224"/>
    <mergeCell ref="H225:I225"/>
    <mergeCell ref="H226:I226"/>
    <mergeCell ref="H227:I227"/>
    <mergeCell ref="H237:I237"/>
    <mergeCell ref="H228:I228"/>
    <mergeCell ref="H229:I229"/>
    <mergeCell ref="H230:I230"/>
    <mergeCell ref="H231:I231"/>
    <mergeCell ref="H232:I232"/>
    <mergeCell ref="H233:I233"/>
    <mergeCell ref="H234:I234"/>
    <mergeCell ref="H235:I235"/>
    <mergeCell ref="H236:I236"/>
  </mergeCells>
  <phoneticPr fontId="2" type="noConversion"/>
  <pageMargins left="0.75" right="0.75" top="1" bottom="1" header="0.5" footer="0.5"/>
  <pageSetup orientation="portrait" horizontalDpi="4294967294" r:id="rId2"/>
  <headerFooter alignWithMargins="0"/>
  <ignoredErrors>
    <ignoredError sqref="G143 G80 G66 G87 G166 G75 G84" formulaRange="1"/>
  </ignoredErrors>
</worksheet>
</file>

<file path=xl/worksheets/sheet21.xml><?xml version="1.0" encoding="utf-8"?>
<worksheet xmlns="http://schemas.openxmlformats.org/spreadsheetml/2006/main" xmlns:r="http://schemas.openxmlformats.org/officeDocument/2006/relationships">
  <sheetPr codeName="Sheet34"/>
  <dimension ref="A1:I111"/>
  <sheetViews>
    <sheetView zoomScaleNormal="100" workbookViewId="0">
      <selection sqref="A1:B1"/>
    </sheetView>
  </sheetViews>
  <sheetFormatPr defaultColWidth="9.33203125" defaultRowHeight="13.8"/>
  <cols>
    <col min="1" max="1" width="5.77734375" style="45" customWidth="1"/>
    <col min="2" max="2" width="18.77734375" style="45" customWidth="1"/>
    <col min="3" max="3" width="69.77734375" style="45" customWidth="1"/>
    <col min="4" max="4" width="6.77734375" style="49" customWidth="1"/>
    <col min="5" max="5" width="6.77734375" style="104" customWidth="1"/>
    <col min="6" max="6" width="6.77734375" style="49" customWidth="1"/>
    <col min="7" max="7" width="9.77734375" style="916" customWidth="1"/>
    <col min="8" max="8" width="69.77734375" style="45" customWidth="1"/>
    <col min="9" max="9" width="11.77734375" style="45" customWidth="1"/>
    <col min="10" max="16384" width="9.33203125" style="45"/>
  </cols>
  <sheetData>
    <row r="1" spans="1:9" s="130" customFormat="1" ht="48" customHeight="1" thickBot="1">
      <c r="A1" s="2418" t="s">
        <v>1763</v>
      </c>
      <c r="B1" s="2419"/>
      <c r="C1" s="126" t="s">
        <v>1349</v>
      </c>
      <c r="D1" s="155" t="s">
        <v>1245</v>
      </c>
      <c r="E1" s="2826"/>
      <c r="F1" s="2827"/>
      <c r="G1" s="2827"/>
      <c r="H1" s="2827"/>
      <c r="I1" s="2827"/>
    </row>
    <row r="2" spans="1:9" s="1815" customFormat="1" ht="36" customHeight="1" thickBot="1">
      <c r="A2" s="1835" t="s">
        <v>168</v>
      </c>
      <c r="B2" s="1836" t="s">
        <v>1382</v>
      </c>
      <c r="C2" s="1574" t="s">
        <v>1354</v>
      </c>
      <c r="D2" s="1555" t="s">
        <v>64</v>
      </c>
      <c r="E2" s="1668" t="s">
        <v>1383</v>
      </c>
      <c r="F2" s="1669" t="s">
        <v>1384</v>
      </c>
      <c r="G2" s="1837" t="s">
        <v>1293</v>
      </c>
      <c r="H2" s="1555" t="s">
        <v>1294</v>
      </c>
      <c r="I2" s="1648" t="s">
        <v>2622</v>
      </c>
    </row>
    <row r="3" spans="1:9" s="24" customFormat="1" ht="30" customHeight="1" thickBot="1">
      <c r="A3" s="2846" t="str">
        <f>OF!A26</f>
        <v>OF4</v>
      </c>
      <c r="B3" s="2424" t="str">
        <f>OF!B26</f>
        <v>Distance to Large Vegetated Tract</v>
      </c>
      <c r="C3" s="1745" t="str">
        <f>OF!C26</f>
        <v>The minimum distance from the AA edge to the edge of the closest patch or corridor of unmanaged vegetated land (excluding row crops, lawn, conifer plantation) larger than 375 hectares, is:</v>
      </c>
      <c r="D3" s="1830"/>
      <c r="E3" s="218"/>
      <c r="F3" s="218"/>
      <c r="G3" s="828">
        <f>MAX(F4:F10)/MAX(E4:E10)</f>
        <v>0</v>
      </c>
      <c r="H3" s="2424" t="s">
        <v>2008</v>
      </c>
      <c r="I3" s="2148" t="s">
        <v>2009</v>
      </c>
    </row>
    <row r="4" spans="1:9" s="24" customFormat="1" ht="42" customHeight="1">
      <c r="A4" s="2847"/>
      <c r="B4" s="2425"/>
      <c r="C4" s="1076" t="str">
        <f>OF!C27</f>
        <v>&lt;50 m, and not separated from the 375-ha vegetated area by any width of roads, stretches of open water, row crops, bare ground, lawn, or impervious surface. Or the AA itself contains &gt;375 ha of vegetation. [This is often the answer in relatively undeveloped landscapes].</v>
      </c>
      <c r="D4" s="247">
        <f>OF!D27</f>
        <v>0</v>
      </c>
      <c r="E4" s="102">
        <v>6</v>
      </c>
      <c r="F4" s="100">
        <f t="shared" ref="F4:F10" si="0">D4*E4</f>
        <v>0</v>
      </c>
      <c r="G4" s="102"/>
      <c r="H4" s="2425"/>
      <c r="I4" s="2146"/>
    </row>
    <row r="5" spans="1:9" s="24" customFormat="1" ht="27" customHeight="1">
      <c r="A5" s="2847"/>
      <c r="B5" s="2425"/>
      <c r="C5" s="491" t="str">
        <f>OF!C28</f>
        <v>&lt;50 m, but completely separated from the 375-ha vegetated area by those features, and AA does not contain &gt;375 ha of vegetation.</v>
      </c>
      <c r="D5" s="247">
        <f>OF!D28</f>
        <v>0</v>
      </c>
      <c r="E5" s="102">
        <v>5</v>
      </c>
      <c r="F5" s="100">
        <f t="shared" si="0"/>
        <v>0</v>
      </c>
      <c r="G5" s="102"/>
      <c r="H5" s="2425"/>
      <c r="I5" s="2146"/>
    </row>
    <row r="6" spans="1:9" s="24" customFormat="1" ht="15" customHeight="1">
      <c r="A6" s="2847"/>
      <c r="B6" s="2425"/>
      <c r="C6" s="491" t="str">
        <f>OF!C29</f>
        <v>50-500 m, and not separated.</v>
      </c>
      <c r="D6" s="247">
        <f>OF!D29</f>
        <v>0</v>
      </c>
      <c r="E6" s="102">
        <v>4</v>
      </c>
      <c r="F6" s="100">
        <f t="shared" si="0"/>
        <v>0</v>
      </c>
      <c r="G6" s="102"/>
      <c r="H6" s="2425"/>
      <c r="I6" s="2146"/>
    </row>
    <row r="7" spans="1:9" s="24" customFormat="1" ht="15" customHeight="1">
      <c r="A7" s="2847"/>
      <c r="B7" s="2425"/>
      <c r="C7" s="491" t="str">
        <f>OF!C30</f>
        <v>50-500 m, but separated by those features.</v>
      </c>
      <c r="D7" s="247">
        <f>OF!D30</f>
        <v>0</v>
      </c>
      <c r="E7" s="102">
        <v>3</v>
      </c>
      <c r="F7" s="100">
        <f t="shared" si="0"/>
        <v>0</v>
      </c>
      <c r="G7" s="102"/>
      <c r="H7" s="2425"/>
      <c r="I7" s="2146"/>
    </row>
    <row r="8" spans="1:9" s="24" customFormat="1" ht="15" customHeight="1">
      <c r="A8" s="2847"/>
      <c r="B8" s="2425"/>
      <c r="C8" s="491" t="str">
        <f>OF!C31</f>
        <v>0.5 - 5 km, and not separated.</v>
      </c>
      <c r="D8" s="247">
        <f>OF!D31</f>
        <v>0</v>
      </c>
      <c r="E8" s="102">
        <v>2</v>
      </c>
      <c r="F8" s="100">
        <f t="shared" si="0"/>
        <v>0</v>
      </c>
      <c r="G8" s="102"/>
      <c r="H8" s="2425"/>
      <c r="I8" s="2146"/>
    </row>
    <row r="9" spans="1:9" s="24" customFormat="1" ht="15" customHeight="1">
      <c r="A9" s="2847"/>
      <c r="B9" s="2425"/>
      <c r="C9" s="491" t="str">
        <f>OF!C32</f>
        <v>0.5 - 5 km, but separated by those features.</v>
      </c>
      <c r="D9" s="247">
        <f>OF!D32</f>
        <v>0</v>
      </c>
      <c r="E9" s="102">
        <v>1</v>
      </c>
      <c r="F9" s="100">
        <f t="shared" si="0"/>
        <v>0</v>
      </c>
      <c r="G9" s="102"/>
      <c r="H9" s="2425"/>
      <c r="I9" s="2146"/>
    </row>
    <row r="10" spans="1:9" s="24" customFormat="1" ht="15" customHeight="1" thickBot="1">
      <c r="A10" s="2848"/>
      <c r="B10" s="2828"/>
      <c r="C10" s="492" t="str">
        <f>OF!C33</f>
        <v>none of the above (the closest patches or corridors which are that large are &gt;5 km away).</v>
      </c>
      <c r="D10" s="248">
        <f>OF!D33</f>
        <v>0</v>
      </c>
      <c r="E10" s="1064">
        <v>0</v>
      </c>
      <c r="F10" s="222">
        <f t="shared" si="0"/>
        <v>0</v>
      </c>
      <c r="G10" s="1064"/>
      <c r="H10" s="2828"/>
      <c r="I10" s="2149"/>
    </row>
    <row r="11" spans="1:9" s="16" customFormat="1" ht="45" customHeight="1" thickBot="1">
      <c r="A11" s="2817" t="str">
        <f>OF!A36</f>
        <v>OF7</v>
      </c>
      <c r="B11" s="2849" t="str">
        <f>OF!B36</f>
        <v>Local Vegetated Cover Percentage</v>
      </c>
      <c r="C11" s="2114" t="str">
        <f>[4]OF!C34</f>
        <v>Draw a 5-km radius circle measured from the center of the AA.  Ignoring all permanent water in the circle, the percent of the remaining area that is NOT lawn, row crops, heavily grazed land, clearcuts, or conifer plantations is:</v>
      </c>
      <c r="D11" s="1389"/>
      <c r="E11" s="102"/>
      <c r="F11" s="101"/>
      <c r="G11" s="814">
        <f>MAX(F12:F16)/MAX(E12:E16)</f>
        <v>0</v>
      </c>
      <c r="H11" s="2688" t="s">
        <v>2183</v>
      </c>
      <c r="I11" s="2148" t="s">
        <v>1589</v>
      </c>
    </row>
    <row r="12" spans="1:9" s="16" customFormat="1" ht="15" customHeight="1">
      <c r="A12" s="2817"/>
      <c r="B12" s="2849"/>
      <c r="C12" s="1832" t="str">
        <f>OF!C37</f>
        <v xml:space="preserve">&lt;5% of the land. </v>
      </c>
      <c r="D12" s="1141">
        <f>OF!D37</f>
        <v>0</v>
      </c>
      <c r="E12" s="102">
        <v>0</v>
      </c>
      <c r="F12" s="100">
        <f>D12*E12</f>
        <v>0</v>
      </c>
      <c r="G12" s="102"/>
      <c r="H12" s="2688"/>
      <c r="I12" s="2146"/>
    </row>
    <row r="13" spans="1:9" s="16" customFormat="1" ht="15" customHeight="1">
      <c r="A13" s="2817"/>
      <c r="B13" s="2849"/>
      <c r="C13" s="1833" t="str">
        <f>OF!C38</f>
        <v>5 to 20% of the land.</v>
      </c>
      <c r="D13" s="1141">
        <f>OF!D38</f>
        <v>0</v>
      </c>
      <c r="E13" s="102">
        <v>1</v>
      </c>
      <c r="F13" s="100">
        <f>D13*E13</f>
        <v>0</v>
      </c>
      <c r="G13" s="102"/>
      <c r="H13" s="2688"/>
      <c r="I13" s="2146"/>
    </row>
    <row r="14" spans="1:9" s="16" customFormat="1" ht="15" customHeight="1">
      <c r="A14" s="2817"/>
      <c r="B14" s="2849"/>
      <c r="C14" s="1833" t="str">
        <f>OF!C39</f>
        <v>20 to 60% of the land.</v>
      </c>
      <c r="D14" s="1141">
        <f>OF!D39</f>
        <v>0</v>
      </c>
      <c r="E14" s="102">
        <v>2</v>
      </c>
      <c r="F14" s="100">
        <f>D14*E14</f>
        <v>0</v>
      </c>
      <c r="G14" s="102"/>
      <c r="H14" s="2688"/>
      <c r="I14" s="2146"/>
    </row>
    <row r="15" spans="1:9" s="16" customFormat="1" ht="15" customHeight="1">
      <c r="A15" s="2817"/>
      <c r="B15" s="2849"/>
      <c r="C15" s="1833" t="str">
        <f>OF!C40</f>
        <v>60 to 90% of the land.</v>
      </c>
      <c r="D15" s="1141">
        <f>OF!D40</f>
        <v>0</v>
      </c>
      <c r="E15" s="102">
        <v>3</v>
      </c>
      <c r="F15" s="100">
        <f>D15*E15</f>
        <v>0</v>
      </c>
      <c r="G15" s="102"/>
      <c r="H15" s="2688"/>
      <c r="I15" s="2146"/>
    </row>
    <row r="16" spans="1:9" s="16" customFormat="1" ht="15" customHeight="1" thickBot="1">
      <c r="A16" s="2817"/>
      <c r="B16" s="2849"/>
      <c r="C16" s="1954" t="str">
        <f>OF!C41</f>
        <v>&gt;90% of the land. SKIP to OF9.</v>
      </c>
      <c r="D16" s="1956">
        <f>OF!D41</f>
        <v>0</v>
      </c>
      <c r="E16" s="1384">
        <v>4</v>
      </c>
      <c r="F16" s="217">
        <f>D16*E16</f>
        <v>0</v>
      </c>
      <c r="G16" s="1384"/>
      <c r="H16" s="2688"/>
      <c r="I16" s="2149"/>
    </row>
    <row r="17" spans="1:9" s="16" customFormat="1" ht="43.8" customHeight="1" thickBot="1">
      <c r="A17" s="1958" t="str">
        <f>F!A14</f>
        <v>F3</v>
      </c>
      <c r="B17" s="2816" t="str">
        <f>F!B14</f>
        <v>Woody Height &amp; Form Diversity</v>
      </c>
      <c r="C17" s="195" t="str">
        <f>F!C14</f>
        <v xml:space="preserve">Following EACH row below, indicate with a number code (6 if &gt;95%, 5 if 75-95%, 4 if 50-75%, 3 if 25-50%, 2 if 5-25%, 1 if &lt;5%, 0 if none) the percentage of the vegetated AA occupied by that feature. If ALL are marked 0 or 1, SKIP to F9 (N fixers). </v>
      </c>
      <c r="D17" s="829"/>
      <c r="E17" s="252"/>
      <c r="F17" s="253"/>
      <c r="G17" s="903">
        <f>IF((G18=F18),E18/5, IF((G18=F19),E19/5, IF((G18=F20),E20/5, IF((G18=F21),E21/5,IF((G18=F22),E22/5,E23/5)))))</f>
        <v>0</v>
      </c>
      <c r="H17" s="2819" t="s">
        <v>2891</v>
      </c>
      <c r="I17" s="2148" t="s">
        <v>2892</v>
      </c>
    </row>
    <row r="18" spans="1:9" s="16" customFormat="1" ht="15" customHeight="1">
      <c r="A18" s="1946"/>
      <c r="B18" s="2817"/>
      <c r="C18" s="1957" t="str">
        <f>F!C15</f>
        <v>coniferous trees (may include tamarack) taller than 3 m.</v>
      </c>
      <c r="D18" s="1961">
        <f>F!D15</f>
        <v>0</v>
      </c>
      <c r="E18" s="96">
        <v>0</v>
      </c>
      <c r="F18" s="100">
        <f t="shared" ref="F18:F23" si="1">D18*E18</f>
        <v>0</v>
      </c>
      <c r="G18" s="1962">
        <f>MAX(F18:F23)</f>
        <v>0</v>
      </c>
      <c r="H18" s="2820"/>
      <c r="I18" s="2146"/>
    </row>
    <row r="19" spans="1:9" s="16" customFormat="1" ht="15" customHeight="1">
      <c r="A19" s="1946"/>
      <c r="B19" s="2817"/>
      <c r="C19" s="1955" t="str">
        <f>F!C16</f>
        <v>deciduous trees taller than 3 m.</v>
      </c>
      <c r="D19" s="1160">
        <f>F!D16</f>
        <v>0</v>
      </c>
      <c r="E19" s="96">
        <v>1</v>
      </c>
      <c r="F19" s="100">
        <f t="shared" si="1"/>
        <v>0</v>
      </c>
      <c r="G19" s="96"/>
      <c r="H19" s="2820"/>
      <c r="I19" s="2146"/>
    </row>
    <row r="20" spans="1:9" s="16" customFormat="1" ht="28.8" customHeight="1">
      <c r="A20" s="1946"/>
      <c r="B20" s="2817"/>
      <c r="C20" s="1955" t="str">
        <f>F!C17</f>
        <v>coniferous shrubs or trees 1-3 m tall not directly below the canopy of trees &gt;3 m (e.g., conifer saplings, many ericaceous shrubs).</v>
      </c>
      <c r="D20" s="1160">
        <f>F!D17</f>
        <v>0</v>
      </c>
      <c r="E20" s="96">
        <v>3</v>
      </c>
      <c r="F20" s="100">
        <f t="shared" si="1"/>
        <v>0</v>
      </c>
      <c r="G20" s="96"/>
      <c r="H20" s="2820"/>
      <c r="I20" s="2146"/>
    </row>
    <row r="21" spans="1:9" s="16" customFormat="1" ht="29.4" customHeight="1">
      <c r="A21" s="1946"/>
      <c r="B21" s="2817"/>
      <c r="C21" s="1955" t="str">
        <f>F!C18</f>
        <v>deciduous shrubs or trees 1-3 m tall not directly below the canopy of trees &gt;3 m (e.g., deciduous saplings).</v>
      </c>
      <c r="D21" s="1160">
        <f>F!D18</f>
        <v>0</v>
      </c>
      <c r="E21" s="96">
        <v>4</v>
      </c>
      <c r="F21" s="100">
        <f t="shared" si="1"/>
        <v>0</v>
      </c>
      <c r="G21" s="96"/>
      <c r="H21" s="2820"/>
      <c r="I21" s="2146"/>
    </row>
    <row r="22" spans="1:9" s="16" customFormat="1" ht="29.4" customHeight="1">
      <c r="A22" s="1946"/>
      <c r="B22" s="2817"/>
      <c r="C22" s="1955" t="str">
        <f>F!C19</f>
        <v>coniferous shrubs or trees &lt;1 m tall not directly below the canopy of taller vegetation (e.g., conifer seedlings, many ericaceous shrubs); &gt;3 m.</v>
      </c>
      <c r="D22" s="1160">
        <f>F!D19</f>
        <v>0</v>
      </c>
      <c r="E22" s="96">
        <v>5</v>
      </c>
      <c r="F22" s="100">
        <f t="shared" si="1"/>
        <v>0</v>
      </c>
      <c r="G22" s="96"/>
      <c r="H22" s="2820"/>
      <c r="I22" s="2146"/>
    </row>
    <row r="23" spans="1:9" s="16" customFormat="1" ht="15" customHeight="1" thickBot="1">
      <c r="A23" s="1947"/>
      <c r="B23" s="2818"/>
      <c r="C23" s="1959" t="str">
        <f>F!C20</f>
        <v>deciduous shrubs or trees &lt;1 m tall (e.g., deciduous seedlings).</v>
      </c>
      <c r="D23" s="1960">
        <f>F!D20</f>
        <v>0</v>
      </c>
      <c r="E23" s="216">
        <v>5</v>
      </c>
      <c r="F23" s="222">
        <f t="shared" si="1"/>
        <v>0</v>
      </c>
      <c r="G23" s="216"/>
      <c r="H23" s="2821"/>
      <c r="I23" s="2149"/>
    </row>
    <row r="24" spans="1:9" ht="45" customHeight="1" thickBot="1">
      <c r="A24" s="2730" t="str">
        <f>F!A21</f>
        <v>F4</v>
      </c>
      <c r="B24" s="2726" t="str">
        <f>F!B21</f>
        <v>Woody Diameter Classes</v>
      </c>
      <c r="C24" s="899" t="str">
        <f>F!C21</f>
        <v>Mark ALL the types that comprise &gt;5% of the woody canopy cover in the AA or &gt;5% of the wooded areas (if any) along its upland edge (perimeter).  The edge should include only the trees whose canopies extend into the AA.</v>
      </c>
      <c r="D24" s="102"/>
      <c r="E24" s="102"/>
      <c r="F24" s="101"/>
      <c r="G24" s="814" t="str">
        <f>IF((SUM(F!D15:D18)=0),"",((SUM(D25:D32)/8+MAX(F25:F32)/MAX(E25:E32))/2))</f>
        <v/>
      </c>
      <c r="H24" s="2208" t="s">
        <v>2329</v>
      </c>
      <c r="I24" s="2212" t="s">
        <v>638</v>
      </c>
    </row>
    <row r="25" spans="1:9" ht="15" customHeight="1">
      <c r="A25" s="2730"/>
      <c r="B25" s="2726"/>
      <c r="C25" s="191" t="str">
        <f>F!C22</f>
        <v>coniferous, 1-9 cm diameter and &gt;1 m tall.</v>
      </c>
      <c r="D25" s="105">
        <f>F!D22</f>
        <v>0</v>
      </c>
      <c r="E25" s="97">
        <v>0</v>
      </c>
      <c r="F25" s="100">
        <f t="shared" ref="F25:F32" si="2">D25*E25</f>
        <v>0</v>
      </c>
      <c r="G25" s="910"/>
      <c r="H25" s="2726"/>
      <c r="I25" s="2213"/>
    </row>
    <row r="26" spans="1:9" ht="15" customHeight="1">
      <c r="A26" s="2730"/>
      <c r="B26" s="2726"/>
      <c r="C26" s="783" t="str">
        <f>F!C23</f>
        <v>broad-leaved deciduous 1-9 cm diameter and &gt;1 m tall.</v>
      </c>
      <c r="D26" s="48">
        <f>F!D23</f>
        <v>0</v>
      </c>
      <c r="E26" s="97">
        <v>1</v>
      </c>
      <c r="F26" s="100">
        <f t="shared" si="2"/>
        <v>0</v>
      </c>
      <c r="G26" s="906"/>
      <c r="H26" s="2726"/>
      <c r="I26" s="2213"/>
    </row>
    <row r="27" spans="1:9" ht="15" customHeight="1">
      <c r="A27" s="2730"/>
      <c r="B27" s="2726"/>
      <c r="C27" s="783" t="str">
        <f>F!C24</f>
        <v>coniferous, 10-19 cm diameter.</v>
      </c>
      <c r="D27" s="48">
        <f>F!D24</f>
        <v>0</v>
      </c>
      <c r="E27" s="97">
        <v>2</v>
      </c>
      <c r="F27" s="100">
        <f t="shared" si="2"/>
        <v>0</v>
      </c>
      <c r="G27" s="906"/>
      <c r="H27" s="2726"/>
      <c r="I27" s="2213"/>
    </row>
    <row r="28" spans="1:9" ht="15" customHeight="1">
      <c r="A28" s="2730"/>
      <c r="B28" s="2726"/>
      <c r="C28" s="783" t="str">
        <f>F!C25</f>
        <v>broad-leaved deciduous 10-19 cm diameter.</v>
      </c>
      <c r="D28" s="48">
        <f>F!D25</f>
        <v>0</v>
      </c>
      <c r="E28" s="97">
        <v>3</v>
      </c>
      <c r="F28" s="100">
        <f t="shared" si="2"/>
        <v>0</v>
      </c>
      <c r="G28" s="906"/>
      <c r="H28" s="2726"/>
      <c r="I28" s="2213"/>
    </row>
    <row r="29" spans="1:9" ht="15" customHeight="1">
      <c r="A29" s="2730"/>
      <c r="B29" s="2726"/>
      <c r="C29" s="783" t="str">
        <f>F!C26</f>
        <v>coniferous, 20-40 cm diameter.</v>
      </c>
      <c r="D29" s="48">
        <f>F!D26</f>
        <v>0</v>
      </c>
      <c r="E29" s="97">
        <v>4</v>
      </c>
      <c r="F29" s="100">
        <f t="shared" si="2"/>
        <v>0</v>
      </c>
      <c r="G29" s="906"/>
      <c r="H29" s="2726"/>
      <c r="I29" s="2213"/>
    </row>
    <row r="30" spans="1:9" ht="15" customHeight="1">
      <c r="A30" s="2730"/>
      <c r="B30" s="2726"/>
      <c r="C30" s="783" t="str">
        <f>F!C27</f>
        <v>broad-leaved deciduous 20-40 cm diameter.</v>
      </c>
      <c r="D30" s="48">
        <f>F!D27</f>
        <v>0</v>
      </c>
      <c r="E30" s="97">
        <v>6</v>
      </c>
      <c r="F30" s="100">
        <f t="shared" si="2"/>
        <v>0</v>
      </c>
      <c r="G30" s="906"/>
      <c r="H30" s="2726"/>
      <c r="I30" s="2213"/>
    </row>
    <row r="31" spans="1:9" ht="15" customHeight="1">
      <c r="A31" s="2730"/>
      <c r="B31" s="2726"/>
      <c r="C31" s="783" t="str">
        <f>F!C28</f>
        <v>coniferous, &gt;40 cm diameter.</v>
      </c>
      <c r="D31" s="48">
        <f>F!D28</f>
        <v>0</v>
      </c>
      <c r="E31" s="97">
        <v>5</v>
      </c>
      <c r="F31" s="100">
        <f t="shared" si="2"/>
        <v>0</v>
      </c>
      <c r="G31" s="906"/>
      <c r="H31" s="2726"/>
      <c r="I31" s="2213"/>
    </row>
    <row r="32" spans="1:9" ht="15" customHeight="1" thickBot="1">
      <c r="A32" s="2731"/>
      <c r="B32" s="2727"/>
      <c r="C32" s="784" t="str">
        <f>F!C29</f>
        <v>broad-leaved deciduous &gt;40 cm diameter.</v>
      </c>
      <c r="D32" s="220">
        <f>F!D29</f>
        <v>0</v>
      </c>
      <c r="E32" s="225">
        <v>8</v>
      </c>
      <c r="F32" s="222">
        <f t="shared" si="2"/>
        <v>0</v>
      </c>
      <c r="G32" s="907"/>
      <c r="H32" s="2727"/>
      <c r="I32" s="2377"/>
    </row>
    <row r="33" spans="1:9" ht="30" customHeight="1" thickBot="1">
      <c r="A33" s="2839" t="str">
        <f>F!A35</f>
        <v>F6</v>
      </c>
      <c r="B33" s="2833" t="str">
        <f>F!B35</f>
        <v>Large Snags (Dead Standing Trees)</v>
      </c>
      <c r="C33" s="899" t="str">
        <f>F!C35</f>
        <v>Including the adjoining upland area within 10 m of the wetland edge, the number of snags in the AA with diameter &gt;25 cm is:</v>
      </c>
      <c r="D33" s="218"/>
      <c r="E33" s="101"/>
      <c r="F33" s="101"/>
      <c r="G33" s="814" t="str">
        <f>IF((SUM(F!D15:D18)=0),"",MAX(F34:F36)/MAX(E34:E36))</f>
        <v/>
      </c>
      <c r="H33" s="2213" t="s">
        <v>2330</v>
      </c>
      <c r="I33" s="2212" t="s">
        <v>639</v>
      </c>
    </row>
    <row r="34" spans="1:9" ht="15" customHeight="1">
      <c r="A34" s="2839"/>
      <c r="B34" s="2833"/>
      <c r="C34" s="191" t="str">
        <f>F!C36</f>
        <v>None, or fewer than 8/ hectare which exceed this diameter.</v>
      </c>
      <c r="D34" s="105">
        <f>F!D36</f>
        <v>0</v>
      </c>
      <c r="E34" s="99">
        <v>1</v>
      </c>
      <c r="F34" s="100">
        <f>D34*E34</f>
        <v>0</v>
      </c>
      <c r="G34" s="912"/>
      <c r="H34" s="2833"/>
      <c r="I34" s="2213"/>
    </row>
    <row r="35" spans="1:9" ht="15" customHeight="1">
      <c r="A35" s="2839"/>
      <c r="B35" s="2833"/>
      <c r="C35" s="783" t="str">
        <f>F!C37</f>
        <v>Several ( &gt;8/hectare) and a pond, lake, or slow-flowing water wider than 10 m is within 1 km.</v>
      </c>
      <c r="D35" s="48">
        <f>F!D37</f>
        <v>0</v>
      </c>
      <c r="E35" s="99">
        <v>1</v>
      </c>
      <c r="F35" s="100">
        <f>D35*E35</f>
        <v>0</v>
      </c>
      <c r="G35" s="909"/>
      <c r="H35" s="2833"/>
      <c r="I35" s="2213"/>
    </row>
    <row r="36" spans="1:9" ht="15" customHeight="1" thickBot="1">
      <c r="A36" s="2839"/>
      <c r="B36" s="2833"/>
      <c r="C36" s="900" t="str">
        <f>F!C38</f>
        <v>Several ( &gt;8/hectare) but above not true.</v>
      </c>
      <c r="D36" s="98">
        <f>F!D38</f>
        <v>0</v>
      </c>
      <c r="E36" s="103">
        <v>0</v>
      </c>
      <c r="F36" s="217">
        <f>D36*E36</f>
        <v>0</v>
      </c>
      <c r="G36" s="911"/>
      <c r="H36" s="2833"/>
      <c r="I36" s="2377"/>
    </row>
    <row r="37" spans="1:9" ht="30" customHeight="1" thickBot="1">
      <c r="A37" s="2838" t="str">
        <f>F!A39</f>
        <v>F7</v>
      </c>
      <c r="B37" s="2837" t="str">
        <f>F!B39</f>
        <v>Downed Wood</v>
      </c>
      <c r="C37" s="782" t="str">
        <f>F!C39</f>
        <v>The number of downed wood pieces longer than 2 m and with diameter &gt;10 cm, and not persistently submerged, is:</v>
      </c>
      <c r="D37" s="218"/>
      <c r="E37" s="218"/>
      <c r="F37" s="219"/>
      <c r="G37" s="828" t="str">
        <f>IF((SUM(F!D15:D18)=0),"", MAX(F38:F39))</f>
        <v/>
      </c>
      <c r="H37" s="2209" t="s">
        <v>2331</v>
      </c>
      <c r="I37" s="2212" t="s">
        <v>640</v>
      </c>
    </row>
    <row r="38" spans="1:9" ht="15" customHeight="1">
      <c r="A38" s="2730"/>
      <c r="B38" s="2726"/>
      <c r="C38" s="191" t="str">
        <f>F!C40</f>
        <v>Several (&gt;5 if AA is &gt;5 hectares, less for smaller AAs) meet these criteria.</v>
      </c>
      <c r="D38" s="105">
        <f>F!D40</f>
        <v>0</v>
      </c>
      <c r="E38" s="99">
        <v>1</v>
      </c>
      <c r="F38" s="100">
        <f>D38*E38</f>
        <v>0</v>
      </c>
      <c r="G38" s="910"/>
      <c r="H38" s="2726"/>
      <c r="I38" s="2213"/>
    </row>
    <row r="39" spans="1:9" ht="15" customHeight="1" thickBot="1">
      <c r="A39" s="2731"/>
      <c r="B39" s="2726"/>
      <c r="C39" s="900" t="str">
        <f>F!C41</f>
        <v>Few or none that meet these criteria.</v>
      </c>
      <c r="D39" s="98">
        <f>F!D41</f>
        <v>0</v>
      </c>
      <c r="E39" s="103">
        <v>0</v>
      </c>
      <c r="F39" s="217">
        <f>D39*E39</f>
        <v>0</v>
      </c>
      <c r="G39" s="911"/>
      <c r="H39" s="2726"/>
      <c r="I39" s="2377"/>
    </row>
    <row r="40" spans="1:9" ht="30" customHeight="1" thickBot="1">
      <c r="A40" s="2829" t="str">
        <f>F!A42</f>
        <v>F8</v>
      </c>
      <c r="B40" s="2832" t="str">
        <f>F!B42</f>
        <v xml:space="preserve">Dominance of Most Abundant Shrub Species </v>
      </c>
      <c r="C40" s="206" t="str">
        <f>F!C42</f>
        <v>Determine which two native shrub species comprise the greatest portion of the native shrub cover. Then choose one:</v>
      </c>
      <c r="D40" s="829"/>
      <c r="E40" s="252"/>
      <c r="F40" s="253"/>
      <c r="G40" s="903" t="str">
        <f>IF((SUM(F!D15:D18)=0),"", IF((D42=1),1,""))</f>
        <v/>
      </c>
      <c r="H40" s="2383" t="s">
        <v>2002</v>
      </c>
      <c r="I40" s="2212" t="s">
        <v>2000</v>
      </c>
    </row>
    <row r="41" spans="1:9" ht="15" customHeight="1">
      <c r="A41" s="2830"/>
      <c r="B41" s="2833"/>
      <c r="C41" s="191" t="str">
        <f>F!C43</f>
        <v>those species together comprise &gt; 50% of the areal cover of native shrub species.</v>
      </c>
      <c r="D41" s="48">
        <f>F!D43</f>
        <v>0</v>
      </c>
      <c r="E41" s="99">
        <v>1</v>
      </c>
      <c r="F41" s="100">
        <f>D41*E41</f>
        <v>0</v>
      </c>
      <c r="G41" s="914"/>
      <c r="H41" s="2840"/>
      <c r="I41" s="2213"/>
    </row>
    <row r="42" spans="1:9" ht="15" customHeight="1" thickBot="1">
      <c r="A42" s="2831"/>
      <c r="B42" s="2834"/>
      <c r="C42" s="784" t="str">
        <f>F!C44</f>
        <v>those species together do not comprise &gt; 50% of the areal cover of native shrub species.</v>
      </c>
      <c r="D42" s="220">
        <f>F!D44</f>
        <v>0</v>
      </c>
      <c r="E42" s="221">
        <v>0</v>
      </c>
      <c r="F42" s="222">
        <f>D42*E42</f>
        <v>0</v>
      </c>
      <c r="G42" s="1282"/>
      <c r="H42" s="2841"/>
      <c r="I42" s="2377"/>
    </row>
    <row r="43" spans="1:9" ht="30" customHeight="1" thickBot="1">
      <c r="A43" s="2745" t="str">
        <f>F!A57</f>
        <v>F11</v>
      </c>
      <c r="B43" s="2726" t="str">
        <f>F!B57</f>
        <v>% Bare Ground &amp; Thatch</v>
      </c>
      <c r="C43" s="899" t="str">
        <f>F!C57</f>
        <v>Consider the parts of the AA that lack surface water at the driest time of the growing season. Viewed from directly above the ground layer, the predominant condition in those areas at that time is:</v>
      </c>
      <c r="D43" s="102"/>
      <c r="E43" s="102"/>
      <c r="F43" s="101"/>
      <c r="G43" s="814">
        <f>MAX(F44:F47)/MAX(E44:E47)</f>
        <v>0</v>
      </c>
      <c r="H43" s="2208" t="s">
        <v>1995</v>
      </c>
      <c r="I43" s="2212" t="s">
        <v>641</v>
      </c>
    </row>
    <row r="44" spans="1:9" ht="42" customHeight="1">
      <c r="A44" s="2745"/>
      <c r="B44" s="2726"/>
      <c r="C44" s="191" t="str">
        <f>F!C58</f>
        <v>Little or no (&lt;5%) bare ground is visible between erect stems or under canopy anywhere in the vegetated AA. Ground is extensively blanketed by dense thatch, moss, lichens, graminoids with great stem densities, or plants with ground-hugging foliage. </v>
      </c>
      <c r="D44" s="105">
        <f>F!D58</f>
        <v>0</v>
      </c>
      <c r="E44" s="99">
        <v>1</v>
      </c>
      <c r="F44" s="100">
        <f>D44*E44</f>
        <v>0</v>
      </c>
      <c r="G44" s="910"/>
      <c r="H44" s="2726"/>
      <c r="I44" s="2213"/>
    </row>
    <row r="45" spans="1:9" ht="27" customHeight="1">
      <c r="A45" s="2745"/>
      <c r="B45" s="2726"/>
      <c r="C45" s="783" t="str">
        <f>F!C59</f>
        <v>Slightly bare ground (5-20% bare between plants) is visible in places, but those areas comprise less than 5% of the unflooded parts of the AA.</v>
      </c>
      <c r="D45" s="48">
        <f>F!D59</f>
        <v>0</v>
      </c>
      <c r="E45" s="99">
        <v>2</v>
      </c>
      <c r="F45" s="100">
        <f>D45*E45</f>
        <v>0</v>
      </c>
      <c r="G45" s="906"/>
      <c r="H45" s="2726"/>
      <c r="I45" s="2213"/>
    </row>
    <row r="46" spans="1:9" ht="27" customHeight="1">
      <c r="A46" s="2745"/>
      <c r="B46" s="2726"/>
      <c r="C46" s="783" t="str">
        <f>F!C60</f>
        <v>Much bare ground (20-50% bare between plants) is visible in places, and those areas comprise more than 5% of the unflooded parts of the AA. </v>
      </c>
      <c r="D46" s="48">
        <f>F!D60</f>
        <v>0</v>
      </c>
      <c r="E46" s="99">
        <v>3</v>
      </c>
      <c r="F46" s="100">
        <f>D46*E46</f>
        <v>0</v>
      </c>
      <c r="G46" s="906"/>
      <c r="H46" s="2726"/>
      <c r="I46" s="2213"/>
    </row>
    <row r="47" spans="1:9" ht="15" customHeight="1" thickBot="1">
      <c r="A47" s="2745"/>
      <c r="B47" s="2726"/>
      <c r="C47" s="900" t="str">
        <f>F!C61</f>
        <v>Other conditions.</v>
      </c>
      <c r="D47" s="98">
        <f>F!D61</f>
        <v>0</v>
      </c>
      <c r="E47" s="103">
        <v>0</v>
      </c>
      <c r="F47" s="217">
        <f>D47*E47</f>
        <v>0</v>
      </c>
      <c r="G47" s="911"/>
      <c r="H47" s="2726"/>
      <c r="I47" s="2377"/>
    </row>
    <row r="48" spans="1:9" ht="60" customHeight="1" thickBot="1">
      <c r="A48" s="2838" t="str">
        <f>F!A63</f>
        <v>F12</v>
      </c>
      <c r="B48" s="2837" t="str">
        <f>F!B63</f>
        <v xml:space="preserve">Ground Irregularity </v>
      </c>
      <c r="C48" s="782"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48" s="218"/>
      <c r="E48" s="218"/>
      <c r="F48" s="219"/>
      <c r="G48" s="828">
        <f>MAX(F49:F51)/MAX(E49:E51)</f>
        <v>0</v>
      </c>
      <c r="H48" s="2837" t="s">
        <v>15</v>
      </c>
      <c r="I48" s="2212" t="s">
        <v>642</v>
      </c>
    </row>
    <row r="49" spans="1:9" ht="15" customHeight="1">
      <c r="A49" s="2730"/>
      <c r="B49" s="2726"/>
      <c r="C49" s="191" t="str">
        <f>F!C64</f>
        <v>Few or none (minimal microtopography; &lt;1% has such features).</v>
      </c>
      <c r="D49" s="105">
        <f>F!D64</f>
        <v>0</v>
      </c>
      <c r="E49" s="99">
        <v>0</v>
      </c>
      <c r="F49" s="100">
        <f>D49*E49</f>
        <v>0</v>
      </c>
      <c r="G49" s="910"/>
      <c r="H49" s="2726"/>
      <c r="I49" s="2213"/>
    </row>
    <row r="50" spans="1:9" ht="15" customHeight="1">
      <c r="A50" s="2730"/>
      <c r="B50" s="2726"/>
      <c r="C50" s="783" t="str">
        <f>F!C65</f>
        <v>Intermediate.</v>
      </c>
      <c r="D50" s="48">
        <f>F!D65</f>
        <v>0</v>
      </c>
      <c r="E50" s="99">
        <v>1</v>
      </c>
      <c r="F50" s="100">
        <f>D50*E50</f>
        <v>0</v>
      </c>
      <c r="G50" s="906"/>
      <c r="H50" s="2726"/>
      <c r="I50" s="2213"/>
    </row>
    <row r="51" spans="1:9" ht="15" customHeight="1" thickBot="1">
      <c r="A51" s="2731"/>
      <c r="B51" s="2727"/>
      <c r="C51" s="784" t="str">
        <f>F!C66</f>
        <v>Several (extensive micro-topography).</v>
      </c>
      <c r="D51" s="220">
        <f>F!D66</f>
        <v>0</v>
      </c>
      <c r="E51" s="221">
        <v>2</v>
      </c>
      <c r="F51" s="222">
        <f>D51*E51</f>
        <v>0</v>
      </c>
      <c r="G51" s="907"/>
      <c r="H51" s="2727"/>
      <c r="I51" s="2377"/>
    </row>
    <row r="52" spans="1:9" ht="30" customHeight="1" thickBot="1">
      <c r="A52" s="2829" t="str">
        <f>F!A88</f>
        <v>F17</v>
      </c>
      <c r="B52" s="2832" t="str">
        <f>F!B88</f>
        <v xml:space="preserve">Forb Cover </v>
      </c>
      <c r="C52" s="782" t="str">
        <f>F!C88</f>
        <v>Within parts of the AA having herbaceous cover (excluding SAV), the areal cover of forbs reaches an annual maximum of:</v>
      </c>
      <c r="D52" s="218"/>
      <c r="E52" s="218"/>
      <c r="F52" s="219"/>
      <c r="G52" s="828">
        <f>IF((NoHerbCov=1),"", MAX(F53:F57)/MAX(E53:E57))</f>
        <v>0</v>
      </c>
      <c r="H52" s="2209" t="s">
        <v>737</v>
      </c>
      <c r="I52" s="2212" t="s">
        <v>2894</v>
      </c>
    </row>
    <row r="53" spans="1:9" ht="15" customHeight="1">
      <c r="A53" s="2830"/>
      <c r="B53" s="2833"/>
      <c r="C53" s="191" t="str">
        <f>F!C89</f>
        <v xml:space="preserve">&lt;5% of the herbaceous part of the AA. </v>
      </c>
      <c r="D53" s="105">
        <f>F!D89</f>
        <v>0</v>
      </c>
      <c r="E53" s="99">
        <v>0</v>
      </c>
      <c r="F53" s="100">
        <f>D53*E53</f>
        <v>0</v>
      </c>
      <c r="G53" s="910"/>
      <c r="H53" s="2726"/>
      <c r="I53" s="2213"/>
    </row>
    <row r="54" spans="1:9" ht="15" customHeight="1">
      <c r="A54" s="2830"/>
      <c r="B54" s="2833"/>
      <c r="C54" s="783" t="str">
        <f>F!C90</f>
        <v>5-25% of the herbaceous part of the AA.</v>
      </c>
      <c r="D54" s="48">
        <f>F!D90</f>
        <v>0</v>
      </c>
      <c r="E54" s="99">
        <v>1</v>
      </c>
      <c r="F54" s="100">
        <f>D54*E54</f>
        <v>0</v>
      </c>
      <c r="G54" s="910"/>
      <c r="H54" s="2726"/>
      <c r="I54" s="2213"/>
    </row>
    <row r="55" spans="1:9" ht="15" customHeight="1">
      <c r="A55" s="2830"/>
      <c r="B55" s="2833"/>
      <c r="C55" s="783" t="str">
        <f>F!C91</f>
        <v>25-50% of the herbaceous part of the AA.</v>
      </c>
      <c r="D55" s="48">
        <f>F!D91</f>
        <v>0</v>
      </c>
      <c r="E55" s="99">
        <v>2</v>
      </c>
      <c r="F55" s="100">
        <f>D55*E55</f>
        <v>0</v>
      </c>
      <c r="G55" s="910"/>
      <c r="H55" s="2726"/>
      <c r="I55" s="2213"/>
    </row>
    <row r="56" spans="1:9" ht="15" customHeight="1">
      <c r="A56" s="2830"/>
      <c r="B56" s="2833"/>
      <c r="C56" s="783" t="str">
        <f>F!C92</f>
        <v>50-95% of the herbaceous part of the AA.</v>
      </c>
      <c r="D56" s="48">
        <f>F!D92</f>
        <v>0</v>
      </c>
      <c r="E56" s="99">
        <v>3</v>
      </c>
      <c r="F56" s="100">
        <f>D56*E56</f>
        <v>0</v>
      </c>
      <c r="G56" s="906"/>
      <c r="H56" s="2726"/>
      <c r="I56" s="2213"/>
    </row>
    <row r="57" spans="1:9" ht="15" customHeight="1" thickBot="1">
      <c r="A57" s="2831"/>
      <c r="B57" s="2834"/>
      <c r="C57" s="784" t="str">
        <f>F!C93</f>
        <v>&gt;95% of the herbaceous part of the AA.</v>
      </c>
      <c r="D57" s="220">
        <f>F!D93</f>
        <v>0</v>
      </c>
      <c r="E57" s="221">
        <v>4</v>
      </c>
      <c r="F57" s="222">
        <f>D57*E57</f>
        <v>0</v>
      </c>
      <c r="G57" s="907"/>
      <c r="H57" s="2727"/>
      <c r="I57" s="2377"/>
    </row>
    <row r="58" spans="1:9" ht="30" customHeight="1" thickBot="1">
      <c r="A58" s="2839" t="str">
        <f>F!A99</f>
        <v>F19</v>
      </c>
      <c r="B58" s="2833" t="str">
        <f>F!B99</f>
        <v xml:space="preserve">Dominance of Most Abundant Herbaceous Species </v>
      </c>
      <c r="C58" s="899" t="str">
        <f>F!C99</f>
        <v>Determine which two native herbaceous (forb and graminoid) species comprise the greatest portion of the herbaceous cover that is unshaded by a woody canopy. Then choose one of the following:</v>
      </c>
      <c r="D58" s="218"/>
      <c r="E58" s="102"/>
      <c r="F58" s="101"/>
      <c r="G58" s="814">
        <f>IF((NoHerbCov=1),"",MAX(F59:F60))</f>
        <v>0</v>
      </c>
      <c r="H58" s="2208" t="s">
        <v>2001</v>
      </c>
      <c r="I58" s="2212" t="s">
        <v>644</v>
      </c>
    </row>
    <row r="59" spans="1:9" ht="27" customHeight="1">
      <c r="A59" s="2839"/>
      <c r="B59" s="2833"/>
      <c r="C59" s="191" t="str">
        <f>F!C100</f>
        <v>those species together comprise &gt; 50% of the areal cover of native herbaceous plants at any time during the year.</v>
      </c>
      <c r="D59" s="105">
        <f>F!D100</f>
        <v>0</v>
      </c>
      <c r="E59" s="99">
        <v>0</v>
      </c>
      <c r="F59" s="100">
        <f>D59*E59</f>
        <v>0</v>
      </c>
      <c r="G59" s="906"/>
      <c r="H59" s="2726"/>
      <c r="I59" s="2213"/>
    </row>
    <row r="60" spans="1:9" ht="27" customHeight="1" thickBot="1">
      <c r="A60" s="2839"/>
      <c r="B60" s="2833"/>
      <c r="C60" s="900" t="str">
        <f>F!C101</f>
        <v>those species together do not comprise &gt; 50% of the areal cover of native herbaceous plants at any time during the year.</v>
      </c>
      <c r="D60" s="98">
        <f>F!D101</f>
        <v>0</v>
      </c>
      <c r="E60" s="103">
        <v>1</v>
      </c>
      <c r="F60" s="217">
        <f>D60*E60</f>
        <v>0</v>
      </c>
      <c r="G60" s="911"/>
      <c r="H60" s="2726"/>
      <c r="I60" s="2377"/>
    </row>
    <row r="61" spans="1:9" ht="30" customHeight="1" thickBot="1">
      <c r="A61" s="2838" t="str">
        <f>F!A102</f>
        <v>F20</v>
      </c>
      <c r="B61" s="2837" t="str">
        <f>F!B102</f>
        <v>Exotic Plant Cover</v>
      </c>
      <c r="C61" s="782" t="str">
        <f>F!C102</f>
        <v>How extensive is the cover of exotic plant species in the AA?  For species, see Plants_Exotic worksheet in the SuppInfo file accompanying this calculator.</v>
      </c>
      <c r="D61" s="218"/>
      <c r="E61" s="218"/>
      <c r="F61" s="219"/>
      <c r="G61" s="828">
        <f>MAX(F62:F65)/MAX(E62:E65)</f>
        <v>0</v>
      </c>
      <c r="H61" s="2643" t="s">
        <v>2011</v>
      </c>
      <c r="I61" s="2212" t="s">
        <v>643</v>
      </c>
    </row>
    <row r="62" spans="1:9" ht="27" customHeight="1">
      <c r="A62" s="2730"/>
      <c r="B62" s="2726"/>
      <c r="C62" s="191" t="str">
        <f>F!C103</f>
        <v>exotic species appear to be absent in the AA, or are present only in trace amount (a few individuals).</v>
      </c>
      <c r="D62" s="105">
        <f>F!D103</f>
        <v>0</v>
      </c>
      <c r="E62" s="99">
        <v>3</v>
      </c>
      <c r="F62" s="100">
        <f>D62*E62</f>
        <v>0</v>
      </c>
      <c r="G62" s="910"/>
      <c r="H62" s="2850"/>
      <c r="I62" s="2213"/>
    </row>
    <row r="63" spans="1:9" ht="15" customHeight="1">
      <c r="A63" s="2730"/>
      <c r="B63" s="2726"/>
      <c r="C63" s="783" t="str">
        <f>F!C105</f>
        <v>exotic species comprise 5-20% of the herb cover (or woody cover, if the exotics are woody).</v>
      </c>
      <c r="D63" s="48">
        <f>F!D105</f>
        <v>0</v>
      </c>
      <c r="E63" s="99">
        <v>2</v>
      </c>
      <c r="F63" s="100">
        <f>D63*E63</f>
        <v>0</v>
      </c>
      <c r="G63" s="906"/>
      <c r="H63" s="2850"/>
      <c r="I63" s="2213"/>
    </row>
    <row r="64" spans="1:9" ht="15" customHeight="1">
      <c r="A64" s="2730"/>
      <c r="B64" s="2726"/>
      <c r="C64" s="783" t="str">
        <f>F!C106</f>
        <v>exotic species comprise 20-50% of the herb cover  (or woody cover, if the exotics are woody).</v>
      </c>
      <c r="D64" s="48">
        <f>F!D106</f>
        <v>0</v>
      </c>
      <c r="E64" s="99">
        <v>1</v>
      </c>
      <c r="F64" s="100">
        <f>D64*E64</f>
        <v>0</v>
      </c>
      <c r="G64" s="906"/>
      <c r="H64" s="2850"/>
      <c r="I64" s="2213"/>
    </row>
    <row r="65" spans="1:9" ht="15" customHeight="1" thickBot="1">
      <c r="A65" s="2731"/>
      <c r="B65" s="2727"/>
      <c r="C65" s="784" t="str">
        <f>F!C107</f>
        <v>exotic species comprise &gt;50% of the herb cover  (or woody cover, if the exotics are woody).</v>
      </c>
      <c r="D65" s="220">
        <f>F!D107</f>
        <v>0</v>
      </c>
      <c r="E65" s="221">
        <v>0</v>
      </c>
      <c r="F65" s="222">
        <f>D65*E65</f>
        <v>0</v>
      </c>
      <c r="G65" s="907"/>
      <c r="H65" s="2851"/>
      <c r="I65" s="2377"/>
    </row>
    <row r="66" spans="1:9" ht="45" customHeight="1" thickBot="1">
      <c r="A66" s="2829" t="str">
        <f>F!A122</f>
        <v>F25</v>
      </c>
      <c r="B66" s="2832" t="str">
        <f>F!B122</f>
        <v>% of AA with Persistent Surface Water</v>
      </c>
      <c r="C66" s="782" t="str">
        <f>F!C122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6" s="218"/>
      <c r="E66" s="218"/>
      <c r="F66" s="219"/>
      <c r="G66" s="828">
        <f>IF((AllSat1&gt;0),"", MAX(F67:F71)/MAX(E67:E71))</f>
        <v>0</v>
      </c>
      <c r="H66" s="2209" t="s">
        <v>2332</v>
      </c>
      <c r="I66" s="2212" t="s">
        <v>637</v>
      </c>
    </row>
    <row r="67" spans="1:9" ht="27" customHeight="1">
      <c r="A67" s="2830"/>
      <c r="B67" s="2833"/>
      <c r="C67" s="900" t="str">
        <f>F!C123</f>
        <v>none. The AA dries up completely (no water in channels either) or never has surface water during most years.</v>
      </c>
      <c r="D67" s="98">
        <f>F!D123</f>
        <v>0</v>
      </c>
      <c r="E67" s="102">
        <v>5</v>
      </c>
      <c r="F67" s="100">
        <f t="shared" ref="F67:F80" si="3">D67*E67</f>
        <v>0</v>
      </c>
      <c r="G67" s="906"/>
      <c r="H67" s="2208"/>
      <c r="I67" s="2213"/>
    </row>
    <row r="68" spans="1:9" ht="15" customHeight="1">
      <c r="A68" s="2830"/>
      <c r="B68" s="2833"/>
      <c r="C68" s="900" t="str">
        <f>F!C124</f>
        <v>1-20% of the AA.</v>
      </c>
      <c r="D68" s="98">
        <f>F!D124</f>
        <v>0</v>
      </c>
      <c r="E68" s="99">
        <v>4</v>
      </c>
      <c r="F68" s="100">
        <f t="shared" si="3"/>
        <v>0</v>
      </c>
      <c r="G68" s="906"/>
      <c r="H68" s="2726"/>
      <c r="I68" s="2213"/>
    </row>
    <row r="69" spans="1:9" ht="15" customHeight="1">
      <c r="A69" s="2830"/>
      <c r="B69" s="2833"/>
      <c r="C69" s="900" t="str">
        <f>F!C125</f>
        <v>20-50% of the AA.</v>
      </c>
      <c r="D69" s="98">
        <f>F!D125</f>
        <v>0</v>
      </c>
      <c r="E69" s="99">
        <v>3</v>
      </c>
      <c r="F69" s="100">
        <f t="shared" si="3"/>
        <v>0</v>
      </c>
      <c r="G69" s="906"/>
      <c r="H69" s="2726"/>
      <c r="I69" s="2213"/>
    </row>
    <row r="70" spans="1:9" ht="15" customHeight="1">
      <c r="A70" s="2830"/>
      <c r="B70" s="2833"/>
      <c r="C70" s="900" t="str">
        <f>F!C126</f>
        <v>50-95% of the AA.</v>
      </c>
      <c r="D70" s="98">
        <f>F!D126</f>
        <v>0</v>
      </c>
      <c r="E70" s="99">
        <v>2</v>
      </c>
      <c r="F70" s="100">
        <f t="shared" si="3"/>
        <v>0</v>
      </c>
      <c r="G70" s="906"/>
      <c r="H70" s="2726"/>
      <c r="I70" s="2213"/>
    </row>
    <row r="71" spans="1:9" ht="15" customHeight="1" thickBot="1">
      <c r="A71" s="2831"/>
      <c r="B71" s="2833"/>
      <c r="C71" s="900" t="str">
        <f>F!C127</f>
        <v>&gt;95% of the AA. True for many fringe wetlands.</v>
      </c>
      <c r="D71" s="98">
        <f>F!D127</f>
        <v>0</v>
      </c>
      <c r="E71" s="223">
        <v>1</v>
      </c>
      <c r="F71" s="217">
        <f t="shared" si="3"/>
        <v>0</v>
      </c>
      <c r="G71" s="911"/>
      <c r="H71" s="2726"/>
      <c r="I71" s="2377"/>
    </row>
    <row r="72" spans="1:9" ht="30" customHeight="1" thickBot="1">
      <c r="A72" s="2829" t="str">
        <f>F!A240</f>
        <v>F52</v>
      </c>
      <c r="B72" s="2832" t="str">
        <f>F!B240</f>
        <v>Vegetated Buffer as % of Perimeter</v>
      </c>
      <c r="C72" s="1305" t="str">
        <f>F!C240</f>
        <v>Along the wetland-upland edge and extending 30 m laterally upslope, the percentage of the upland that contains vegetation cover (except lawns, row crops, heavily grazed land, conifer plantations) is:</v>
      </c>
      <c r="D72" s="829"/>
      <c r="E72" s="252"/>
      <c r="F72" s="253"/>
      <c r="G72" s="828">
        <f>IF((AllSat1&gt;0),"", MAX(F73:F77)/MAX(E73:E77))</f>
        <v>0</v>
      </c>
      <c r="H72" s="2212" t="s">
        <v>2006</v>
      </c>
      <c r="I72" s="2212" t="s">
        <v>1996</v>
      </c>
    </row>
    <row r="73" spans="1:9" ht="15" customHeight="1">
      <c r="A73" s="2830"/>
      <c r="B73" s="2833"/>
      <c r="C73" s="1281" t="str">
        <f>F!C241</f>
        <v xml:space="preserve">&lt;5% </v>
      </c>
      <c r="D73" s="48">
        <f>F!D241</f>
        <v>0</v>
      </c>
      <c r="E73" s="96">
        <v>0</v>
      </c>
      <c r="F73" s="100">
        <f t="shared" si="3"/>
        <v>0</v>
      </c>
      <c r="G73" s="909"/>
      <c r="H73" s="2833"/>
      <c r="I73" s="2213"/>
    </row>
    <row r="74" spans="1:9" ht="15" customHeight="1">
      <c r="A74" s="2830"/>
      <c r="B74" s="2833"/>
      <c r="C74" s="1143" t="str">
        <f>F!C242</f>
        <v>5 to 30%</v>
      </c>
      <c r="D74" s="48">
        <f>F!D242</f>
        <v>0</v>
      </c>
      <c r="E74" s="96">
        <v>2</v>
      </c>
      <c r="F74" s="100">
        <f t="shared" si="3"/>
        <v>0</v>
      </c>
      <c r="G74" s="909"/>
      <c r="H74" s="2833"/>
      <c r="I74" s="2213"/>
    </row>
    <row r="75" spans="1:9" ht="15" customHeight="1">
      <c r="A75" s="2830"/>
      <c r="B75" s="2833"/>
      <c r="C75" s="1143" t="str">
        <f>F!C243</f>
        <v>30 to 60%</v>
      </c>
      <c r="D75" s="48">
        <f>F!D243</f>
        <v>0</v>
      </c>
      <c r="E75" s="96">
        <v>3</v>
      </c>
      <c r="F75" s="100">
        <f t="shared" si="3"/>
        <v>0</v>
      </c>
      <c r="G75" s="909"/>
      <c r="H75" s="2833"/>
      <c r="I75" s="2213"/>
    </row>
    <row r="76" spans="1:9" ht="15" customHeight="1">
      <c r="A76" s="2830"/>
      <c r="B76" s="2833"/>
      <c r="C76" s="1143" t="str">
        <f>F!C244</f>
        <v>60 to 90%</v>
      </c>
      <c r="D76" s="48">
        <f>F!D244</f>
        <v>0</v>
      </c>
      <c r="E76" s="96">
        <v>3</v>
      </c>
      <c r="F76" s="100">
        <f t="shared" si="3"/>
        <v>0</v>
      </c>
      <c r="G76" s="909"/>
      <c r="H76" s="2833"/>
      <c r="I76" s="2213"/>
    </row>
    <row r="77" spans="1:9" ht="15" customHeight="1" thickBot="1">
      <c r="A77" s="2831"/>
      <c r="B77" s="2834"/>
      <c r="C77" s="1144" t="str">
        <f>F!C245</f>
        <v>&gt;90%, or all the area within 30 m of the AA edge is other wetlands. SKIP to F55.</v>
      </c>
      <c r="D77" s="220">
        <f>F!D245</f>
        <v>0</v>
      </c>
      <c r="E77" s="216">
        <v>3</v>
      </c>
      <c r="F77" s="100">
        <f t="shared" si="3"/>
        <v>0</v>
      </c>
      <c r="G77" s="825"/>
      <c r="H77" s="2834"/>
      <c r="I77" s="2377"/>
    </row>
    <row r="78" spans="1:9" ht="30" customHeight="1" thickBot="1">
      <c r="A78" s="2829" t="str">
        <f>F!A246</f>
        <v>F53</v>
      </c>
      <c r="B78" s="2832" t="str">
        <f>F!B246</f>
        <v>Type of Cover in Buffer</v>
      </c>
      <c r="C78" s="1305" t="str">
        <f>F!C246</f>
        <v>Within 30 m upslope of where the wetland transitions to upland, the upland land cover that is NOT natural is mostly (mark ONE):</v>
      </c>
      <c r="D78" s="829"/>
      <c r="E78" s="252"/>
      <c r="F78" s="219"/>
      <c r="G78" s="1831">
        <f>IF((D79=0),0,"")</f>
        <v>0</v>
      </c>
      <c r="H78" s="2212" t="s">
        <v>1998</v>
      </c>
      <c r="I78" s="2212" t="s">
        <v>1997</v>
      </c>
    </row>
    <row r="79" spans="1:9" ht="15" customHeight="1">
      <c r="A79" s="2830"/>
      <c r="B79" s="2833"/>
      <c r="C79" s="1281" t="str">
        <f>F!C247</f>
        <v>impervious surface, e.g., paved road, parking lot, building, exposed rock.</v>
      </c>
      <c r="D79" s="1387">
        <f>F!D247</f>
        <v>0</v>
      </c>
      <c r="E79" s="96">
        <v>0</v>
      </c>
      <c r="F79" s="100">
        <f t="shared" si="3"/>
        <v>0</v>
      </c>
      <c r="G79" s="908"/>
      <c r="H79" s="2833"/>
      <c r="I79" s="2213"/>
    </row>
    <row r="80" spans="1:9" ht="27" customHeight="1" thickBot="1">
      <c r="A80" s="2831"/>
      <c r="B80" s="2834"/>
      <c r="C80" s="1144" t="str">
        <f>F!C248</f>
        <v>bare or nearly bare pervious surface or managed vegetation, e.g., lawn, row crops, unpaved road, dike, landslide.</v>
      </c>
      <c r="D80" s="1388">
        <f>F!D248</f>
        <v>0</v>
      </c>
      <c r="E80" s="216">
        <v>1</v>
      </c>
      <c r="F80" s="222">
        <f t="shared" si="3"/>
        <v>0</v>
      </c>
      <c r="G80" s="825"/>
      <c r="H80" s="2834"/>
      <c r="I80" s="2377"/>
    </row>
    <row r="81" spans="1:9" ht="60" customHeight="1" thickBot="1">
      <c r="A81" s="1735" t="str">
        <f>F!A254</f>
        <v>F55</v>
      </c>
      <c r="B81" s="1734" t="str">
        <f>F!B254</f>
        <v xml:space="preserve">Cliffs, Steep Banks, or Salt Lick </v>
      </c>
      <c r="C81" s="46" t="str">
        <f>F!C254</f>
        <v>In the AA or within 100 m, there is a known salt lick, or elevated terrestrial features such as cliffs, talus slopes, stream banks, or excavated pits (but not riprap) that extend at least 2 m nearly vertically, are unvegetated, and potentially contain crevices or other substrate suitable for nesting or den areas. Enter 1 (yes) or 0 (no).</v>
      </c>
      <c r="D81" s="1271">
        <f>F!D254</f>
        <v>0</v>
      </c>
      <c r="E81" s="831">
        <v>1</v>
      </c>
      <c r="F81" s="937">
        <f>D81*E81</f>
        <v>0</v>
      </c>
      <c r="G81" s="939" t="str">
        <f>IF((D81=0),"",1)</f>
        <v/>
      </c>
      <c r="H81" s="1335" t="s">
        <v>1994</v>
      </c>
      <c r="I81" s="123" t="s">
        <v>645</v>
      </c>
    </row>
    <row r="82" spans="1:9" ht="45" customHeight="1" thickBot="1">
      <c r="A82" s="1248" t="str">
        <f>S!A81</f>
        <v>S6</v>
      </c>
      <c r="B82" s="206" t="str">
        <f>S!B81</f>
        <v>Accelerated Inputs of Contaminants and/or Salts</v>
      </c>
      <c r="C82" s="1834" t="str">
        <f>S!E93</f>
        <v>Final Score=</v>
      </c>
      <c r="D82" s="1385">
        <f>S!F93</f>
        <v>0</v>
      </c>
      <c r="E82" s="831"/>
      <c r="F82" s="1181"/>
      <c r="G82" s="903">
        <f>1-D82</f>
        <v>1</v>
      </c>
      <c r="H82" s="123" t="s">
        <v>2184</v>
      </c>
      <c r="I82" s="123" t="s">
        <v>2005</v>
      </c>
    </row>
    <row r="83" spans="1:9" s="192" customFormat="1" ht="36" customHeight="1" thickBot="1">
      <c r="A83" s="1582" t="s">
        <v>168</v>
      </c>
      <c r="B83" s="1615" t="s">
        <v>2401</v>
      </c>
      <c r="C83" s="1616" t="s">
        <v>1354</v>
      </c>
      <c r="D83" s="1617" t="s">
        <v>64</v>
      </c>
      <c r="E83" s="1618" t="s">
        <v>1383</v>
      </c>
      <c r="F83" s="1619" t="s">
        <v>1384</v>
      </c>
      <c r="G83" s="1620" t="s">
        <v>1293</v>
      </c>
      <c r="H83" s="1615" t="s">
        <v>1294</v>
      </c>
      <c r="I83" s="1582" t="s">
        <v>2622</v>
      </c>
    </row>
    <row r="84" spans="1:9" ht="156" customHeight="1" thickBot="1">
      <c r="A84" s="230" t="str">
        <f>OF!A34</f>
        <v>OF5</v>
      </c>
      <c r="B84" s="207" t="str">
        <f>OF!B34</f>
        <v>Herbaceous Uniqueness</v>
      </c>
      <c r="C84" s="231" t="str">
        <f>OF!C34</f>
        <v xml:space="preserve">Does the AA contain the largest unmanaged herbaceous* patch within 5 km of the AA's edge? (or is the AA's vegetation mostly herbaceous but uplands within 5 km have &lt;10% herbaceous cover?). If so, enter "3" and continue to OF6.  If not, consider: 
Does the AA have the largest unmanaged herbaceous patch within 1 km? (or is the AA's vegetation mostly herbaceous but uplands within 1 km have &lt;10% herbaceous cover?); if so enter "2" and continue to OF6.  If not, consider: 
Does  the AA have the largest unmanaged patch of herbaceous vegetation within 100 m? (or is the AA's vegetation mostly herbaceous but uplands within 100 m have &lt;10% herbaceous cover?)  If so, enter "1"  
[* NOTE: Exclude lawns, row crops, heavily grazed lands, forest, shrublands. Include moss as well as grasslike plants in this use of "herbaceous vegetation"]
</v>
      </c>
      <c r="D84" s="1114">
        <f>OF!D34</f>
        <v>0</v>
      </c>
      <c r="E84" s="831"/>
      <c r="F84" s="933"/>
      <c r="G84" s="915">
        <f>D84/3</f>
        <v>0</v>
      </c>
      <c r="H84" s="1942" t="s">
        <v>2896</v>
      </c>
      <c r="I84" s="164" t="s">
        <v>2003</v>
      </c>
    </row>
    <row r="85" spans="1:9" ht="129" customHeight="1" thickBot="1">
      <c r="A85" s="920" t="str">
        <f>OF!A35</f>
        <v>OF6</v>
      </c>
      <c r="B85" s="1738" t="str">
        <f>OF!B35</f>
        <v>Woody Uniqueness</v>
      </c>
      <c r="C85" s="902" t="str">
        <f>OF!C35</f>
        <v xml:space="preserve">Does the AA contain the largest unmanaged woody* patch within 5 km? (or is the AA's vegetation mostly woody but uplands within 5 km have &lt;10% woody cover?). If so, enter "3" and continue to OF6.  If not, consider: 
Does the AA have the largest unmanaged woody patch within 1 km? (or is the AA's vegetation mostly woody but uplands within 1 km have &lt;10% woody cover?); if so enter "2" and continue to OF6.  If not, consider: 
Does  the AA have the largest unmanaged patch of woody vegetation within 100 m? (or is the AA's vegetation mostly woody but uplands within 100 m have &lt;10% woody cover?)  If so, enter "1".  
 [*NOTE: woody = Shrubland and forest, but exclude conifer plantations. ]
</v>
      </c>
      <c r="D85" s="1137">
        <f>OF!D35</f>
        <v>0</v>
      </c>
      <c r="E85" s="927"/>
      <c r="F85" s="1138"/>
      <c r="G85" s="915">
        <f>D85/3</f>
        <v>0</v>
      </c>
      <c r="H85" s="1940" t="s">
        <v>2897</v>
      </c>
      <c r="I85" s="123" t="s">
        <v>2004</v>
      </c>
    </row>
    <row r="86" spans="1:9" ht="49.2" customHeight="1" thickBot="1">
      <c r="A86" s="1248" t="str">
        <f>OF!A141</f>
        <v>OF30</v>
      </c>
      <c r="B86" s="206" t="str">
        <f>OF!B141</f>
        <v>Species of Conservation Concern</v>
      </c>
      <c r="C86" s="806" t="str">
        <f>OF!C142</f>
        <v xml:space="preserve">Presence of one or more of the plant species listed in the Plants_Rare worksheet of the accompanying SuppInfo file, or (in NS only) the AA is within a mapped Atlantic Coastal Plain Flora Buffer as shown in Special Management Practice Zones at: https://nsgi.novascotia.ca/plv/ </v>
      </c>
      <c r="D86" s="1140">
        <f>OF!D142</f>
        <v>0</v>
      </c>
      <c r="E86" s="213"/>
      <c r="F86" s="213"/>
      <c r="G86" s="915">
        <f>D86</f>
        <v>0</v>
      </c>
      <c r="H86" s="123" t="s">
        <v>2010</v>
      </c>
      <c r="I86" s="123" t="s">
        <v>1218</v>
      </c>
    </row>
    <row r="87" spans="1:9" s="50" customFormat="1" ht="21" customHeight="1" thickBot="1">
      <c r="A87" s="2835"/>
      <c r="B87" s="2835"/>
      <c r="C87" s="2835"/>
      <c r="D87" s="2835"/>
      <c r="E87" s="2835"/>
      <c r="F87" s="2835"/>
      <c r="G87" s="2835"/>
      <c r="H87" s="2835"/>
      <c r="I87" s="1243"/>
    </row>
    <row r="88" spans="1:9" ht="21" customHeight="1">
      <c r="A88" s="2836"/>
      <c r="B88" s="2836"/>
      <c r="C88" s="2836"/>
      <c r="D88" s="2529" t="s">
        <v>750</v>
      </c>
      <c r="E88" s="2530"/>
      <c r="F88" s="2530"/>
      <c r="G88" s="1841">
        <f>AVERAGE(MAX(WoodyHtForm0,Forbs0), AVERAGE(gcover0, herbsens0, herbdiv0, ShrubDiv0))</f>
        <v>0</v>
      </c>
      <c r="H88" s="1897" t="s">
        <v>2895</v>
      </c>
      <c r="I88" s="1898" t="s">
        <v>2785</v>
      </c>
    </row>
    <row r="89" spans="1:9" ht="21" customHeight="1">
      <c r="A89" s="2836"/>
      <c r="B89" s="2836"/>
      <c r="C89" s="2836"/>
      <c r="D89" s="2531" t="s">
        <v>646</v>
      </c>
      <c r="E89" s="2532"/>
      <c r="F89" s="2532"/>
      <c r="G89" s="1842">
        <f>AVERAGE(persist0,AVERAGE(woodydbh0, Snags0, downwood0, girreg0, cliff0,gcover0))</f>
        <v>0</v>
      </c>
      <c r="H89" s="1945" t="s">
        <v>2893</v>
      </c>
      <c r="I89" s="1899" t="s">
        <v>646</v>
      </c>
    </row>
    <row r="90" spans="1:9" ht="21" customHeight="1" thickBot="1">
      <c r="A90" s="2836"/>
      <c r="B90" s="2836"/>
      <c r="C90" s="2836"/>
      <c r="D90" s="2533" t="s">
        <v>1327</v>
      </c>
      <c r="E90" s="2534"/>
      <c r="F90" s="2534"/>
      <c r="G90" s="1843">
        <f>AVERAGE(Toxic0,CovPctScape0, BuffPerim0,BuffLUtype0, DistNat0)</f>
        <v>0.2</v>
      </c>
      <c r="H90" s="1900" t="s">
        <v>2650</v>
      </c>
      <c r="I90" s="1901" t="s">
        <v>2786</v>
      </c>
    </row>
    <row r="91" spans="1:9" ht="21" customHeight="1" thickBot="1">
      <c r="A91" s="2836"/>
      <c r="B91" s="2836"/>
      <c r="C91" s="2836"/>
      <c r="D91" s="2836"/>
      <c r="E91" s="2836"/>
      <c r="F91" s="2836"/>
      <c r="G91" s="2836"/>
      <c r="H91" s="2836"/>
      <c r="I91" s="46"/>
    </row>
    <row r="92" spans="1:9" ht="30" customHeight="1" thickBot="1">
      <c r="A92" s="2705"/>
      <c r="B92" s="2705"/>
      <c r="C92" s="2844" t="s">
        <v>98</v>
      </c>
      <c r="D92" s="2845"/>
      <c r="E92" s="2845"/>
      <c r="F92" s="1690" t="s">
        <v>75</v>
      </c>
      <c r="G92" s="1844">
        <f>10*(IF((AllWet=1),0, AVERAGE(PollenOn,NestSites, Stress0)))</f>
        <v>0.66666666666666663</v>
      </c>
      <c r="H92" s="2575" t="s">
        <v>2709</v>
      </c>
      <c r="I92" s="2576"/>
    </row>
    <row r="93" spans="1:9" ht="30" customHeight="1" thickBot="1">
      <c r="A93" s="2705"/>
      <c r="B93" s="2705"/>
      <c r="C93" s="2842" t="s">
        <v>2421</v>
      </c>
      <c r="D93" s="2843"/>
      <c r="E93" s="2843"/>
      <c r="F93" s="1690" t="s">
        <v>2888</v>
      </c>
      <c r="G93" s="1845">
        <f>10*(MAX(HerbUniq0,WoodyUniq0,rareherb))</f>
        <v>0</v>
      </c>
      <c r="H93" s="2575" t="s">
        <v>2858</v>
      </c>
      <c r="I93" s="2576"/>
    </row>
    <row r="94" spans="1:9" ht="21" customHeight="1" thickBot="1">
      <c r="D94" s="45"/>
      <c r="E94" s="45"/>
      <c r="F94" s="45"/>
      <c r="G94" s="45"/>
      <c r="H94" s="49"/>
    </row>
    <row r="95" spans="1:9" ht="21" customHeight="1" thickBot="1">
      <c r="D95" s="45"/>
      <c r="E95" s="45"/>
      <c r="F95" s="45"/>
      <c r="G95" s="45"/>
      <c r="H95" s="2822" t="s">
        <v>806</v>
      </c>
      <c r="I95" s="2823"/>
    </row>
    <row r="96" spans="1:9" ht="27" customHeight="1">
      <c r="D96" s="45"/>
      <c r="E96" s="45"/>
      <c r="F96" s="45"/>
      <c r="G96" s="45"/>
      <c r="H96" s="2824" t="s">
        <v>2185</v>
      </c>
      <c r="I96" s="2825"/>
    </row>
    <row r="97" spans="8:9" ht="27" customHeight="1">
      <c r="H97" s="2367" t="s">
        <v>2186</v>
      </c>
      <c r="I97" s="2368"/>
    </row>
    <row r="98" spans="8:9" ht="69.599999999999994" customHeight="1">
      <c r="H98" s="2549" t="s">
        <v>2187</v>
      </c>
      <c r="I98" s="2550"/>
    </row>
    <row r="99" spans="8:9" ht="42" customHeight="1">
      <c r="H99" s="2549" t="s">
        <v>2188</v>
      </c>
      <c r="I99" s="2550"/>
    </row>
    <row r="100" spans="8:9" ht="42" customHeight="1">
      <c r="H100" s="2367" t="s">
        <v>2189</v>
      </c>
      <c r="I100" s="2368"/>
    </row>
    <row r="101" spans="8:9" ht="42" customHeight="1">
      <c r="H101" s="2367" t="s">
        <v>2190</v>
      </c>
      <c r="I101" s="2368"/>
    </row>
    <row r="102" spans="8:9" ht="42" customHeight="1">
      <c r="H102" s="2367" t="s">
        <v>2196</v>
      </c>
      <c r="I102" s="2368"/>
    </row>
    <row r="103" spans="8:9" ht="42" customHeight="1">
      <c r="H103" s="2367" t="s">
        <v>2191</v>
      </c>
      <c r="I103" s="2368"/>
    </row>
    <row r="104" spans="8:9" ht="27" customHeight="1">
      <c r="H104" s="2549" t="s">
        <v>2192</v>
      </c>
      <c r="I104" s="2550"/>
    </row>
    <row r="105" spans="8:9" ht="42" customHeight="1">
      <c r="H105" s="2549" t="s">
        <v>2193</v>
      </c>
      <c r="I105" s="2550"/>
    </row>
    <row r="106" spans="8:9" ht="27" customHeight="1">
      <c r="H106" s="2367" t="s">
        <v>1046</v>
      </c>
      <c r="I106" s="2368"/>
    </row>
    <row r="107" spans="8:9" ht="27" customHeight="1">
      <c r="H107" s="2367" t="s">
        <v>2194</v>
      </c>
      <c r="I107" s="2368"/>
    </row>
    <row r="108" spans="8:9" ht="27" customHeight="1" thickBot="1">
      <c r="H108" s="2696" t="s">
        <v>2195</v>
      </c>
      <c r="I108" s="2697"/>
    </row>
    <row r="109" spans="8:9">
      <c r="H109" s="7"/>
    </row>
    <row r="110" spans="8:9">
      <c r="H110" s="7"/>
    </row>
    <row r="111" spans="8:9">
      <c r="H111" s="7"/>
    </row>
  </sheetData>
  <sheetProtection password="C74A" sheet="1" objects="1" scenarios="1" formatCells="0" formatColumns="0" formatRows="0"/>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86">
    <mergeCell ref="B3:B10"/>
    <mergeCell ref="A3:A10"/>
    <mergeCell ref="H78:H80"/>
    <mergeCell ref="B78:B80"/>
    <mergeCell ref="A78:A80"/>
    <mergeCell ref="H72:H77"/>
    <mergeCell ref="B72:B77"/>
    <mergeCell ref="A72:A77"/>
    <mergeCell ref="B11:B16"/>
    <mergeCell ref="H11:H16"/>
    <mergeCell ref="A11:A16"/>
    <mergeCell ref="B24:B32"/>
    <mergeCell ref="H43:H47"/>
    <mergeCell ref="B43:B47"/>
    <mergeCell ref="H48:H51"/>
    <mergeCell ref="H61:H65"/>
    <mergeCell ref="A92:B93"/>
    <mergeCell ref="B58:B60"/>
    <mergeCell ref="C93:E93"/>
    <mergeCell ref="D89:F89"/>
    <mergeCell ref="C92:E92"/>
    <mergeCell ref="A1:B1"/>
    <mergeCell ref="H58:H60"/>
    <mergeCell ref="H52:H57"/>
    <mergeCell ref="H37:H39"/>
    <mergeCell ref="B48:B51"/>
    <mergeCell ref="H33:H36"/>
    <mergeCell ref="A24:A32"/>
    <mergeCell ref="H40:H42"/>
    <mergeCell ref="A40:A42"/>
    <mergeCell ref="A43:A47"/>
    <mergeCell ref="A48:A51"/>
    <mergeCell ref="B33:B36"/>
    <mergeCell ref="B37:B39"/>
    <mergeCell ref="A37:A39"/>
    <mergeCell ref="A33:A36"/>
    <mergeCell ref="B40:B42"/>
    <mergeCell ref="A52:A57"/>
    <mergeCell ref="B52:B57"/>
    <mergeCell ref="D88:F88"/>
    <mergeCell ref="A87:C91"/>
    <mergeCell ref="D87:H87"/>
    <mergeCell ref="D91:H91"/>
    <mergeCell ref="A66:A71"/>
    <mergeCell ref="B66:B71"/>
    <mergeCell ref="B61:B65"/>
    <mergeCell ref="A61:A65"/>
    <mergeCell ref="A58:A60"/>
    <mergeCell ref="D90:F90"/>
    <mergeCell ref="E1:I1"/>
    <mergeCell ref="I3:I10"/>
    <mergeCell ref="I11:I16"/>
    <mergeCell ref="I24:I32"/>
    <mergeCell ref="I33:I36"/>
    <mergeCell ref="H24:H32"/>
    <mergeCell ref="H3:H10"/>
    <mergeCell ref="H95:I95"/>
    <mergeCell ref="H96:I96"/>
    <mergeCell ref="H97:I97"/>
    <mergeCell ref="I37:I39"/>
    <mergeCell ref="I40:I42"/>
    <mergeCell ref="I43:I47"/>
    <mergeCell ref="I48:I51"/>
    <mergeCell ref="I52:I57"/>
    <mergeCell ref="H66:H71"/>
    <mergeCell ref="H92:I92"/>
    <mergeCell ref="H93:I93"/>
    <mergeCell ref="I58:I60"/>
    <mergeCell ref="I61:I65"/>
    <mergeCell ref="I66:I71"/>
    <mergeCell ref="B17:B23"/>
    <mergeCell ref="H17:H23"/>
    <mergeCell ref="I17:I23"/>
    <mergeCell ref="H108:I108"/>
    <mergeCell ref="H100:I100"/>
    <mergeCell ref="H101:I101"/>
    <mergeCell ref="H102:I102"/>
    <mergeCell ref="H103:I103"/>
    <mergeCell ref="H104:I104"/>
    <mergeCell ref="H98:I98"/>
    <mergeCell ref="H99:I99"/>
    <mergeCell ref="H105:I105"/>
    <mergeCell ref="H107:I107"/>
    <mergeCell ref="H106:I106"/>
    <mergeCell ref="I72:I77"/>
    <mergeCell ref="I78:I80"/>
  </mergeCells>
  <phoneticPr fontId="2" type="noConversion"/>
  <pageMargins left="0.75" right="0.75" top="1" bottom="1" header="0.5" footer="0.5"/>
  <pageSetup orientation="portrait" r:id="rId2"/>
  <headerFooter alignWithMargins="0"/>
  <ignoredErrors>
    <ignoredError sqref="G61 G33 G37 G66 G40" formulaRange="1"/>
  </ignoredErrors>
</worksheet>
</file>

<file path=xl/worksheets/sheet22.xml><?xml version="1.0" encoding="utf-8"?>
<worksheet xmlns="http://schemas.openxmlformats.org/spreadsheetml/2006/main" xmlns:r="http://schemas.openxmlformats.org/officeDocument/2006/relationships">
  <sheetPr codeName="Sheet20"/>
  <dimension ref="A1:J292"/>
  <sheetViews>
    <sheetView zoomScaleNormal="100" workbookViewId="0">
      <selection sqref="A1:B1"/>
    </sheetView>
  </sheetViews>
  <sheetFormatPr defaultColWidth="9.33203125" defaultRowHeight="13.8"/>
  <cols>
    <col min="1" max="1" width="5.77734375" style="94" customWidth="1"/>
    <col min="2" max="2" width="18.77734375" style="45" customWidth="1"/>
    <col min="3" max="3" width="69.77734375" style="45" customWidth="1"/>
    <col min="4" max="4" width="6.77734375" style="1079" customWidth="1"/>
    <col min="5" max="5" width="6.77734375" style="104" customWidth="1"/>
    <col min="6" max="6" width="6.77734375" style="49" customWidth="1"/>
    <col min="7" max="7" width="9.77734375" style="916" customWidth="1"/>
    <col min="8" max="8" width="68.77734375" style="7" customWidth="1"/>
    <col min="9" max="9" width="13.33203125" style="9" customWidth="1"/>
    <col min="10" max="10" width="9.33203125" style="143"/>
    <col min="11" max="16384" width="9.33203125" style="42"/>
  </cols>
  <sheetData>
    <row r="1" spans="1:10" s="133" customFormat="1" ht="54" customHeight="1" thickBot="1">
      <c r="A1" s="2875" t="s">
        <v>1590</v>
      </c>
      <c r="B1" s="2876"/>
      <c r="C1" s="124" t="s">
        <v>1258</v>
      </c>
      <c r="D1" s="917" t="s">
        <v>1246</v>
      </c>
      <c r="E1" s="2477"/>
      <c r="F1" s="2478"/>
      <c r="G1" s="2478"/>
      <c r="H1" s="2478"/>
      <c r="I1" s="2478"/>
      <c r="J1" s="143"/>
    </row>
    <row r="2" spans="1:10" s="143" customFormat="1" ht="36" customHeight="1" thickBot="1">
      <c r="A2" s="1595" t="s">
        <v>168</v>
      </c>
      <c r="B2" s="1555" t="s">
        <v>1772</v>
      </c>
      <c r="C2" s="1596" t="s">
        <v>1354</v>
      </c>
      <c r="D2" s="1555" t="s">
        <v>64</v>
      </c>
      <c r="E2" s="1668" t="s">
        <v>1383</v>
      </c>
      <c r="F2" s="1669" t="s">
        <v>1384</v>
      </c>
      <c r="G2" s="1670" t="s">
        <v>1293</v>
      </c>
      <c r="H2" s="1555" t="s">
        <v>1294</v>
      </c>
      <c r="I2" s="1846" t="s">
        <v>2622</v>
      </c>
    </row>
    <row r="3" spans="1:10" ht="33" customHeight="1" thickBot="1">
      <c r="A3" s="2829" t="str">
        <f>OF!A4</f>
        <v>OF1</v>
      </c>
      <c r="B3" s="2832" t="str">
        <f>OF!B4</f>
        <v>Wetland Herbaceous Area</v>
      </c>
      <c r="C3" s="206" t="str">
        <f>OF!C4</f>
        <v>From "duck's eye" (aerial) view, the area of herbaceous vegetation (grasslike plants, excluding moss &amp; ferns) in the Assessment Area (AA) plus in any contiguous herbaceous wetland is:</v>
      </c>
      <c r="D3" s="829"/>
      <c r="E3" s="252"/>
      <c r="F3" s="218"/>
      <c r="G3" s="903">
        <f>MAX(F4:F9)/MAX(E4:E9)</f>
        <v>0</v>
      </c>
      <c r="H3" s="2212" t="s">
        <v>2035</v>
      </c>
      <c r="I3" s="2411" t="s">
        <v>418</v>
      </c>
    </row>
    <row r="4" spans="1:10" ht="15" customHeight="1">
      <c r="A4" s="2830"/>
      <c r="B4" s="2833"/>
      <c r="C4" s="191" t="str">
        <f>OF!C5</f>
        <v>&lt;0.01 hectare (about 10 m x 10 m)</v>
      </c>
      <c r="D4" s="48">
        <f>OF!D5</f>
        <v>0</v>
      </c>
      <c r="E4" s="813">
        <v>0</v>
      </c>
      <c r="F4" s="96">
        <f t="shared" ref="F4:F9" si="0">D4*E4</f>
        <v>0</v>
      </c>
      <c r="G4" s="913"/>
      <c r="H4" s="2213"/>
      <c r="I4" s="2412"/>
    </row>
    <row r="5" spans="1:10" ht="15" customHeight="1">
      <c r="A5" s="2830"/>
      <c r="B5" s="2833"/>
      <c r="C5" s="783" t="str">
        <f>OF!C6</f>
        <v>0.01 - 0.1 hectare</v>
      </c>
      <c r="D5" s="48">
        <f>OF!D6</f>
        <v>0</v>
      </c>
      <c r="E5" s="813">
        <v>1</v>
      </c>
      <c r="F5" s="96">
        <f t="shared" si="0"/>
        <v>0</v>
      </c>
      <c r="G5" s="914"/>
      <c r="H5" s="2213"/>
      <c r="I5" s="2412"/>
    </row>
    <row r="6" spans="1:10" ht="15" customHeight="1">
      <c r="A6" s="2830"/>
      <c r="B6" s="2833"/>
      <c r="C6" s="783" t="str">
        <f>OF!C7</f>
        <v>0.1 - 1 hectare</v>
      </c>
      <c r="D6" s="48">
        <f>OF!D7</f>
        <v>0</v>
      </c>
      <c r="E6" s="813">
        <v>2</v>
      </c>
      <c r="F6" s="96">
        <f t="shared" si="0"/>
        <v>0</v>
      </c>
      <c r="G6" s="914"/>
      <c r="H6" s="2213"/>
      <c r="I6" s="2412"/>
    </row>
    <row r="7" spans="1:10" ht="15" customHeight="1">
      <c r="A7" s="2830"/>
      <c r="B7" s="2833"/>
      <c r="C7" s="783" t="str">
        <f>OF!C8</f>
        <v>1 to 10 hectares</v>
      </c>
      <c r="D7" s="48">
        <f>OF!D8</f>
        <v>0</v>
      </c>
      <c r="E7" s="813">
        <v>3</v>
      </c>
      <c r="F7" s="96">
        <f t="shared" si="0"/>
        <v>0</v>
      </c>
      <c r="G7" s="914"/>
      <c r="H7" s="2213"/>
      <c r="I7" s="2412"/>
    </row>
    <row r="8" spans="1:10" ht="15" customHeight="1">
      <c r="A8" s="2830"/>
      <c r="B8" s="2833"/>
      <c r="C8" s="783" t="str">
        <f>OF!C9</f>
        <v>10 to 100 hectares</v>
      </c>
      <c r="D8" s="48">
        <f>OF!D9</f>
        <v>0</v>
      </c>
      <c r="E8" s="813">
        <v>5</v>
      </c>
      <c r="F8" s="96">
        <f t="shared" si="0"/>
        <v>0</v>
      </c>
      <c r="G8" s="914"/>
      <c r="H8" s="2213"/>
      <c r="I8" s="2412"/>
    </row>
    <row r="9" spans="1:10" ht="15.6" customHeight="1" thickBot="1">
      <c r="A9" s="2831"/>
      <c r="B9" s="2834"/>
      <c r="C9" s="784" t="str">
        <f>OF!C10</f>
        <v>&gt;100 hectares</v>
      </c>
      <c r="D9" s="220">
        <f>OF!D10</f>
        <v>0</v>
      </c>
      <c r="E9" s="927">
        <v>6</v>
      </c>
      <c r="F9" s="216">
        <f t="shared" si="0"/>
        <v>0</v>
      </c>
      <c r="G9" s="1282"/>
      <c r="H9" s="2377"/>
      <c r="I9" s="2413"/>
    </row>
    <row r="10" spans="1:10" ht="60" customHeight="1" thickBot="1">
      <c r="A10" s="2833" t="str">
        <f>OF!A18</f>
        <v>OF3</v>
      </c>
      <c r="B10" s="2833" t="str">
        <f>OF!B18</f>
        <v xml:space="preserve">Size of Largest Nearby Vegetated Tract or Corridor </v>
      </c>
      <c r="C10" s="1305" t="str">
        <f>OF!C18</f>
        <v>Including the AA's vegetated area, the largest patch or corridor that is unmanaged vegetation cover (excluding lawn, row crops, heavily grazed lands, conifer plantation) and is contiguous with vegetation in the AA (i.e., not completely separated by highways or channels that are uniformly wider than 50 m), occupies:</v>
      </c>
      <c r="D10" s="826"/>
      <c r="E10" s="813"/>
      <c r="F10" s="102"/>
      <c r="G10" s="1212">
        <f>MAX(F11:F17)/MAX(E11:E17)</f>
        <v>0</v>
      </c>
      <c r="H10" s="2490" t="s">
        <v>2913</v>
      </c>
      <c r="I10" s="2411" t="s">
        <v>1592</v>
      </c>
    </row>
    <row r="11" spans="1:10" ht="15" customHeight="1">
      <c r="A11" s="2833"/>
      <c r="B11" s="2833"/>
      <c r="C11" s="1281" t="str">
        <f>OF!C19</f>
        <v>&lt;0.01 hectare (about 10 m x 10 m)</v>
      </c>
      <c r="D11" s="1392">
        <f>OF!D19</f>
        <v>0</v>
      </c>
      <c r="E11" s="813">
        <v>0</v>
      </c>
      <c r="F11" s="96">
        <f t="shared" ref="F11:F17" si="1">D11*E11</f>
        <v>0</v>
      </c>
      <c r="G11" s="913"/>
      <c r="H11" s="2490"/>
      <c r="I11" s="2412"/>
    </row>
    <row r="12" spans="1:10" ht="15" customHeight="1">
      <c r="A12" s="2833"/>
      <c r="B12" s="2833"/>
      <c r="C12" s="1143" t="str">
        <f>OF!C20</f>
        <v>0.01 - 0.1 hectare</v>
      </c>
      <c r="D12" s="1387">
        <f>OF!D20</f>
        <v>0</v>
      </c>
      <c r="E12" s="813">
        <v>1</v>
      </c>
      <c r="F12" s="96">
        <f t="shared" si="1"/>
        <v>0</v>
      </c>
      <c r="G12" s="914"/>
      <c r="H12" s="2490"/>
      <c r="I12" s="2412"/>
    </row>
    <row r="13" spans="1:10" ht="15" customHeight="1">
      <c r="A13" s="2833"/>
      <c r="B13" s="2833"/>
      <c r="C13" s="1143" t="str">
        <f>OF!C21</f>
        <v>0.1 - 1 hectare</v>
      </c>
      <c r="D13" s="1387">
        <f>OF!D21</f>
        <v>0</v>
      </c>
      <c r="E13" s="813">
        <v>2</v>
      </c>
      <c r="F13" s="96">
        <f t="shared" si="1"/>
        <v>0</v>
      </c>
      <c r="G13" s="914"/>
      <c r="H13" s="2490"/>
      <c r="I13" s="2412"/>
    </row>
    <row r="14" spans="1:10" ht="15" customHeight="1">
      <c r="A14" s="2833"/>
      <c r="B14" s="2833"/>
      <c r="C14" s="1143" t="str">
        <f>OF!C22</f>
        <v>1 to 10 hectares</v>
      </c>
      <c r="D14" s="1387">
        <f>OF!D22</f>
        <v>0</v>
      </c>
      <c r="E14" s="813">
        <v>3</v>
      </c>
      <c r="F14" s="96">
        <f t="shared" si="1"/>
        <v>0</v>
      </c>
      <c r="G14" s="914"/>
      <c r="H14" s="2490"/>
      <c r="I14" s="2412"/>
    </row>
    <row r="15" spans="1:10" ht="15" customHeight="1">
      <c r="A15" s="2833"/>
      <c r="B15" s="2833"/>
      <c r="C15" s="1143" t="str">
        <f>OF!C23</f>
        <v>10 to 100 hectares</v>
      </c>
      <c r="D15" s="1387">
        <f>OF!D23</f>
        <v>0</v>
      </c>
      <c r="E15" s="813">
        <v>5</v>
      </c>
      <c r="F15" s="96">
        <f t="shared" si="1"/>
        <v>0</v>
      </c>
      <c r="G15" s="914"/>
      <c r="H15" s="2490"/>
      <c r="I15" s="2412"/>
    </row>
    <row r="16" spans="1:10" ht="15" customHeight="1">
      <c r="A16" s="2833"/>
      <c r="B16" s="2833"/>
      <c r="C16" s="1143" t="str">
        <f>OF!C24</f>
        <v>100 to 1000 hectares</v>
      </c>
      <c r="D16" s="1387">
        <f>OF!D24</f>
        <v>0</v>
      </c>
      <c r="E16" s="214">
        <v>6</v>
      </c>
      <c r="F16" s="815">
        <f t="shared" si="1"/>
        <v>0</v>
      </c>
      <c r="G16" s="1142"/>
      <c r="H16" s="2490"/>
      <c r="I16" s="2412"/>
    </row>
    <row r="17" spans="1:10" ht="15" customHeight="1" thickBot="1">
      <c r="A17" s="2834"/>
      <c r="B17" s="2834"/>
      <c r="C17" s="1144" t="str">
        <f>OF!C25</f>
        <v>&gt;1000 hectares [This is nearly always the answer in relatively undeveloped landscapes.]</v>
      </c>
      <c r="D17" s="1388">
        <f>OF!D25</f>
        <v>0</v>
      </c>
      <c r="E17" s="216">
        <v>7</v>
      </c>
      <c r="F17" s="216">
        <f t="shared" si="1"/>
        <v>0</v>
      </c>
      <c r="G17" s="824"/>
      <c r="H17" s="2540"/>
      <c r="I17" s="2413"/>
    </row>
    <row r="18" spans="1:10" ht="30" customHeight="1" thickBot="1">
      <c r="A18" s="2832" t="str">
        <f>OF!A26</f>
        <v>OF4</v>
      </c>
      <c r="B18" s="2832" t="str">
        <f>OF!B26</f>
        <v>Distance to Large Vegetated Tract</v>
      </c>
      <c r="C18" s="1305" t="str">
        <f>OF!C26</f>
        <v>The minimum distance from the AA edge to the edge of the closest patch or corridor of unmanaged vegetated land (excluding row crops, lawn, conifer plantation) larger than 375 hectares, is:</v>
      </c>
      <c r="D18" s="829"/>
      <c r="E18" s="252"/>
      <c r="F18" s="218"/>
      <c r="G18" s="903">
        <f>MAX(F19:F25)/MAX(E19:E25)</f>
        <v>0</v>
      </c>
      <c r="H18" s="2383" t="s">
        <v>1591</v>
      </c>
      <c r="I18" s="2411" t="s">
        <v>1593</v>
      </c>
    </row>
    <row r="19" spans="1:10" ht="42" customHeight="1">
      <c r="A19" s="2833"/>
      <c r="B19" s="2833"/>
      <c r="C19" s="1281" t="str">
        <f>OF!C27</f>
        <v>&lt;50 m, and not separated from the 375-ha vegetated area by any width of roads, stretches of open water, row crops, bare ground, lawn, or impervious surface. Or the AA itself contains &gt;375 ha of vegetation. [This is often the answer in relatively undeveloped landscapes].</v>
      </c>
      <c r="D19" s="1392">
        <f>OF!D27</f>
        <v>0</v>
      </c>
      <c r="E19" s="813">
        <v>6</v>
      </c>
      <c r="F19" s="96">
        <f t="shared" ref="F19:F25" si="2">D19*E19</f>
        <v>0</v>
      </c>
      <c r="G19" s="913"/>
      <c r="H19" s="2490"/>
      <c r="I19" s="2412"/>
    </row>
    <row r="20" spans="1:10" ht="27" customHeight="1">
      <c r="A20" s="2833"/>
      <c r="B20" s="2833"/>
      <c r="C20" s="1143" t="str">
        <f>OF!C28</f>
        <v>&lt;50 m, but completely separated from the 375-ha vegetated area by those features, and AA does not contain &gt;375 ha of vegetation.</v>
      </c>
      <c r="D20" s="1387">
        <f>OF!D28</f>
        <v>0</v>
      </c>
      <c r="E20" s="813">
        <v>5</v>
      </c>
      <c r="F20" s="96">
        <f t="shared" si="2"/>
        <v>0</v>
      </c>
      <c r="G20" s="914"/>
      <c r="H20" s="2490"/>
      <c r="I20" s="2412"/>
    </row>
    <row r="21" spans="1:10" ht="15" customHeight="1">
      <c r="A21" s="2833"/>
      <c r="B21" s="2833"/>
      <c r="C21" s="1143" t="str">
        <f>OF!C29</f>
        <v>50-500 m, and not separated.</v>
      </c>
      <c r="D21" s="1387">
        <f>OF!D29</f>
        <v>0</v>
      </c>
      <c r="E21" s="813">
        <v>4</v>
      </c>
      <c r="F21" s="96">
        <f t="shared" si="2"/>
        <v>0</v>
      </c>
      <c r="G21" s="914"/>
      <c r="H21" s="2490"/>
      <c r="I21" s="2412"/>
    </row>
    <row r="22" spans="1:10" ht="15" customHeight="1">
      <c r="A22" s="2833"/>
      <c r="B22" s="2833"/>
      <c r="C22" s="1143" t="str">
        <f>OF!C30</f>
        <v>50-500 m, but separated by those features.</v>
      </c>
      <c r="D22" s="1387">
        <f>OF!D30</f>
        <v>0</v>
      </c>
      <c r="E22" s="813">
        <v>3</v>
      </c>
      <c r="F22" s="96">
        <f t="shared" si="2"/>
        <v>0</v>
      </c>
      <c r="G22" s="914"/>
      <c r="H22" s="2490"/>
      <c r="I22" s="2412"/>
    </row>
    <row r="23" spans="1:10" ht="15" customHeight="1">
      <c r="A23" s="2833"/>
      <c r="B23" s="2833"/>
      <c r="C23" s="1143" t="str">
        <f>OF!C31</f>
        <v>0.5 - 5 km, and not separated.</v>
      </c>
      <c r="D23" s="1387">
        <f>OF!D31</f>
        <v>0</v>
      </c>
      <c r="E23" s="813">
        <v>2</v>
      </c>
      <c r="F23" s="96">
        <f t="shared" si="2"/>
        <v>0</v>
      </c>
      <c r="G23" s="914"/>
      <c r="H23" s="2490"/>
      <c r="I23" s="2412"/>
    </row>
    <row r="24" spans="1:10" ht="15" customHeight="1">
      <c r="A24" s="2833"/>
      <c r="B24" s="2833"/>
      <c r="C24" s="1143" t="str">
        <f>OF!C32</f>
        <v>0.5 - 5 km, but separated by those features.</v>
      </c>
      <c r="D24" s="1387">
        <f>OF!D32</f>
        <v>0</v>
      </c>
      <c r="E24" s="96">
        <v>1</v>
      </c>
      <c r="F24" s="96">
        <f t="shared" si="2"/>
        <v>0</v>
      </c>
      <c r="G24" s="905"/>
      <c r="H24" s="2490"/>
      <c r="I24" s="2412"/>
    </row>
    <row r="25" spans="1:10" ht="15" customHeight="1" thickBot="1">
      <c r="A25" s="2834"/>
      <c r="B25" s="2834"/>
      <c r="C25" s="1144" t="str">
        <f>OF!C33</f>
        <v>none of the above (the closest patches or corridors which are that large are &gt;5 km away).</v>
      </c>
      <c r="D25" s="1388">
        <f>OF!D33</f>
        <v>0</v>
      </c>
      <c r="E25" s="216">
        <v>0</v>
      </c>
      <c r="F25" s="216">
        <f t="shared" si="2"/>
        <v>0</v>
      </c>
      <c r="G25" s="824"/>
      <c r="H25" s="2540"/>
      <c r="I25" s="2413"/>
    </row>
    <row r="26" spans="1:10" ht="45" customHeight="1" thickBot="1">
      <c r="A26" s="2869" t="str">
        <f>OF!A36</f>
        <v>OF7</v>
      </c>
      <c r="B26" s="2868" t="str">
        <f>OF!B36</f>
        <v>Local Vegetated Cover Percentage</v>
      </c>
      <c r="C26" s="1278" t="str">
        <f>OF!C36</f>
        <v>Draw a 5-km radius circle measured from the center of the AA.  Ignoring all permanent water in the circle, the percent of the remaining area that is NOT lawn, row crops, heavily grazed land, clearcuts, or conifer plantations is:</v>
      </c>
      <c r="D26" s="813"/>
      <c r="E26" s="813"/>
      <c r="F26" s="102"/>
      <c r="G26" s="814">
        <f>MAX(F27:F31)/MAX(E27:E31)</f>
        <v>0</v>
      </c>
      <c r="H26" s="2208" t="s">
        <v>2018</v>
      </c>
      <c r="I26" s="2412" t="s">
        <v>2095</v>
      </c>
    </row>
    <row r="27" spans="1:10" s="926" customFormat="1" ht="15" customHeight="1">
      <c r="A27" s="2726"/>
      <c r="B27" s="2726"/>
      <c r="C27" s="902" t="str">
        <f>OF!C37</f>
        <v xml:space="preserve">&lt;5% of the land. </v>
      </c>
      <c r="D27" s="47">
        <f>OF!D37</f>
        <v>0</v>
      </c>
      <c r="E27" s="931">
        <v>0</v>
      </c>
      <c r="F27" s="96">
        <f>D27*E27</f>
        <v>0</v>
      </c>
      <c r="G27" s="908"/>
      <c r="H27" s="2208"/>
      <c r="I27" s="2412"/>
      <c r="J27" s="925"/>
    </row>
    <row r="28" spans="1:10" s="926" customFormat="1" ht="15" customHeight="1">
      <c r="A28" s="2726"/>
      <c r="B28" s="2726"/>
      <c r="C28" s="897" t="str">
        <f>OF!C38</f>
        <v>5 to 20% of the land.</v>
      </c>
      <c r="D28" s="47">
        <f>OF!D38</f>
        <v>0</v>
      </c>
      <c r="E28" s="931">
        <v>1</v>
      </c>
      <c r="F28" s="96">
        <f>D28*E28</f>
        <v>0</v>
      </c>
      <c r="G28" s="909"/>
      <c r="H28" s="2208"/>
      <c r="I28" s="2412"/>
      <c r="J28" s="925"/>
    </row>
    <row r="29" spans="1:10" s="926" customFormat="1" ht="15" customHeight="1">
      <c r="A29" s="2726"/>
      <c r="B29" s="2726"/>
      <c r="C29" s="897" t="str">
        <f>OF!C39</f>
        <v>20 to 60% of the land.</v>
      </c>
      <c r="D29" s="1449">
        <f>OF!D39</f>
        <v>0</v>
      </c>
      <c r="E29" s="931">
        <v>2</v>
      </c>
      <c r="F29" s="96">
        <f>D29*E29</f>
        <v>0</v>
      </c>
      <c r="G29" s="909"/>
      <c r="H29" s="2208"/>
      <c r="I29" s="2412"/>
      <c r="J29" s="925"/>
    </row>
    <row r="30" spans="1:10" s="926" customFormat="1" ht="15" customHeight="1">
      <c r="A30" s="2726"/>
      <c r="B30" s="2726"/>
      <c r="C30" s="897" t="str">
        <f>OF!C40</f>
        <v>60 to 90% of the land.</v>
      </c>
      <c r="D30" s="320">
        <f>OF!D40</f>
        <v>0</v>
      </c>
      <c r="E30" s="931">
        <v>3</v>
      </c>
      <c r="F30" s="96">
        <f>D30*E30</f>
        <v>0</v>
      </c>
      <c r="G30" s="909"/>
      <c r="H30" s="2208"/>
      <c r="I30" s="2412"/>
      <c r="J30" s="925"/>
    </row>
    <row r="31" spans="1:10" s="926" customFormat="1" ht="15" customHeight="1" thickBot="1">
      <c r="A31" s="2726"/>
      <c r="B31" s="2727"/>
      <c r="C31" s="1278" t="str">
        <f>OF!C41</f>
        <v>&gt;90% of the land. SKIP to OF9.</v>
      </c>
      <c r="D31" s="215">
        <f>OF!D41</f>
        <v>0</v>
      </c>
      <c r="E31" s="931">
        <v>4</v>
      </c>
      <c r="F31" s="96">
        <f>D31*E31</f>
        <v>0</v>
      </c>
      <c r="G31" s="909"/>
      <c r="H31" s="2208"/>
      <c r="I31" s="2413"/>
      <c r="J31" s="925"/>
    </row>
    <row r="32" spans="1:10" ht="30" customHeight="1" thickBot="1">
      <c r="A32" s="2838" t="str">
        <f>OF!A45</f>
        <v>OF9</v>
      </c>
      <c r="B32" s="2832" t="str">
        <f>OF!B45</f>
        <v>Distance by Road to Nearest Population Center</v>
      </c>
      <c r="C32" s="782" t="str">
        <f>OF!C45</f>
        <v>Measured along the maintained road nearest the AA, the distance to the nearest population center is:</v>
      </c>
      <c r="D32" s="252"/>
      <c r="E32" s="252"/>
      <c r="F32" s="218"/>
      <c r="G32" s="828">
        <f>MAX(F33:F37)/MAX(E33:E37)</f>
        <v>0</v>
      </c>
      <c r="H32" s="2212" t="s">
        <v>1281</v>
      </c>
      <c r="I32" s="2411" t="s">
        <v>407</v>
      </c>
    </row>
    <row r="33" spans="1:9" ht="15" customHeight="1">
      <c r="A33" s="2730"/>
      <c r="B33" s="2833"/>
      <c r="C33" s="191" t="str">
        <f>OF!C46</f>
        <v>&lt;100 m</v>
      </c>
      <c r="D33" s="105">
        <f>OF!D46</f>
        <v>0</v>
      </c>
      <c r="E33" s="96">
        <v>0</v>
      </c>
      <c r="F33" s="815">
        <f>D33*E33</f>
        <v>0</v>
      </c>
      <c r="G33" s="908"/>
      <c r="H33" s="2213"/>
      <c r="I33" s="2412"/>
    </row>
    <row r="34" spans="1:9" ht="15" customHeight="1">
      <c r="A34" s="2730"/>
      <c r="B34" s="2833"/>
      <c r="C34" s="783" t="str">
        <f>OF!C47</f>
        <v>100 - 500 m</v>
      </c>
      <c r="D34" s="48">
        <f>OF!D47</f>
        <v>0</v>
      </c>
      <c r="E34" s="96">
        <v>2</v>
      </c>
      <c r="F34" s="815">
        <f>D34*E34</f>
        <v>0</v>
      </c>
      <c r="G34" s="909"/>
      <c r="H34" s="2213"/>
      <c r="I34" s="2412"/>
    </row>
    <row r="35" spans="1:9" ht="15" customHeight="1">
      <c r="A35" s="2730"/>
      <c r="B35" s="2833"/>
      <c r="C35" s="783" t="str">
        <f>OF!C48</f>
        <v>0.5- 1 km</v>
      </c>
      <c r="D35" s="48">
        <f>OF!D48</f>
        <v>0</v>
      </c>
      <c r="E35" s="96">
        <v>3</v>
      </c>
      <c r="F35" s="815">
        <f>D35*E35</f>
        <v>0</v>
      </c>
      <c r="G35" s="909"/>
      <c r="H35" s="2213"/>
      <c r="I35" s="2412"/>
    </row>
    <row r="36" spans="1:9" ht="15" customHeight="1">
      <c r="A36" s="2730"/>
      <c r="B36" s="2833"/>
      <c r="C36" s="783" t="str">
        <f>OF!C49</f>
        <v>1 - 5 km</v>
      </c>
      <c r="D36" s="48">
        <f>OF!D49</f>
        <v>0</v>
      </c>
      <c r="E36" s="96">
        <v>4</v>
      </c>
      <c r="F36" s="815">
        <f>D36*E36</f>
        <v>0</v>
      </c>
      <c r="G36" s="909"/>
      <c r="H36" s="2213"/>
      <c r="I36" s="2412"/>
    </row>
    <row r="37" spans="1:9" ht="15" customHeight="1" thickBot="1">
      <c r="A37" s="2731"/>
      <c r="B37" s="2834"/>
      <c r="C37" s="784" t="str">
        <f>OF!C50</f>
        <v>&gt;5 km</v>
      </c>
      <c r="D37" s="220">
        <f>OF!D50</f>
        <v>0</v>
      </c>
      <c r="E37" s="216">
        <v>5</v>
      </c>
      <c r="F37" s="216">
        <f>D37*E37</f>
        <v>0</v>
      </c>
      <c r="G37" s="825"/>
      <c r="H37" s="2377"/>
      <c r="I37" s="2413"/>
    </row>
    <row r="38" spans="1:9" ht="21" customHeight="1" thickBot="1">
      <c r="A38" s="2877" t="str">
        <f>OF!A51</f>
        <v>OF10</v>
      </c>
      <c r="B38" s="2881" t="str">
        <f>OF!B51</f>
        <v>Distance to Nearest Maintained Road</v>
      </c>
      <c r="C38" s="207" t="str">
        <f>OF!C51</f>
        <v>From the center of the AA, the distance to the nearest maintained public road (dirt or paved) is:</v>
      </c>
      <c r="D38" s="252"/>
      <c r="E38" s="813"/>
      <c r="F38" s="102"/>
      <c r="G38" s="814">
        <f>MAX(F39:F44)/MAX(E39:E44)</f>
        <v>0</v>
      </c>
      <c r="H38" s="2541" t="s">
        <v>592</v>
      </c>
      <c r="I38" s="2411" t="s">
        <v>408</v>
      </c>
    </row>
    <row r="39" spans="1:9" ht="15" customHeight="1">
      <c r="A39" s="2878"/>
      <c r="B39" s="2850"/>
      <c r="C39" s="902" t="str">
        <f>OF!C52</f>
        <v>&lt;10 m</v>
      </c>
      <c r="D39" s="319">
        <f>OF!D52</f>
        <v>0</v>
      </c>
      <c r="E39" s="96">
        <v>0</v>
      </c>
      <c r="F39" s="96">
        <f t="shared" ref="F39:F44" si="3">D39*E39</f>
        <v>0</v>
      </c>
      <c r="G39" s="908"/>
      <c r="H39" s="2542"/>
      <c r="I39" s="2412"/>
    </row>
    <row r="40" spans="1:9" ht="15" customHeight="1">
      <c r="A40" s="2878"/>
      <c r="B40" s="2850"/>
      <c r="C40" s="897" t="str">
        <f>OF!C53</f>
        <v>10 - 25 m</v>
      </c>
      <c r="D40" s="47">
        <f>OF!D53</f>
        <v>0</v>
      </c>
      <c r="E40" s="96">
        <v>4</v>
      </c>
      <c r="F40" s="96">
        <f t="shared" si="3"/>
        <v>0</v>
      </c>
      <c r="G40" s="909"/>
      <c r="H40" s="2542"/>
      <c r="I40" s="2412"/>
    </row>
    <row r="41" spans="1:9" ht="15" customHeight="1">
      <c r="A41" s="2878"/>
      <c r="B41" s="2850"/>
      <c r="C41" s="897" t="str">
        <f>OF!C54</f>
        <v>25 - 50 m</v>
      </c>
      <c r="D41" s="47">
        <f>OF!D54</f>
        <v>0</v>
      </c>
      <c r="E41" s="96">
        <v>5</v>
      </c>
      <c r="F41" s="96">
        <f t="shared" si="3"/>
        <v>0</v>
      </c>
      <c r="G41" s="909"/>
      <c r="H41" s="2542"/>
      <c r="I41" s="2412"/>
    </row>
    <row r="42" spans="1:9" ht="15" customHeight="1">
      <c r="A42" s="2878"/>
      <c r="B42" s="2850"/>
      <c r="C42" s="897" t="str">
        <f>OF!C55</f>
        <v>50 - 100 m</v>
      </c>
      <c r="D42" s="47">
        <f>OF!D55</f>
        <v>0</v>
      </c>
      <c r="E42" s="96">
        <v>5</v>
      </c>
      <c r="F42" s="96">
        <f t="shared" si="3"/>
        <v>0</v>
      </c>
      <c r="G42" s="909"/>
      <c r="H42" s="2542"/>
      <c r="I42" s="2412"/>
    </row>
    <row r="43" spans="1:9" ht="15" customHeight="1">
      <c r="A43" s="2878"/>
      <c r="B43" s="2850"/>
      <c r="C43" s="897" t="str">
        <f>OF!C56</f>
        <v>100 - 500 m</v>
      </c>
      <c r="D43" s="47">
        <f>OF!D56</f>
        <v>0</v>
      </c>
      <c r="E43" s="96">
        <v>5</v>
      </c>
      <c r="F43" s="96">
        <f t="shared" si="3"/>
        <v>0</v>
      </c>
      <c r="G43" s="909"/>
      <c r="H43" s="2542"/>
      <c r="I43" s="2412"/>
    </row>
    <row r="44" spans="1:9" ht="15" customHeight="1" thickBot="1">
      <c r="A44" s="2879"/>
      <c r="B44" s="2882"/>
      <c r="C44" s="793" t="str">
        <f>OF!C57</f>
        <v>&gt;500 m</v>
      </c>
      <c r="D44" s="320">
        <f>OF!D57</f>
        <v>0</v>
      </c>
      <c r="E44" s="815">
        <v>5</v>
      </c>
      <c r="F44" s="815">
        <f t="shared" si="3"/>
        <v>0</v>
      </c>
      <c r="G44" s="827"/>
      <c r="H44" s="2543"/>
      <c r="I44" s="2413"/>
    </row>
    <row r="45" spans="1:9" ht="21" customHeight="1" thickBot="1">
      <c r="A45" s="2880" t="str">
        <f>OF!A59</f>
        <v>OF12</v>
      </c>
      <c r="B45" s="2868" t="str">
        <f>OF!B59</f>
        <v>Distance to Ponded Water</v>
      </c>
      <c r="C45" s="901" t="str">
        <f>OF!C59</f>
        <v>The distance from the AA edge to the closest (but separate) pond or lake is:</v>
      </c>
      <c r="D45" s="252"/>
      <c r="E45" s="252"/>
      <c r="F45" s="218"/>
      <c r="G45" s="828">
        <f>MAX(F46:F52)/MAX(E46:E52)</f>
        <v>0</v>
      </c>
      <c r="H45" s="2209" t="s">
        <v>570</v>
      </c>
      <c r="I45" s="2411" t="s">
        <v>409</v>
      </c>
    </row>
    <row r="46" spans="1:9" ht="27" customHeight="1">
      <c r="A46" s="2730"/>
      <c r="B46" s="2726"/>
      <c r="C46" s="902" t="str">
        <f>OF!C60</f>
        <v xml:space="preserve">&lt;50 m, and not separated by any width of roads, stretches of open water, row crops, lawn, bare ground, or impervious surface. </v>
      </c>
      <c r="D46" s="319">
        <f>OF!D60</f>
        <v>0</v>
      </c>
      <c r="E46" s="96">
        <v>6</v>
      </c>
      <c r="F46" s="96">
        <f t="shared" ref="F46:F52" si="4">D46*E46</f>
        <v>0</v>
      </c>
      <c r="G46" s="908"/>
      <c r="H46" s="2208"/>
      <c r="I46" s="2412"/>
    </row>
    <row r="47" spans="1:9" ht="15" customHeight="1">
      <c r="A47" s="2730"/>
      <c r="B47" s="2726"/>
      <c r="C47" s="902" t="str">
        <f>OF!C61</f>
        <v>&lt;50 m, but completely separated by those features.</v>
      </c>
      <c r="D47" s="319">
        <f>OF!D61</f>
        <v>0</v>
      </c>
      <c r="E47" s="96">
        <v>5</v>
      </c>
      <c r="F47" s="96">
        <f t="shared" si="4"/>
        <v>0</v>
      </c>
      <c r="G47" s="909"/>
      <c r="H47" s="2208"/>
      <c r="I47" s="2412"/>
    </row>
    <row r="48" spans="1:9" ht="15" customHeight="1">
      <c r="A48" s="2730"/>
      <c r="B48" s="2726"/>
      <c r="C48" s="902" t="str">
        <f>OF!C62</f>
        <v>50-500 m, and not separated.</v>
      </c>
      <c r="D48" s="319">
        <f>OF!D62</f>
        <v>0</v>
      </c>
      <c r="E48" s="96">
        <v>4</v>
      </c>
      <c r="F48" s="96">
        <f t="shared" si="4"/>
        <v>0</v>
      </c>
      <c r="G48" s="909"/>
      <c r="H48" s="2208"/>
      <c r="I48" s="2412"/>
    </row>
    <row r="49" spans="1:10" ht="15" customHeight="1">
      <c r="A49" s="2730"/>
      <c r="B49" s="2726"/>
      <c r="C49" s="902" t="str">
        <f>OF!C63</f>
        <v>50-500 m, but separated by those features.</v>
      </c>
      <c r="D49" s="319">
        <f>OF!D63</f>
        <v>0</v>
      </c>
      <c r="E49" s="96">
        <v>3</v>
      </c>
      <c r="F49" s="96">
        <f t="shared" si="4"/>
        <v>0</v>
      </c>
      <c r="G49" s="909"/>
      <c r="H49" s="2208"/>
      <c r="I49" s="2412"/>
    </row>
    <row r="50" spans="1:10" ht="15" customHeight="1">
      <c r="A50" s="2730"/>
      <c r="B50" s="2726"/>
      <c r="C50" s="902" t="str">
        <f>OF!C64</f>
        <v>0.5 - 1 km, and not separated.</v>
      </c>
      <c r="D50" s="319">
        <f>OF!D64</f>
        <v>0</v>
      </c>
      <c r="E50" s="96">
        <v>2</v>
      </c>
      <c r="F50" s="96">
        <f t="shared" si="4"/>
        <v>0</v>
      </c>
      <c r="G50" s="909"/>
      <c r="H50" s="2208"/>
      <c r="I50" s="2412"/>
    </row>
    <row r="51" spans="1:10" ht="15" customHeight="1">
      <c r="A51" s="2730"/>
      <c r="B51" s="2726"/>
      <c r="C51" s="902" t="str">
        <f>OF!C65</f>
        <v>0.5 - 1 km, but separated by those features.</v>
      </c>
      <c r="D51" s="319">
        <f>OF!D65</f>
        <v>0</v>
      </c>
      <c r="E51" s="815">
        <v>1</v>
      </c>
      <c r="F51" s="815">
        <f t="shared" si="4"/>
        <v>0</v>
      </c>
      <c r="G51" s="827"/>
      <c r="H51" s="2208"/>
      <c r="I51" s="2412"/>
    </row>
    <row r="52" spans="1:10" ht="15" customHeight="1" thickBot="1">
      <c r="A52" s="2730"/>
      <c r="B52" s="2726"/>
      <c r="C52" s="227" t="str">
        <f>OF!C66</f>
        <v>none of the above (the closest patches or corridors that large are &gt;1 km away).</v>
      </c>
      <c r="D52" s="1449">
        <f>OF!D66</f>
        <v>0</v>
      </c>
      <c r="E52" s="815">
        <v>0</v>
      </c>
      <c r="F52" s="815">
        <f t="shared" si="4"/>
        <v>0</v>
      </c>
      <c r="G52" s="827"/>
      <c r="H52" s="2208"/>
      <c r="I52" s="2412"/>
    </row>
    <row r="53" spans="1:10" ht="75" customHeight="1" thickBot="1">
      <c r="A53" s="1248" t="str">
        <f>OF!A87</f>
        <v>OF16</v>
      </c>
      <c r="B53" s="206" t="str">
        <f>OF!B87</f>
        <v>Flood Zone</v>
      </c>
      <c r="C53" s="806" t="str">
        <f>OF!C87</f>
        <v xml:space="preserve">The AA is within a mapped Flood Zone or Flood Risk area, or an area in which river- or stream-associated floods within the past 20 years have damaged bridges, roads, buildings, or other infrastructure (not farmlands) within 5 km downslope from the AA. The floods must not be related to tidal influence or waves.  If true, enter “1” in next column. If neither are true AND AA is not in a river floodplain, enter “0”  and SKIP to OF18. Otherwise, change to blank before skipping to OF18. </v>
      </c>
      <c r="D53" s="1803">
        <f>IF((OF!D87=""),"",OF!D87)</f>
        <v>0</v>
      </c>
      <c r="E53" s="831"/>
      <c r="F53" s="831"/>
      <c r="G53" s="903">
        <f>IF((D53=""),"",D53)</f>
        <v>0</v>
      </c>
      <c r="H53" s="123" t="s">
        <v>2255</v>
      </c>
      <c r="I53" s="1847"/>
    </row>
    <row r="54" spans="1:10" ht="30" customHeight="1" thickBot="1">
      <c r="A54" s="2329" t="str">
        <f>OF!A129</f>
        <v>OF28</v>
      </c>
      <c r="B54" s="2341" t="str">
        <f>OF!B129</f>
        <v>Growing Degree Days</v>
      </c>
      <c r="C54" s="561" t="str">
        <f>OF!C129</f>
        <v>According to Figure A-1 in Appendix A of the Manual, the mean annual Growing Degree Days (GDD) in the vicinity of the AA is approximately:</v>
      </c>
      <c r="D54" s="813"/>
      <c r="E54" s="367"/>
      <c r="F54" s="368"/>
      <c r="G54" s="584">
        <f>MAX(F55:F60)/MAX(E55:E60)</f>
        <v>0</v>
      </c>
      <c r="H54" s="2146" t="s">
        <v>1667</v>
      </c>
      <c r="I54" s="2412" t="s">
        <v>423</v>
      </c>
    </row>
    <row r="55" spans="1:10" ht="15" customHeight="1">
      <c r="A55" s="2329"/>
      <c r="B55" s="2341"/>
      <c r="C55" s="170" t="str">
        <f>OF!C130</f>
        <v>800-1000 days</v>
      </c>
      <c r="D55" s="261">
        <f>OF!D130</f>
        <v>0</v>
      </c>
      <c r="E55" s="369">
        <v>0</v>
      </c>
      <c r="F55" s="370">
        <f t="shared" ref="F55:F60" si="5">D55*E55</f>
        <v>0</v>
      </c>
      <c r="G55" s="578"/>
      <c r="H55" s="2146"/>
      <c r="I55" s="2412"/>
    </row>
    <row r="56" spans="1:10" ht="15" customHeight="1">
      <c r="A56" s="2329"/>
      <c r="B56" s="2341"/>
      <c r="C56" s="82" t="str">
        <f>OF!C131</f>
        <v>1000-1200</v>
      </c>
      <c r="D56" s="245">
        <f>OF!D131</f>
        <v>0</v>
      </c>
      <c r="E56" s="369">
        <v>1</v>
      </c>
      <c r="F56" s="370">
        <f t="shared" si="5"/>
        <v>0</v>
      </c>
      <c r="G56" s="578"/>
      <c r="H56" s="2146"/>
      <c r="I56" s="2412"/>
    </row>
    <row r="57" spans="1:10" ht="15" customHeight="1">
      <c r="A57" s="2329"/>
      <c r="B57" s="2341"/>
      <c r="C57" s="82" t="str">
        <f>OF!C132</f>
        <v>1200-1400</v>
      </c>
      <c r="D57" s="245">
        <f>OF!D132</f>
        <v>0</v>
      </c>
      <c r="E57" s="369">
        <v>2</v>
      </c>
      <c r="F57" s="370">
        <f t="shared" si="5"/>
        <v>0</v>
      </c>
      <c r="G57" s="578"/>
      <c r="H57" s="2146"/>
      <c r="I57" s="2412"/>
    </row>
    <row r="58" spans="1:10" ht="15" customHeight="1">
      <c r="A58" s="2329"/>
      <c r="B58" s="2341"/>
      <c r="C58" s="82" t="str">
        <f>OF!C133</f>
        <v>1400-1600</v>
      </c>
      <c r="D58" s="245">
        <f>OF!D133</f>
        <v>0</v>
      </c>
      <c r="E58" s="369">
        <v>3</v>
      </c>
      <c r="F58" s="370">
        <f t="shared" si="5"/>
        <v>0</v>
      </c>
      <c r="G58" s="578"/>
      <c r="H58" s="2146"/>
      <c r="I58" s="2412"/>
    </row>
    <row r="59" spans="1:10" ht="15" customHeight="1">
      <c r="A59" s="2329"/>
      <c r="B59" s="2341"/>
      <c r="C59" s="82" t="str">
        <f>OF!C134</f>
        <v>1600-1800</v>
      </c>
      <c r="D59" s="245">
        <f>OF!D134</f>
        <v>0</v>
      </c>
      <c r="E59" s="369">
        <v>4</v>
      </c>
      <c r="F59" s="370">
        <f t="shared" si="5"/>
        <v>0</v>
      </c>
      <c r="G59" s="579"/>
      <c r="H59" s="2146"/>
      <c r="I59" s="2412"/>
    </row>
    <row r="60" spans="1:10" ht="15" customHeight="1" thickBot="1">
      <c r="A60" s="2329"/>
      <c r="B60" s="2341"/>
      <c r="C60" s="186" t="str">
        <f>OF!C135</f>
        <v>&gt;1800 days</v>
      </c>
      <c r="D60" s="275">
        <f>OF!D135</f>
        <v>0</v>
      </c>
      <c r="E60" s="371">
        <v>5</v>
      </c>
      <c r="F60" s="372">
        <f t="shared" si="5"/>
        <v>0</v>
      </c>
      <c r="G60" s="585"/>
      <c r="H60" s="2146"/>
      <c r="I60" s="2413"/>
    </row>
    <row r="61" spans="1:10" s="43" customFormat="1" ht="75" customHeight="1" thickBot="1">
      <c r="A61" s="230" t="str">
        <f>OF!A154</f>
        <v>OF38</v>
      </c>
      <c r="B61" s="207" t="str">
        <f>OF!B154</f>
        <v>Calcareous Region</v>
      </c>
      <c r="C61" s="919" t="str">
        <f>OF!C154</f>
        <v>The AA is in an area that is at least partly underlain by soil, sediment, or bedrock that is highly calcareous (enter 3 in next column), moderately calcareous (enter 2), or slightly calcareous (enter 1), none= 0. Limestone is typically a major component (karst geology) and water is not acidic (pH is usually &gt;8). If no map coverage, change to blank. In NB: see Figure A-6 in Appendix A of the Manual, or use GIS with Bedrock Geology shapefile at http://www.snb.ca/geonb1/e/DC/catalogue-E.asp</v>
      </c>
      <c r="D61" s="321">
        <f>OF!D154</f>
        <v>0</v>
      </c>
      <c r="E61" s="831"/>
      <c r="F61" s="928"/>
      <c r="G61" s="828" t="str">
        <f>IF((D61=""),"",IF((D61=0),"",1))</f>
        <v/>
      </c>
      <c r="H61" s="5" t="s">
        <v>2257</v>
      </c>
      <c r="I61" s="1847" t="s">
        <v>534</v>
      </c>
      <c r="J61" s="228"/>
    </row>
    <row r="62" spans="1:10" s="9" customFormat="1" ht="21" customHeight="1" thickBot="1">
      <c r="A62" s="2389" t="str">
        <f>F!A4</f>
        <v>F1</v>
      </c>
      <c r="B62" s="2146" t="str">
        <f>F!B4</f>
        <v>Wetland Type</v>
      </c>
      <c r="C62" s="436" t="str">
        <f>F!C4</f>
        <v>The vegetated part of the Assessment Area (AA) is mostly a (select ONE):</v>
      </c>
      <c r="D62" s="252"/>
      <c r="E62" s="813"/>
      <c r="F62" s="102"/>
      <c r="G62" s="814">
        <f>MAX(F63:F66)/MAX(E63:E66)</f>
        <v>0</v>
      </c>
      <c r="H62" s="2146" t="s">
        <v>2032</v>
      </c>
      <c r="I62" s="2411" t="s">
        <v>414</v>
      </c>
      <c r="J62" s="228"/>
    </row>
    <row r="63" spans="1:10" s="9" customFormat="1" ht="57" customHeight="1">
      <c r="A63" s="2390"/>
      <c r="B63" s="2146"/>
      <c r="C63" s="553"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63" s="1078">
        <f>F!D5</f>
        <v>0</v>
      </c>
      <c r="E63" s="96">
        <v>2</v>
      </c>
      <c r="F63" s="100">
        <f>D63*E63</f>
        <v>0</v>
      </c>
      <c r="G63" s="908"/>
      <c r="H63" s="2146"/>
      <c r="I63" s="2412"/>
      <c r="J63" s="228"/>
    </row>
    <row r="64" spans="1:10" s="9" customFormat="1" ht="57" customHeight="1">
      <c r="A64" s="2390"/>
      <c r="B64" s="2146"/>
      <c r="C64" s="626"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64" s="281">
        <f>F!D6</f>
        <v>0</v>
      </c>
      <c r="E64" s="96">
        <v>3</v>
      </c>
      <c r="F64" s="100">
        <f>D64*E64</f>
        <v>0</v>
      </c>
      <c r="G64" s="909"/>
      <c r="H64" s="2146"/>
      <c r="I64" s="2412"/>
      <c r="J64" s="228"/>
    </row>
    <row r="65" spans="1:10" s="9" customFormat="1" ht="69" customHeight="1">
      <c r="A65" s="2390"/>
      <c r="B65" s="2146"/>
      <c r="C65" s="626"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65" s="281">
        <f>F!D7</f>
        <v>0</v>
      </c>
      <c r="E65" s="96">
        <v>4</v>
      </c>
      <c r="F65" s="100">
        <f>D65*E65</f>
        <v>0</v>
      </c>
      <c r="G65" s="909"/>
      <c r="H65" s="2146"/>
      <c r="I65" s="2412"/>
      <c r="J65" s="228"/>
    </row>
    <row r="66" spans="1:10" s="9" customFormat="1" ht="69" customHeight="1" thickBot="1">
      <c r="A66" s="2390"/>
      <c r="B66" s="2146"/>
      <c r="C66" s="626"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66" s="281">
        <f>F!D8</f>
        <v>0</v>
      </c>
      <c r="E66" s="815">
        <v>1</v>
      </c>
      <c r="F66" s="217">
        <f>D66*E66</f>
        <v>0</v>
      </c>
      <c r="G66" s="827"/>
      <c r="H66" s="2146"/>
      <c r="I66" s="2413"/>
      <c r="J66" s="228"/>
    </row>
    <row r="67" spans="1:10" ht="60" customHeight="1" thickBot="1">
      <c r="A67" s="207" t="str">
        <f>F!A14</f>
        <v>F3</v>
      </c>
      <c r="B67" s="207" t="str">
        <f>F!B14</f>
        <v>Woody Height &amp; Form Diversity</v>
      </c>
      <c r="C67" s="1139" t="str">
        <f>F!C14</f>
        <v xml:space="preserve">Following EACH row below, indicate with a number code (6 if &gt;95%, 5 if 75-95%, 4 if 50-75%, 3 if 25-50%, 2 if 5-25%, 1 if &lt;5%, 0 if none) the percentage of the vegetated AA occupied by that feature. If ALL are marked 0 or 1, SKIP to F9 (N fixers). </v>
      </c>
      <c r="D67" s="1304">
        <f>COUNTIF(F!D15:D20,"&gt;1")</f>
        <v>0</v>
      </c>
      <c r="E67" s="831"/>
      <c r="F67" s="1181"/>
      <c r="G67" s="903">
        <f>D67/6</f>
        <v>0</v>
      </c>
      <c r="H67" s="81" t="s">
        <v>2015</v>
      </c>
      <c r="I67" s="1847" t="s">
        <v>1614</v>
      </c>
    </row>
    <row r="68" spans="1:10" ht="60" customHeight="1" thickBot="1">
      <c r="A68" s="5" t="s">
        <v>1625</v>
      </c>
      <c r="B68" s="1117" t="s">
        <v>1612</v>
      </c>
      <c r="C68" s="44"/>
      <c r="D68" s="1180">
        <f>MAX(F!D16, F!D18)</f>
        <v>0</v>
      </c>
      <c r="E68" s="813"/>
      <c r="F68" s="101"/>
      <c r="G68" s="903" t="str">
        <f>IF((SUM(F!D15:D18)=0),"",D68/6)</f>
        <v/>
      </c>
      <c r="H68" s="1402" t="s">
        <v>2122</v>
      </c>
      <c r="I68" s="1847" t="s">
        <v>1613</v>
      </c>
    </row>
    <row r="69" spans="1:10" ht="30" customHeight="1" thickBot="1">
      <c r="A69" s="2154" t="str">
        <f>F!A30</f>
        <v>F5</v>
      </c>
      <c r="B69" s="2154" t="str">
        <f>F!B30</f>
        <v>Height Class Interspersion</v>
      </c>
      <c r="C69" s="1851" t="str">
        <f>F!C30</f>
        <v>In aerial ("duck's eye") view, the following best represents the distribution pattern of vegetation taller than 1 m  VS. shorter than 1 m:</v>
      </c>
      <c r="D69" s="1179"/>
      <c r="E69" s="252"/>
      <c r="F69" s="253"/>
      <c r="G69" s="828" t="str">
        <f>IF((SUM(F!D15:D18)=0),"",MAX(F70:F73)/MAX(E70:E73))</f>
        <v/>
      </c>
      <c r="H69" s="2389" t="s">
        <v>2016</v>
      </c>
      <c r="I69" s="2411" t="s">
        <v>1615</v>
      </c>
    </row>
    <row r="70" spans="1:10" ht="42" customHeight="1">
      <c r="A70" s="2147"/>
      <c r="B70" s="2147"/>
      <c r="C70" s="1852" t="str">
        <f>F!C31</f>
        <v xml:space="preserve">Taller vegetation (&gt;1m height) comprises 30-70% of the vegetated part of the AA and shorter vegetation (&lt;1m height) is scattered widely amid the taller. OR Shorter vegetation comprises 30-70% of the vegetated part of the AA, AND taller vegetation is scattered widely amid the shorter. </v>
      </c>
      <c r="D70" s="47">
        <f>F!D31</f>
        <v>0</v>
      </c>
      <c r="E70" s="1177">
        <v>0</v>
      </c>
      <c r="F70" s="100">
        <f>D70*E70</f>
        <v>0</v>
      </c>
      <c r="G70" s="905"/>
      <c r="H70" s="2390"/>
      <c r="I70" s="2412"/>
    </row>
    <row r="71" spans="1:10" ht="57" customHeight="1">
      <c r="A71" s="2147"/>
      <c r="B71" s="2147"/>
      <c r="C71" s="1853" t="str">
        <f>F!C32</f>
        <v xml:space="preserve">Taller vegetation comprises 30-70% of the vegetated part of the AA and shorter vegetation is mainly segregated in zones or proportionately large clumps, not scattered widely amid the taller. OR Shorter vegetation comprises 30-70% of the vegetated part of the AA and taller vegetation is mainly in zones or proportionately large clumps, not scattered widely amid the taller. </v>
      </c>
      <c r="D71" s="47">
        <f>F!D32</f>
        <v>0</v>
      </c>
      <c r="E71" s="1177">
        <v>1</v>
      </c>
      <c r="F71" s="100">
        <f>D71*E71</f>
        <v>0</v>
      </c>
      <c r="G71" s="905"/>
      <c r="H71" s="2390"/>
      <c r="I71" s="2412"/>
    </row>
    <row r="72" spans="1:10" ht="42" customHeight="1">
      <c r="A72" s="2147"/>
      <c r="B72" s="2147"/>
      <c r="C72" s="1853" t="str">
        <f>F!C33</f>
        <v xml:space="preserve">Taller vegetation comprises &gt;70% of the vegetated part of the AA and shorter vegetation is scattered widely amid the taller. OR Shorter vegetation comprises &gt;70% of the vegetated part of the AA, AND taller vegetation (if any) is scattered widely amid the shorter. </v>
      </c>
      <c r="D72" s="47">
        <f>F!D33</f>
        <v>0</v>
      </c>
      <c r="E72" s="1177">
        <v>2</v>
      </c>
      <c r="F72" s="100">
        <f>D72*E72</f>
        <v>0</v>
      </c>
      <c r="G72" s="905"/>
      <c r="H72" s="2390"/>
      <c r="I72" s="2412"/>
    </row>
    <row r="73" spans="1:10" ht="57" customHeight="1" thickBot="1">
      <c r="A73" s="2153"/>
      <c r="B73" s="2153"/>
      <c r="C73" s="1853" t="str">
        <f>F!C34</f>
        <v xml:space="preserve">Taller vegetation comprises &gt;70% of the vegetated part of the AA and shorter vegetation is absent or is mainly segregated in zones or proportionately large clumps, not scattered widely amid the taller. OR Shorter vegetation comprises &gt;70% of the vegetated part of the AA and taller vegetation is absent or is mainly in zones or proportionately large clumps, not scattered widely amid the taller. </v>
      </c>
      <c r="D73" s="47">
        <f>F!D34</f>
        <v>0</v>
      </c>
      <c r="E73" s="1178">
        <v>3</v>
      </c>
      <c r="F73" s="222">
        <f>D73*E73</f>
        <v>0</v>
      </c>
      <c r="G73" s="824"/>
      <c r="H73" s="2391"/>
      <c r="I73" s="2413"/>
    </row>
    <row r="74" spans="1:10" ht="30" customHeight="1" thickBot="1">
      <c r="A74" s="2854" t="str">
        <f>F!A42</f>
        <v>F8</v>
      </c>
      <c r="B74" s="2868" t="str">
        <f>F!B42</f>
        <v xml:space="preserve">Dominance of Most Abundant Shrub Species </v>
      </c>
      <c r="C74" s="901" t="str">
        <f>F!C42</f>
        <v>Determine which two native shrub species comprise the greatest portion of the native shrub cover. Then choose one:</v>
      </c>
      <c r="D74" s="252"/>
      <c r="E74" s="252"/>
      <c r="F74" s="219"/>
      <c r="G74" s="828" t="str">
        <f>IF((SUM(F!D17:D18)=0),"",MAX(F75:F76))</f>
        <v/>
      </c>
      <c r="H74" s="2209" t="s">
        <v>2336</v>
      </c>
      <c r="I74" s="2411" t="s">
        <v>1622</v>
      </c>
    </row>
    <row r="75" spans="1:10" ht="15" customHeight="1">
      <c r="A75" s="2730"/>
      <c r="B75" s="2726"/>
      <c r="C75" s="902" t="str">
        <f>F!C43</f>
        <v>those species together comprise &gt; 50% of the areal cover of native shrub species.</v>
      </c>
      <c r="D75" s="319">
        <f>F!D43</f>
        <v>0</v>
      </c>
      <c r="E75" s="767">
        <v>0</v>
      </c>
      <c r="F75" s="100">
        <f>D75*E75</f>
        <v>0</v>
      </c>
      <c r="G75" s="908"/>
      <c r="H75" s="2208"/>
      <c r="I75" s="2412"/>
    </row>
    <row r="76" spans="1:10" ht="15" customHeight="1" thickBot="1">
      <c r="A76" s="2731"/>
      <c r="B76" s="2727"/>
      <c r="C76" s="898" t="str">
        <f>F!C44</f>
        <v>those species together do not comprise &gt; 50% of the areal cover of native shrub species.</v>
      </c>
      <c r="D76" s="215">
        <f>F!D44</f>
        <v>0</v>
      </c>
      <c r="E76" s="768">
        <v>1</v>
      </c>
      <c r="F76" s="222">
        <f>D76*E76</f>
        <v>0</v>
      </c>
      <c r="G76" s="825"/>
      <c r="H76" s="2210"/>
      <c r="I76" s="2413"/>
    </row>
    <row r="77" spans="1:10" ht="30" customHeight="1" thickBot="1">
      <c r="A77" s="2871" t="str">
        <f>F!A45</f>
        <v>F9</v>
      </c>
      <c r="B77" s="2154" t="str">
        <f>F!B45</f>
        <v>N Fixers</v>
      </c>
      <c r="C77" s="901" t="str">
        <f>F!C45</f>
        <v>The percentage of the AA's shrub plus ground cover that contains nitrogen-fixing plants (e.g., alder, bayberry, clover, lupine, alfalfa, other legumes) is:</v>
      </c>
      <c r="D77" s="252"/>
      <c r="E77" s="219"/>
      <c r="F77" s="219"/>
      <c r="G77" s="828">
        <f>MAX(F78:F82)/MAX(E78:E82)</f>
        <v>0</v>
      </c>
      <c r="H77" s="2148" t="s">
        <v>2026</v>
      </c>
      <c r="I77" s="2411" t="s">
        <v>416</v>
      </c>
    </row>
    <row r="78" spans="1:10" ht="15" customHeight="1">
      <c r="A78" s="2161"/>
      <c r="B78" s="2147"/>
      <c r="C78" s="902" t="str">
        <f>F!C46</f>
        <v>&lt;1% or none</v>
      </c>
      <c r="D78" s="319">
        <f>F!D46</f>
        <v>0</v>
      </c>
      <c r="E78" s="767">
        <v>0</v>
      </c>
      <c r="F78" s="100">
        <f>D78*E78</f>
        <v>0</v>
      </c>
      <c r="G78" s="908"/>
      <c r="H78" s="2146"/>
      <c r="I78" s="2412"/>
    </row>
    <row r="79" spans="1:10" ht="15" customHeight="1">
      <c r="A79" s="2161"/>
      <c r="B79" s="2147"/>
      <c r="C79" s="897" t="str">
        <f>F!C47</f>
        <v>1-25% of the shrub plus ground cover, in the AA or along its water edge (whichever has more).</v>
      </c>
      <c r="D79" s="47">
        <f>F!D47</f>
        <v>0</v>
      </c>
      <c r="E79" s="767">
        <v>2</v>
      </c>
      <c r="F79" s="100">
        <f>D79*E79</f>
        <v>0</v>
      </c>
      <c r="G79" s="909"/>
      <c r="H79" s="2146"/>
      <c r="I79" s="2412"/>
    </row>
    <row r="80" spans="1:10" ht="15" customHeight="1">
      <c r="A80" s="2161"/>
      <c r="B80" s="2147"/>
      <c r="C80" s="897" t="str">
        <f>F!C48</f>
        <v>25-50% of the shrub plus ground cover, in the AA or along its water edge (whichever has more).</v>
      </c>
      <c r="D80" s="47">
        <f>F!D48</f>
        <v>0</v>
      </c>
      <c r="E80" s="767">
        <v>3</v>
      </c>
      <c r="F80" s="100">
        <f>D80*E80</f>
        <v>0</v>
      </c>
      <c r="G80" s="909"/>
      <c r="H80" s="2146"/>
      <c r="I80" s="2412"/>
    </row>
    <row r="81" spans="1:10" ht="15" customHeight="1">
      <c r="A81" s="2161"/>
      <c r="B81" s="2147"/>
      <c r="C81" s="897" t="str">
        <f>F!C49</f>
        <v>50-75% of the shrub plus ground cover, in the AA or along its water edge (whichever has more).</v>
      </c>
      <c r="D81" s="47">
        <f>F!D49</f>
        <v>0</v>
      </c>
      <c r="E81" s="767">
        <v>2</v>
      </c>
      <c r="F81" s="100">
        <f>D81*E81</f>
        <v>0</v>
      </c>
      <c r="G81" s="909"/>
      <c r="H81" s="2146"/>
      <c r="I81" s="2412"/>
    </row>
    <row r="82" spans="1:10" ht="15" customHeight="1" thickBot="1">
      <c r="A82" s="2162"/>
      <c r="B82" s="2153"/>
      <c r="C82" s="898" t="str">
        <f>F!C50</f>
        <v>&gt;75% of the shrub plus ground cover, in the AA or along its water edge (whichever has more).</v>
      </c>
      <c r="D82" s="215">
        <f>F!D50</f>
        <v>0</v>
      </c>
      <c r="E82" s="768">
        <v>1</v>
      </c>
      <c r="F82" s="222">
        <f>D82*E82</f>
        <v>0</v>
      </c>
      <c r="G82" s="825"/>
      <c r="H82" s="2149"/>
      <c r="I82" s="2413"/>
    </row>
    <row r="83" spans="1:10" ht="30" customHeight="1" thickBot="1">
      <c r="A83" s="2361" t="str">
        <f>F!A51</f>
        <v>F10</v>
      </c>
      <c r="B83" s="2146" t="str">
        <f>F!B51</f>
        <v>Sphagnum Moss Extent</v>
      </c>
      <c r="C83" s="436" t="str">
        <f>F!C51</f>
        <v>Within the part of the AA that lacks persistent surface water, the cover of moss, whether or not supporting sedges and other plants rooted in it, is:</v>
      </c>
      <c r="D83" s="252"/>
      <c r="E83" s="101"/>
      <c r="F83" s="101"/>
      <c r="G83" s="814">
        <f>IF((AllWet=1),"",MAX(F84:F88)/MAX(E84:E88))</f>
        <v>0</v>
      </c>
      <c r="H83" s="2146" t="s">
        <v>2914</v>
      </c>
      <c r="I83" s="2411" t="s">
        <v>415</v>
      </c>
    </row>
    <row r="84" spans="1:10" s="43" customFormat="1" ht="15" customHeight="1">
      <c r="A84" s="2361"/>
      <c r="B84" s="2146"/>
      <c r="C84" s="30" t="str">
        <f>F!C52</f>
        <v xml:space="preserve">&lt;5% of the vegetated part of the AA. </v>
      </c>
      <c r="D84" s="256">
        <f>F!D52</f>
        <v>0</v>
      </c>
      <c r="E84" s="931">
        <v>4</v>
      </c>
      <c r="F84" s="100">
        <f>D84*E84</f>
        <v>0</v>
      </c>
      <c r="G84" s="908"/>
      <c r="H84" s="2146"/>
      <c r="I84" s="2412"/>
      <c r="J84" s="228"/>
    </row>
    <row r="85" spans="1:10" s="43" customFormat="1" ht="15" customHeight="1">
      <c r="A85" s="2361"/>
      <c r="B85" s="2146"/>
      <c r="C85" s="6" t="str">
        <f>F!C53</f>
        <v>5-25% of the vegetated part of the AA.</v>
      </c>
      <c r="D85" s="247">
        <f>F!D53</f>
        <v>0</v>
      </c>
      <c r="E85" s="931">
        <v>5</v>
      </c>
      <c r="F85" s="100">
        <f>D85*E85</f>
        <v>0</v>
      </c>
      <c r="G85" s="909"/>
      <c r="H85" s="2146"/>
      <c r="I85" s="2412"/>
      <c r="J85" s="228"/>
    </row>
    <row r="86" spans="1:10" s="43" customFormat="1" ht="15" customHeight="1">
      <c r="A86" s="2361"/>
      <c r="B86" s="2146"/>
      <c r="C86" s="6" t="str">
        <f>F!C54</f>
        <v>25-50% of the vegetated part of the AA.</v>
      </c>
      <c r="D86" s="247">
        <f>F!D54</f>
        <v>0</v>
      </c>
      <c r="E86" s="931">
        <v>3</v>
      </c>
      <c r="F86" s="100">
        <f>D86*E86</f>
        <v>0</v>
      </c>
      <c r="G86" s="909"/>
      <c r="H86" s="2146"/>
      <c r="I86" s="2412"/>
      <c r="J86" s="228"/>
    </row>
    <row r="87" spans="1:10" s="43" customFormat="1" ht="15" customHeight="1">
      <c r="A87" s="2361"/>
      <c r="B87" s="2146"/>
      <c r="C87" s="6" t="str">
        <f>F!C55</f>
        <v>50-95% of the vegetated part of the AA.</v>
      </c>
      <c r="D87" s="247">
        <f>F!D55</f>
        <v>0</v>
      </c>
      <c r="E87" s="931">
        <v>2</v>
      </c>
      <c r="F87" s="100">
        <f>D87*E87</f>
        <v>0</v>
      </c>
      <c r="G87" s="909"/>
      <c r="H87" s="2146"/>
      <c r="I87" s="2412"/>
      <c r="J87" s="228"/>
    </row>
    <row r="88" spans="1:10" s="43" customFormat="1" ht="15" customHeight="1" thickBot="1">
      <c r="A88" s="2361"/>
      <c r="B88" s="2146"/>
      <c r="C88" s="437" t="str">
        <f>F!C56</f>
        <v>&gt;95% of the vegetated part of the AA.</v>
      </c>
      <c r="D88" s="254">
        <f>F!D56</f>
        <v>0</v>
      </c>
      <c r="E88" s="932">
        <v>1</v>
      </c>
      <c r="F88" s="217">
        <f>D88*E88</f>
        <v>0</v>
      </c>
      <c r="G88" s="827"/>
      <c r="H88" s="2146"/>
      <c r="I88" s="2413"/>
      <c r="J88" s="228"/>
    </row>
    <row r="89" spans="1:10" ht="60" customHeight="1" thickBot="1">
      <c r="A89" s="2854" t="str">
        <f>F!A63</f>
        <v>F12</v>
      </c>
      <c r="B89" s="2868" t="str">
        <f>F!B63</f>
        <v xml:space="preserve">Ground Irregularity </v>
      </c>
      <c r="C89" s="901"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89" s="252"/>
      <c r="E89" s="252"/>
      <c r="F89" s="219"/>
      <c r="G89" s="828">
        <f>MAX(F90:F92)/MAX(E90:E92)</f>
        <v>0</v>
      </c>
      <c r="H89" s="2209" t="s">
        <v>1636</v>
      </c>
      <c r="I89" s="2411" t="s">
        <v>399</v>
      </c>
    </row>
    <row r="90" spans="1:10" ht="15" customHeight="1">
      <c r="A90" s="2855"/>
      <c r="B90" s="2869"/>
      <c r="C90" s="902" t="str">
        <f>F!C64</f>
        <v>Few or none (minimal microtopography; &lt;1% has such features).</v>
      </c>
      <c r="D90" s="319">
        <f>F!D64</f>
        <v>0</v>
      </c>
      <c r="E90" s="96">
        <v>0</v>
      </c>
      <c r="F90" s="100">
        <f>D90*E90</f>
        <v>0</v>
      </c>
      <c r="G90" s="908"/>
      <c r="H90" s="2208"/>
      <c r="I90" s="2412"/>
    </row>
    <row r="91" spans="1:10" ht="15" customHeight="1">
      <c r="A91" s="2855"/>
      <c r="B91" s="2869"/>
      <c r="C91" s="897" t="str">
        <f>F!C65</f>
        <v>Intermediate.</v>
      </c>
      <c r="D91" s="47">
        <f>F!D65</f>
        <v>0</v>
      </c>
      <c r="E91" s="96">
        <v>1</v>
      </c>
      <c r="F91" s="100">
        <f>D91*E91</f>
        <v>0</v>
      </c>
      <c r="G91" s="909"/>
      <c r="H91" s="2208"/>
      <c r="I91" s="2412"/>
    </row>
    <row r="92" spans="1:10" ht="15" customHeight="1" thickBot="1">
      <c r="A92" s="2856"/>
      <c r="B92" s="2870"/>
      <c r="C92" s="898" t="str">
        <f>F!C66</f>
        <v>Several (extensive micro-topography).</v>
      </c>
      <c r="D92" s="215">
        <f>F!D66</f>
        <v>0</v>
      </c>
      <c r="E92" s="216">
        <v>2</v>
      </c>
      <c r="F92" s="222">
        <f>D92*E92</f>
        <v>0</v>
      </c>
      <c r="G92" s="825"/>
      <c r="H92" s="2210"/>
      <c r="I92" s="2413"/>
    </row>
    <row r="93" spans="1:10" ht="45" customHeight="1" thickBot="1">
      <c r="A93" s="2857" t="str">
        <f>F!A71</f>
        <v>F14</v>
      </c>
      <c r="B93" s="2869" t="str">
        <f>F!B71</f>
        <v>Soil Texture</v>
      </c>
      <c r="C93" s="901" t="str">
        <f>F!C71</f>
        <v xml:space="preserve">In parts of the AA that lack persistent water, the texture of soil in the uppermost layer is mostly:  [To determine this, use a trowel to check in at least 3 widely spaced locations, and use the soil texture key (Figure A-7 in the Manual. ] </v>
      </c>
      <c r="D93" s="252"/>
      <c r="E93" s="813"/>
      <c r="F93" s="101"/>
      <c r="G93" s="814">
        <f>MAX(F94:F98)/MAX(E94:E98)</f>
        <v>0</v>
      </c>
      <c r="H93" s="2208" t="s">
        <v>1686</v>
      </c>
      <c r="I93" s="2411" t="s">
        <v>400</v>
      </c>
    </row>
    <row r="94" spans="1:10" ht="15" customHeight="1">
      <c r="A94" s="2857"/>
      <c r="B94" s="2869"/>
      <c r="C94" s="902" t="str">
        <f>F!C72</f>
        <v>Loamy: includes loam, sandy loam.</v>
      </c>
      <c r="D94" s="319">
        <f>F!D72</f>
        <v>0</v>
      </c>
      <c r="E94" s="96">
        <v>1</v>
      </c>
      <c r="F94" s="100">
        <f>D94*E94</f>
        <v>0</v>
      </c>
      <c r="G94" s="908"/>
      <c r="H94" s="2208"/>
      <c r="I94" s="2412"/>
    </row>
    <row r="95" spans="1:10" ht="27" customHeight="1">
      <c r="A95" s="2857"/>
      <c r="B95" s="2869"/>
      <c r="C95" s="897" t="str">
        <f>F!C73</f>
        <v>Fines: includes silt, clay, clay loam, silty clay, silty clay loam, sandy clay, sandy clay loam.</v>
      </c>
      <c r="D95" s="47">
        <f>F!D73</f>
        <v>0</v>
      </c>
      <c r="E95" s="96">
        <v>1</v>
      </c>
      <c r="F95" s="100">
        <f>D95*E95</f>
        <v>0</v>
      </c>
      <c r="G95" s="909"/>
      <c r="H95" s="2208"/>
      <c r="I95" s="2412"/>
    </row>
    <row r="96" spans="1:10" ht="15" customHeight="1">
      <c r="A96" s="2857"/>
      <c r="B96" s="2869"/>
      <c r="C96" s="897" t="str">
        <f>F!C74</f>
        <v>Peat, to 40 cm depth or greater.</v>
      </c>
      <c r="D96" s="47">
        <f>F!D74</f>
        <v>0</v>
      </c>
      <c r="E96" s="96">
        <v>2</v>
      </c>
      <c r="F96" s="100">
        <f>D96*E96</f>
        <v>0</v>
      </c>
      <c r="G96" s="909"/>
      <c r="H96" s="2208"/>
      <c r="I96" s="2412"/>
    </row>
    <row r="97" spans="1:9" ht="15" customHeight="1">
      <c r="A97" s="2857"/>
      <c r="B97" s="2869"/>
      <c r="C97" s="897" t="str">
        <f>F!C75</f>
        <v xml:space="preserve">Peat or organic &lt;40 cm deep. </v>
      </c>
      <c r="D97" s="47">
        <f>F!D75</f>
        <v>0</v>
      </c>
      <c r="E97" s="96">
        <v>2</v>
      </c>
      <c r="F97" s="100">
        <f>D97*E97</f>
        <v>0</v>
      </c>
      <c r="G97" s="827"/>
      <c r="H97" s="2208"/>
      <c r="I97" s="2412"/>
    </row>
    <row r="98" spans="1:9" ht="27" customHeight="1" thickBot="1">
      <c r="A98" s="2857"/>
      <c r="B98" s="2869"/>
      <c r="C98" s="793" t="str">
        <f>F!C76</f>
        <v>Coarse: includes sand, loamy sand, gravel, cobble, stones, boulders, fluvents, fluvaquents, riverwash.</v>
      </c>
      <c r="D98" s="320">
        <f>F!D76</f>
        <v>0</v>
      </c>
      <c r="E98" s="815">
        <v>0</v>
      </c>
      <c r="F98" s="217">
        <f>D98*E98</f>
        <v>0</v>
      </c>
      <c r="G98" s="827"/>
      <c r="H98" s="2208"/>
      <c r="I98" s="2413"/>
    </row>
    <row r="99" spans="1:9" ht="30" customHeight="1" thickBot="1">
      <c r="A99" s="2854" t="str">
        <f>F!A99</f>
        <v>F19</v>
      </c>
      <c r="B99" s="2868" t="str">
        <f>F!B99</f>
        <v xml:space="preserve">Dominance of Most Abundant Herbaceous Species </v>
      </c>
      <c r="C99" s="901" t="str">
        <f>F!C99</f>
        <v>Determine which two native herbaceous (forb and graminoid) species comprise the greatest portion of the herbaceous cover that is unshaded by a woody canopy. Then choose one of the following:</v>
      </c>
      <c r="D99" s="252"/>
      <c r="E99" s="936"/>
      <c r="F99" s="253"/>
      <c r="G99" s="828">
        <f>IF((NoHerbCov=1),"", MAX(F100:F101))</f>
        <v>0</v>
      </c>
      <c r="H99" s="2643" t="s">
        <v>2022</v>
      </c>
      <c r="I99" s="2411" t="s">
        <v>401</v>
      </c>
    </row>
    <row r="100" spans="1:9" ht="27" customHeight="1">
      <c r="A100" s="2730"/>
      <c r="B100" s="2726"/>
      <c r="C100" s="902" t="str">
        <f>F!C100</f>
        <v>those species together comprise &gt; 50% of the areal cover of native herbaceous plants at any time during the year.</v>
      </c>
      <c r="D100" s="319">
        <f>F!D100</f>
        <v>0</v>
      </c>
      <c r="E100" s="767">
        <v>0</v>
      </c>
      <c r="F100" s="100">
        <f>D100*E100</f>
        <v>0</v>
      </c>
      <c r="G100" s="909"/>
      <c r="H100" s="2542"/>
      <c r="I100" s="2412"/>
    </row>
    <row r="101" spans="1:9" ht="27" customHeight="1" thickBot="1">
      <c r="A101" s="2731"/>
      <c r="B101" s="2727"/>
      <c r="C101" s="898" t="str">
        <f>F!C101</f>
        <v>those species together do not comprise &gt; 50% of the areal cover of native herbaceous plants at any time during the year.</v>
      </c>
      <c r="D101" s="215">
        <f>F!D101</f>
        <v>0</v>
      </c>
      <c r="E101" s="768">
        <v>1</v>
      </c>
      <c r="F101" s="222">
        <f>D101*E101</f>
        <v>0</v>
      </c>
      <c r="G101" s="825"/>
      <c r="H101" s="2644"/>
      <c r="I101" s="2413"/>
    </row>
    <row r="102" spans="1:9" ht="30" customHeight="1" thickBot="1">
      <c r="A102" s="2857" t="str">
        <f>F!A102</f>
        <v>F20</v>
      </c>
      <c r="B102" s="2869" t="str">
        <f>F!B102</f>
        <v>Exotic Plant Cover</v>
      </c>
      <c r="C102" s="901" t="str">
        <f>F!C102</f>
        <v>How extensive is the cover of exotic plant species in the AA?  For species, see Plants_Exotic worksheet in the SuppInfo file accompanying this calculator.</v>
      </c>
      <c r="D102" s="252"/>
      <c r="E102" s="813"/>
      <c r="F102" s="937"/>
      <c r="G102" s="814">
        <f>MAX(F103:F107)/MAX(E103:E107)</f>
        <v>0</v>
      </c>
      <c r="H102" s="2208" t="s">
        <v>2123</v>
      </c>
      <c r="I102" s="2411" t="s">
        <v>1621</v>
      </c>
    </row>
    <row r="103" spans="1:9" ht="27" customHeight="1">
      <c r="A103" s="2745"/>
      <c r="B103" s="2726"/>
      <c r="C103" s="902" t="str">
        <f>F!C103</f>
        <v>exotic species appear to be absent in the AA, or are present only in trace amount (a few individuals).</v>
      </c>
      <c r="D103" s="319">
        <f>F!D103</f>
        <v>0</v>
      </c>
      <c r="E103" s="96">
        <v>4</v>
      </c>
      <c r="F103" s="100">
        <f>D103*E103</f>
        <v>0</v>
      </c>
      <c r="G103" s="629" t="s">
        <v>1050</v>
      </c>
      <c r="H103" s="2208"/>
      <c r="I103" s="2412"/>
    </row>
    <row r="104" spans="1:9" ht="27" customHeight="1">
      <c r="A104" s="2745"/>
      <c r="B104" s="2726"/>
      <c r="C104" s="897" t="str">
        <f>F!C104</f>
        <v>exotic species are present in more than trace amounts, but comprise &lt;5% of herbaceous cover (or woody cover, if the exotics are woody).</v>
      </c>
      <c r="D104" s="47">
        <f>F!D104</f>
        <v>0</v>
      </c>
      <c r="E104" s="96">
        <v>3</v>
      </c>
      <c r="F104" s="100">
        <f>D104*E104</f>
        <v>0</v>
      </c>
      <c r="G104" s="629"/>
      <c r="H104" s="2208"/>
      <c r="I104" s="2412"/>
    </row>
    <row r="105" spans="1:9" ht="15" customHeight="1">
      <c r="A105" s="2745"/>
      <c r="B105" s="2726"/>
      <c r="C105" s="897" t="str">
        <f>F!C105</f>
        <v>exotic species comprise 5-20% of the herb cover (or woody cover, if the exotics are woody).</v>
      </c>
      <c r="D105" s="47">
        <f>F!D105</f>
        <v>0</v>
      </c>
      <c r="E105" s="767">
        <v>2</v>
      </c>
      <c r="F105" s="100">
        <f>D105*E105</f>
        <v>0</v>
      </c>
      <c r="G105" s="909"/>
      <c r="H105" s="2208"/>
      <c r="I105" s="2412"/>
    </row>
    <row r="106" spans="1:9" ht="15" customHeight="1">
      <c r="A106" s="2745"/>
      <c r="B106" s="2726"/>
      <c r="C106" s="897" t="str">
        <f>F!C106</f>
        <v>exotic species comprise 20-50% of the herb cover  (or woody cover, if the exotics are woody).</v>
      </c>
      <c r="D106" s="47">
        <f>F!D106</f>
        <v>0</v>
      </c>
      <c r="E106" s="767">
        <v>1</v>
      </c>
      <c r="F106" s="100">
        <f>D106*E106</f>
        <v>0</v>
      </c>
      <c r="G106" s="909"/>
      <c r="H106" s="2208"/>
      <c r="I106" s="2412"/>
    </row>
    <row r="107" spans="1:9" ht="15" customHeight="1" thickBot="1">
      <c r="A107" s="2745"/>
      <c r="B107" s="2726"/>
      <c r="C107" s="793" t="str">
        <f>F!C107</f>
        <v>exotic species comprise &gt;50% of the herb cover  (or woody cover, if the exotics are woody).</v>
      </c>
      <c r="D107" s="320">
        <f>F!D107</f>
        <v>0</v>
      </c>
      <c r="E107" s="935">
        <v>0</v>
      </c>
      <c r="F107" s="938">
        <f>D107*E107</f>
        <v>0</v>
      </c>
      <c r="G107" s="934"/>
      <c r="H107" s="2208"/>
      <c r="I107" s="2413"/>
    </row>
    <row r="108" spans="1:9" ht="45" customHeight="1" thickBot="1">
      <c r="A108" s="2854" t="str">
        <f>F!A108</f>
        <v>F21</v>
      </c>
      <c r="B108" s="2868" t="str">
        <f>F!B108</f>
        <v>Exotic Cover Along Upland Edge</v>
      </c>
      <c r="C108" s="901" t="str">
        <f>F!C108</f>
        <v>Along the wetland-upland boundary, the percent of the upland edge (within 3 m upslope from the wetland) that is occupied by exotic plant species is:</v>
      </c>
      <c r="D108" s="252"/>
      <c r="E108" s="252"/>
      <c r="F108" s="218"/>
      <c r="G108" s="828">
        <f>MAX(F109:F112)/MAX(E109:E112)</f>
        <v>0</v>
      </c>
      <c r="H108" s="2584" t="s">
        <v>738</v>
      </c>
      <c r="I108" s="2411" t="s">
        <v>402</v>
      </c>
    </row>
    <row r="109" spans="1:9" ht="15" customHeight="1">
      <c r="A109" s="2855"/>
      <c r="B109" s="2869"/>
      <c r="C109" s="902" t="str">
        <f>F!C109</f>
        <v>none of the upland edge (exotics apparently absent), or AA has no upland edge.</v>
      </c>
      <c r="D109" s="319">
        <f>F!D109</f>
        <v>0</v>
      </c>
      <c r="E109" s="96">
        <v>4</v>
      </c>
      <c r="F109" s="96">
        <f>D109*E109</f>
        <v>0</v>
      </c>
      <c r="G109" s="908"/>
      <c r="H109" s="2585"/>
      <c r="I109" s="2412"/>
    </row>
    <row r="110" spans="1:9" ht="15" customHeight="1">
      <c r="A110" s="2855"/>
      <c r="B110" s="2869"/>
      <c r="C110" s="897" t="str">
        <f>F!C110</f>
        <v>some (but &lt;5%) of the upland edge.</v>
      </c>
      <c r="D110" s="47">
        <f>F!D110</f>
        <v>0</v>
      </c>
      <c r="E110" s="96">
        <v>3</v>
      </c>
      <c r="F110" s="96">
        <f>D110*E110</f>
        <v>0</v>
      </c>
      <c r="G110" s="909"/>
      <c r="H110" s="2585"/>
      <c r="I110" s="2412"/>
    </row>
    <row r="111" spans="1:9" ht="15" customHeight="1">
      <c r="A111" s="2855"/>
      <c r="B111" s="2869"/>
      <c r="C111" s="897" t="str">
        <f>F!C111</f>
        <v>5-50% of the upland edge.</v>
      </c>
      <c r="D111" s="47">
        <f>F!D111</f>
        <v>0</v>
      </c>
      <c r="E111" s="96">
        <v>2</v>
      </c>
      <c r="F111" s="96">
        <f>D111*E111</f>
        <v>0</v>
      </c>
      <c r="G111" s="909"/>
      <c r="H111" s="2585"/>
      <c r="I111" s="2412"/>
    </row>
    <row r="112" spans="1:9" ht="15" customHeight="1" thickBot="1">
      <c r="A112" s="2856"/>
      <c r="B112" s="2869"/>
      <c r="C112" s="898" t="str">
        <f>F!C112</f>
        <v>most (&gt;50%) of the upland edge.</v>
      </c>
      <c r="D112" s="320">
        <f>F!D112</f>
        <v>0</v>
      </c>
      <c r="E112" s="815">
        <v>0</v>
      </c>
      <c r="F112" s="815">
        <f>D112*E112</f>
        <v>0</v>
      </c>
      <c r="G112" s="827"/>
      <c r="H112" s="2589"/>
      <c r="I112" s="2413"/>
    </row>
    <row r="113" spans="1:10" s="43" customFormat="1" ht="30" customHeight="1" thickBot="1">
      <c r="A113" s="2871" t="str">
        <f>F!A115</f>
        <v>F24</v>
      </c>
      <c r="B113" s="2154" t="str">
        <f>F!B115</f>
        <v>% of AA Without Surface Water</v>
      </c>
      <c r="C113" s="901" t="str">
        <f>F!C115</f>
        <v>The percentage of the AA that never contains surface water during an average year (that is, except perhaps for a few hours after snowmelt or rainstorms), but which is still a wetland, is:</v>
      </c>
      <c r="D113" s="252"/>
      <c r="E113" s="829"/>
      <c r="F113" s="929"/>
      <c r="G113" s="828">
        <f>MAX(F114:F119)/MAX(E114:E119)</f>
        <v>0</v>
      </c>
      <c r="H113" s="2204" t="s">
        <v>1849</v>
      </c>
      <c r="I113" s="2411" t="s">
        <v>798</v>
      </c>
      <c r="J113" s="228"/>
    </row>
    <row r="114" spans="1:10" s="43" customFormat="1" ht="27" customHeight="1">
      <c r="A114" s="2161"/>
      <c r="B114" s="2147"/>
      <c r="C114" s="920" t="str">
        <f>F!C116</f>
        <v xml:space="preserve">&lt;1% AND &lt;0.01 hectare (about 10 m on a side) never has surface water. In other words, all or nearly all of the AA is covered by water permanently or at least seasonally.  </v>
      </c>
      <c r="D114" s="323">
        <f>F!D116</f>
        <v>0</v>
      </c>
      <c r="E114" s="96">
        <v>1</v>
      </c>
      <c r="F114" s="100">
        <f t="shared" ref="F114:F119" si="6">D114*E114</f>
        <v>0</v>
      </c>
      <c r="G114" s="909"/>
      <c r="H114" s="2859"/>
      <c r="I114" s="2412"/>
      <c r="J114" s="228"/>
    </row>
    <row r="115" spans="1:10" s="43" customFormat="1" ht="15" customHeight="1">
      <c r="A115" s="2161"/>
      <c r="B115" s="2147"/>
      <c r="C115" s="920" t="str">
        <f>F!C117</f>
        <v>1-25% of the AA,  or &lt;1% but &gt;0.01 ha, never contains surface water.</v>
      </c>
      <c r="D115" s="323">
        <f>F!D117</f>
        <v>0</v>
      </c>
      <c r="E115" s="96">
        <v>2</v>
      </c>
      <c r="F115" s="100">
        <f t="shared" si="6"/>
        <v>0</v>
      </c>
      <c r="G115" s="909"/>
      <c r="H115" s="2859"/>
      <c r="I115" s="2412"/>
      <c r="J115" s="228"/>
    </row>
    <row r="116" spans="1:10" s="43" customFormat="1" ht="15" customHeight="1">
      <c r="A116" s="2161"/>
      <c r="B116" s="2147"/>
      <c r="C116" s="920" t="str">
        <f>F!C118</f>
        <v>25-50% of the AA never contains surface water.</v>
      </c>
      <c r="D116" s="323">
        <f>F!D118</f>
        <v>0</v>
      </c>
      <c r="E116" s="96">
        <v>3</v>
      </c>
      <c r="F116" s="100">
        <f t="shared" si="6"/>
        <v>0</v>
      </c>
      <c r="G116" s="909"/>
      <c r="H116" s="2859"/>
      <c r="I116" s="2412"/>
      <c r="J116" s="228"/>
    </row>
    <row r="117" spans="1:10" s="43" customFormat="1" ht="15" customHeight="1">
      <c r="A117" s="2161"/>
      <c r="B117" s="2147"/>
      <c r="C117" s="920" t="str">
        <f>F!C119</f>
        <v>50-75% of the AA never contains surface water.</v>
      </c>
      <c r="D117" s="323">
        <f>F!D119</f>
        <v>0</v>
      </c>
      <c r="E117" s="96">
        <v>4</v>
      </c>
      <c r="F117" s="100">
        <f t="shared" si="6"/>
        <v>0</v>
      </c>
      <c r="G117" s="909"/>
      <c r="H117" s="2859"/>
      <c r="I117" s="2412"/>
      <c r="J117" s="228"/>
    </row>
    <row r="118" spans="1:10" s="43" customFormat="1" ht="15" customHeight="1">
      <c r="A118" s="2161"/>
      <c r="B118" s="2147"/>
      <c r="C118" s="920" t="str">
        <f>F!C120</f>
        <v>75-99% of the AA never contains surface water.</v>
      </c>
      <c r="D118" s="323">
        <f>F!D120</f>
        <v>0</v>
      </c>
      <c r="E118" s="96">
        <v>3</v>
      </c>
      <c r="F118" s="100">
        <f t="shared" si="6"/>
        <v>0</v>
      </c>
      <c r="G118" s="909"/>
      <c r="H118" s="2859"/>
      <c r="I118" s="2412"/>
      <c r="J118" s="228"/>
    </row>
    <row r="119" spans="1:10" s="43" customFormat="1" ht="27" customHeight="1" thickBot="1">
      <c r="A119" s="2162"/>
      <c r="B119" s="2153"/>
      <c r="C119" s="920" t="str">
        <f>F!C121</f>
        <v>100%. True for many bogs, meadow marshes, swamps that lack vernal pools.  Enter "1" and SKIP to F42 (Channel Connection).</v>
      </c>
      <c r="D119" s="323">
        <f>F!D121</f>
        <v>0</v>
      </c>
      <c r="E119" s="216">
        <v>2</v>
      </c>
      <c r="F119" s="222">
        <f t="shared" si="6"/>
        <v>0</v>
      </c>
      <c r="G119" s="825"/>
      <c r="H119" s="2860"/>
      <c r="I119" s="2413"/>
      <c r="J119" s="228"/>
    </row>
    <row r="120" spans="1:10" s="43" customFormat="1" ht="30" customHeight="1" thickBot="1">
      <c r="A120" s="2857" t="str">
        <f>F!A134</f>
        <v>F27</v>
      </c>
      <c r="B120" s="2147" t="str">
        <f>F!B134</f>
        <v>% of AA that is Flooded Only Seasonally</v>
      </c>
      <c r="C120" s="901" t="str">
        <f>F!C134</f>
        <v>The percentage of the AA that is covered by unfrozen surface water only during the wettest time of the year during most years is:</v>
      </c>
      <c r="D120" s="252"/>
      <c r="E120" s="813"/>
      <c r="F120" s="908"/>
      <c r="G120" s="814">
        <f>IF((AllSat1&gt;0),"",MAX(F121:F125)/MAX(E121:E125))</f>
        <v>0</v>
      </c>
      <c r="H120" s="2146" t="s">
        <v>2021</v>
      </c>
      <c r="I120" s="2411" t="s">
        <v>417</v>
      </c>
      <c r="J120" s="228"/>
    </row>
    <row r="121" spans="1:10" s="43" customFormat="1" ht="15" customHeight="1">
      <c r="A121" s="2857"/>
      <c r="B121" s="2147"/>
      <c r="C121" s="44" t="str">
        <f>F!C135</f>
        <v xml:space="preserve">None, or &lt;0.01 hectare and &lt;1% of the AA. </v>
      </c>
      <c r="D121" s="322">
        <f>F!D135</f>
        <v>0</v>
      </c>
      <c r="E121" s="96">
        <v>0</v>
      </c>
      <c r="F121" s="100">
        <f>D121*E121</f>
        <v>0</v>
      </c>
      <c r="G121" s="908"/>
      <c r="H121" s="2146"/>
      <c r="I121" s="2412"/>
      <c r="J121" s="228"/>
    </row>
    <row r="122" spans="1:10" s="43" customFormat="1" ht="15" customHeight="1">
      <c r="A122" s="2857"/>
      <c r="B122" s="2147"/>
      <c r="C122" s="922" t="str">
        <f>F!C136</f>
        <v>1-20% of the AA, or &lt;1% but &gt;0.01 ha.</v>
      </c>
      <c r="D122" s="325">
        <f>F!D136</f>
        <v>0</v>
      </c>
      <c r="E122" s="96">
        <v>1</v>
      </c>
      <c r="F122" s="100">
        <f>D122*E122</f>
        <v>0</v>
      </c>
      <c r="G122" s="909"/>
      <c r="H122" s="2146"/>
      <c r="I122" s="2412"/>
      <c r="J122" s="228"/>
    </row>
    <row r="123" spans="1:10" s="43" customFormat="1" ht="15" customHeight="1">
      <c r="A123" s="2857"/>
      <c r="B123" s="2147"/>
      <c r="C123" s="922" t="str">
        <f>F!C137</f>
        <v>20-50% of the AA.</v>
      </c>
      <c r="D123" s="325">
        <f>F!D137</f>
        <v>0</v>
      </c>
      <c r="E123" s="96">
        <v>2</v>
      </c>
      <c r="F123" s="100">
        <f>D123*E123</f>
        <v>0</v>
      </c>
      <c r="G123" s="909"/>
      <c r="H123" s="2146"/>
      <c r="I123" s="2412"/>
      <c r="J123" s="228"/>
    </row>
    <row r="124" spans="1:10" s="43" customFormat="1" ht="15" customHeight="1">
      <c r="A124" s="2857"/>
      <c r="B124" s="2147"/>
      <c r="C124" s="922" t="str">
        <f>F!C138</f>
        <v>50-95% of the AA.</v>
      </c>
      <c r="D124" s="325">
        <f>F!D138</f>
        <v>0</v>
      </c>
      <c r="E124" s="96">
        <v>3</v>
      </c>
      <c r="F124" s="100">
        <f>D124*E124</f>
        <v>0</v>
      </c>
      <c r="G124" s="909"/>
      <c r="H124" s="2146"/>
      <c r="I124" s="2412"/>
      <c r="J124" s="228"/>
    </row>
    <row r="125" spans="1:10" s="43" customFormat="1" ht="15" customHeight="1" thickBot="1">
      <c r="A125" s="2857"/>
      <c r="B125" s="2147"/>
      <c r="C125" s="922" t="str">
        <f>F!C139</f>
        <v xml:space="preserve">&gt;95% of the AA. </v>
      </c>
      <c r="D125" s="325">
        <f>F!D139</f>
        <v>0</v>
      </c>
      <c r="E125" s="815">
        <v>4</v>
      </c>
      <c r="F125" s="217">
        <f>D125*E125</f>
        <v>0</v>
      </c>
      <c r="G125" s="827"/>
      <c r="H125" s="2146"/>
      <c r="I125" s="2413"/>
      <c r="J125" s="228"/>
    </row>
    <row r="126" spans="1:10" s="43" customFormat="1" ht="30" customHeight="1" thickBot="1">
      <c r="A126" s="2854" t="str">
        <f>F!A140</f>
        <v>F28</v>
      </c>
      <c r="B126" s="2154" t="str">
        <f>F!B140</f>
        <v>Annual Water Fluctuation Range</v>
      </c>
      <c r="C126" s="901" t="str">
        <f>F!C140</f>
        <v>The annual fluctuation in surface water level within most of the parts of the AA that contain surface water is:</v>
      </c>
      <c r="D126" s="252"/>
      <c r="E126" s="252"/>
      <c r="F126" s="930"/>
      <c r="G126" s="828">
        <f>IF((AllSat1&gt;0),"", IF((NoSeasonal=1),"",MAX(F127:F130)/MAX(E127:E130)))</f>
        <v>0</v>
      </c>
      <c r="H126" s="2148" t="s">
        <v>2028</v>
      </c>
      <c r="I126" s="2411" t="s">
        <v>422</v>
      </c>
      <c r="J126" s="228"/>
    </row>
    <row r="127" spans="1:10" s="43" customFormat="1" ht="15" customHeight="1">
      <c r="A127" s="2855"/>
      <c r="B127" s="2147"/>
      <c r="C127" s="44" t="str">
        <f>F!C141</f>
        <v>&lt;10 cm change (stable or nearly so).</v>
      </c>
      <c r="D127" s="322">
        <f>F!D141</f>
        <v>0</v>
      </c>
      <c r="E127" s="96">
        <v>1</v>
      </c>
      <c r="F127" s="100">
        <f>D127*E127</f>
        <v>0</v>
      </c>
      <c r="G127" s="908"/>
      <c r="H127" s="2146"/>
      <c r="I127" s="2412"/>
      <c r="J127" s="228"/>
    </row>
    <row r="128" spans="1:10" s="43" customFormat="1" ht="15" customHeight="1">
      <c r="A128" s="2855"/>
      <c r="B128" s="2147"/>
      <c r="C128" s="922" t="str">
        <f>F!C142</f>
        <v>10 cm - 50 cm change.</v>
      </c>
      <c r="D128" s="325">
        <f>F!D142</f>
        <v>0</v>
      </c>
      <c r="E128" s="96">
        <v>2</v>
      </c>
      <c r="F128" s="100">
        <f>D128*E128</f>
        <v>0</v>
      </c>
      <c r="G128" s="909"/>
      <c r="H128" s="2146"/>
      <c r="I128" s="2412"/>
      <c r="J128" s="228"/>
    </row>
    <row r="129" spans="1:10" s="43" customFormat="1" ht="15" customHeight="1">
      <c r="A129" s="2855"/>
      <c r="B129" s="2147"/>
      <c r="C129" s="922" t="str">
        <f>F!C143</f>
        <v>0.5 - 1 m change.</v>
      </c>
      <c r="D129" s="325">
        <f>F!D143</f>
        <v>0</v>
      </c>
      <c r="E129" s="96">
        <v>2</v>
      </c>
      <c r="F129" s="100">
        <f>D129*E129</f>
        <v>0</v>
      </c>
      <c r="G129" s="909"/>
      <c r="H129" s="2146"/>
      <c r="I129" s="2412"/>
      <c r="J129" s="228"/>
    </row>
    <row r="130" spans="1:10" s="43" customFormat="1" ht="15" customHeight="1" thickBot="1">
      <c r="A130" s="2856"/>
      <c r="B130" s="2153"/>
      <c r="C130" s="921" t="str">
        <f>F!C144</f>
        <v>1-2 m change.</v>
      </c>
      <c r="D130" s="324">
        <f>F!D144</f>
        <v>0</v>
      </c>
      <c r="E130" s="216">
        <v>1</v>
      </c>
      <c r="F130" s="222">
        <f>D130*E130</f>
        <v>0</v>
      </c>
      <c r="G130" s="825"/>
      <c r="H130" s="2149"/>
      <c r="I130" s="2413"/>
      <c r="J130" s="228"/>
    </row>
    <row r="131" spans="1:10" s="43" customFormat="1" ht="30" customHeight="1" thickBot="1">
      <c r="A131" s="2857" t="str">
        <f>F!A147</f>
        <v>F29</v>
      </c>
      <c r="B131" s="2869" t="str">
        <f>F!B147</f>
        <v>Predominant Depth Class</v>
      </c>
      <c r="C131" s="901" t="str">
        <f>F!C147</f>
        <v>During most of the time when surface water is present during the growing season, its depth, averaged over the entire inundated part of the AA, is:</v>
      </c>
      <c r="D131" s="252"/>
      <c r="E131" s="813"/>
      <c r="F131" s="224"/>
      <c r="G131" s="814">
        <f>IF((AllSat1&gt;0),"",IF((TooSmall=1),"",MAX(F132:F136)/MAX(E132:E136)))</f>
        <v>0</v>
      </c>
      <c r="H131" s="2211" t="s">
        <v>1415</v>
      </c>
      <c r="I131" s="2411" t="s">
        <v>397</v>
      </c>
      <c r="J131" s="228"/>
    </row>
    <row r="132" spans="1:10" s="43" customFormat="1" ht="15" customHeight="1">
      <c r="A132" s="2745"/>
      <c r="B132" s="2869"/>
      <c r="C132" s="902" t="str">
        <f>F!C148</f>
        <v>&lt;10 cm deep (but &gt;0).</v>
      </c>
      <c r="D132" s="319">
        <f>F!D148</f>
        <v>0</v>
      </c>
      <c r="E132" s="96">
        <v>6</v>
      </c>
      <c r="F132" s="100">
        <f>D132*E132</f>
        <v>0</v>
      </c>
      <c r="G132" s="909"/>
      <c r="H132" s="2211"/>
      <c r="I132" s="2412"/>
      <c r="J132" s="228"/>
    </row>
    <row r="133" spans="1:10" s="43" customFormat="1" ht="15" customHeight="1">
      <c r="A133" s="2745"/>
      <c r="B133" s="2869"/>
      <c r="C133" s="897" t="str">
        <f>F!C149</f>
        <v>10 - 50 cm deep.</v>
      </c>
      <c r="D133" s="47">
        <f>F!D149</f>
        <v>0</v>
      </c>
      <c r="E133" s="96">
        <v>4</v>
      </c>
      <c r="F133" s="100">
        <f>D133*E133</f>
        <v>0</v>
      </c>
      <c r="G133" s="909"/>
      <c r="H133" s="2211"/>
      <c r="I133" s="2412"/>
      <c r="J133" s="228"/>
    </row>
    <row r="134" spans="1:10" s="43" customFormat="1" ht="15" customHeight="1">
      <c r="A134" s="2745"/>
      <c r="B134" s="2869"/>
      <c r="C134" s="897" t="str">
        <f>F!C150</f>
        <v>0.5 - 1 m deep.</v>
      </c>
      <c r="D134" s="47">
        <f>F!D150</f>
        <v>0</v>
      </c>
      <c r="E134" s="96">
        <v>3</v>
      </c>
      <c r="F134" s="100">
        <f>D134*E134</f>
        <v>0</v>
      </c>
      <c r="G134" s="909"/>
      <c r="H134" s="2211"/>
      <c r="I134" s="2412"/>
      <c r="J134" s="228"/>
    </row>
    <row r="135" spans="1:10" s="43" customFormat="1" ht="15" customHeight="1">
      <c r="A135" s="2745"/>
      <c r="B135" s="2869"/>
      <c r="C135" s="897" t="str">
        <f>F!C151</f>
        <v>1 - 2 m deep.</v>
      </c>
      <c r="D135" s="47">
        <f>F!D151</f>
        <v>0</v>
      </c>
      <c r="E135" s="96">
        <v>1</v>
      </c>
      <c r="F135" s="100">
        <f>D135*E135</f>
        <v>0</v>
      </c>
      <c r="G135" s="909"/>
      <c r="H135" s="2211"/>
      <c r="I135" s="2412"/>
      <c r="J135" s="228"/>
    </row>
    <row r="136" spans="1:10" s="43" customFormat="1" ht="15" customHeight="1" thickBot="1">
      <c r="A136" s="2745"/>
      <c r="B136" s="2869"/>
      <c r="C136" s="793" t="str">
        <f>F!C152</f>
        <v>&gt;2 m deep. True for many fringe wetlands.</v>
      </c>
      <c r="D136" s="320">
        <f>F!D152</f>
        <v>0</v>
      </c>
      <c r="E136" s="815">
        <v>0</v>
      </c>
      <c r="F136" s="217">
        <f>D136*E136</f>
        <v>0</v>
      </c>
      <c r="G136" s="827"/>
      <c r="H136" s="2211"/>
      <c r="I136" s="2413"/>
      <c r="J136" s="228"/>
    </row>
    <row r="137" spans="1:10" s="43" customFormat="1" ht="30" customHeight="1" thickBot="1">
      <c r="A137" s="2883" t="str">
        <f>F!A171</f>
        <v>F34</v>
      </c>
      <c r="B137" s="2861" t="str">
        <f>F!B171</f>
        <v>Width of Vegetated Zone within Wetland</v>
      </c>
      <c r="C137" s="901" t="str">
        <f>F!C171</f>
        <v>At the time during the growing season when the AA's water level is lowest, the average width of vegetated area in the AA that separates adjoining uplands from open water within the AA is:</v>
      </c>
      <c r="D137" s="252"/>
      <c r="E137" s="829"/>
      <c r="F137" s="219"/>
      <c r="G137" s="828">
        <f>IF((AllSat1&gt;0),"",IF((TooSmall=1),"",IF((NoOpenPonded=1),"",MAX(F138:F143)/MAX(E138:E143))))</f>
        <v>0</v>
      </c>
      <c r="H137" s="2148" t="s">
        <v>2333</v>
      </c>
      <c r="I137" s="2411" t="s">
        <v>398</v>
      </c>
      <c r="J137" s="228"/>
    </row>
    <row r="138" spans="1:10" s="43" customFormat="1" ht="15" customHeight="1">
      <c r="A138" s="2156"/>
      <c r="B138" s="2858"/>
      <c r="C138" s="902" t="str">
        <f>F!C172</f>
        <v>&lt;1 m</v>
      </c>
      <c r="D138" s="319">
        <f>F!D172</f>
        <v>0</v>
      </c>
      <c r="E138" s="931">
        <v>1</v>
      </c>
      <c r="F138" s="100">
        <f t="shared" ref="F138:F143" si="7">D138*E138</f>
        <v>0</v>
      </c>
      <c r="G138" s="908"/>
      <c r="H138" s="2146"/>
      <c r="I138" s="2412"/>
      <c r="J138" s="228"/>
    </row>
    <row r="139" spans="1:10" s="43" customFormat="1" ht="15" customHeight="1">
      <c r="A139" s="2156"/>
      <c r="B139" s="2858"/>
      <c r="C139" s="902" t="str">
        <f>F!C173</f>
        <v>1 - 9 m</v>
      </c>
      <c r="D139" s="319">
        <f>F!D173</f>
        <v>0</v>
      </c>
      <c r="E139" s="931">
        <v>2</v>
      </c>
      <c r="F139" s="100">
        <f t="shared" si="7"/>
        <v>0</v>
      </c>
      <c r="G139" s="908"/>
      <c r="H139" s="2146"/>
      <c r="I139" s="2412"/>
      <c r="J139" s="228"/>
    </row>
    <row r="140" spans="1:10" s="43" customFormat="1" ht="15" customHeight="1">
      <c r="A140" s="2156"/>
      <c r="B140" s="2858"/>
      <c r="C140" s="902" t="str">
        <f>F!C174</f>
        <v>10 - 29 m</v>
      </c>
      <c r="D140" s="319">
        <f>F!D174</f>
        <v>0</v>
      </c>
      <c r="E140" s="931">
        <v>3</v>
      </c>
      <c r="F140" s="100">
        <f t="shared" si="7"/>
        <v>0</v>
      </c>
      <c r="G140" s="909"/>
      <c r="H140" s="2146"/>
      <c r="I140" s="2412"/>
      <c r="J140" s="228"/>
    </row>
    <row r="141" spans="1:10" s="43" customFormat="1" ht="15" customHeight="1">
      <c r="A141" s="2156"/>
      <c r="B141" s="2858"/>
      <c r="C141" s="902" t="str">
        <f>F!C175</f>
        <v>30 - 49 m</v>
      </c>
      <c r="D141" s="319">
        <f>F!D175</f>
        <v>0</v>
      </c>
      <c r="E141" s="931">
        <v>4</v>
      </c>
      <c r="F141" s="100">
        <f t="shared" si="7"/>
        <v>0</v>
      </c>
      <c r="G141" s="909"/>
      <c r="H141" s="2146"/>
      <c r="I141" s="2412"/>
      <c r="J141" s="228"/>
    </row>
    <row r="142" spans="1:10" s="43" customFormat="1" ht="15" customHeight="1">
      <c r="A142" s="2156"/>
      <c r="B142" s="2858"/>
      <c r="C142" s="902" t="str">
        <f>F!C176</f>
        <v>50 - 100 m</v>
      </c>
      <c r="D142" s="319">
        <f>F!D176</f>
        <v>0</v>
      </c>
      <c r="E142" s="931">
        <v>5</v>
      </c>
      <c r="F142" s="100">
        <f t="shared" si="7"/>
        <v>0</v>
      </c>
      <c r="G142" s="909"/>
      <c r="H142" s="2146"/>
      <c r="I142" s="2412"/>
      <c r="J142" s="228"/>
    </row>
    <row r="143" spans="1:10" s="43" customFormat="1" ht="15" customHeight="1" thickBot="1">
      <c r="A143" s="2157"/>
      <c r="B143" s="2862"/>
      <c r="C143" s="902" t="str">
        <f>F!C177</f>
        <v>&gt; 100 m</v>
      </c>
      <c r="D143" s="319">
        <f>F!D177</f>
        <v>0</v>
      </c>
      <c r="E143" s="823">
        <v>6</v>
      </c>
      <c r="F143" s="222">
        <f t="shared" si="7"/>
        <v>0</v>
      </c>
      <c r="G143" s="825"/>
      <c r="H143" s="2149"/>
      <c r="I143" s="2413"/>
      <c r="J143" s="228"/>
    </row>
    <row r="144" spans="1:10" s="43" customFormat="1" ht="30" customHeight="1" thickBot="1">
      <c r="A144" s="2863" t="str">
        <f>F!A189</f>
        <v>F37</v>
      </c>
      <c r="B144" s="2858" t="str">
        <f>F!B189</f>
        <v>Interspersion of Robust Emergents &amp; Open Water</v>
      </c>
      <c r="C144" s="901" t="str">
        <f>F!C189</f>
        <v>During most of the part of the growing season when water is present, the spatial pattern of robust herbaceous vegetation (e.g., cattail, tall bulrush, buckbean) is mostly:</v>
      </c>
      <c r="D144" s="252"/>
      <c r="E144" s="826"/>
      <c r="F144" s="224"/>
      <c r="G144" s="814">
        <f>IF((AllSat1&gt;0),"",IF((TooSmall=1),"",IF((NoPonded=1),"",IF((NoOpenPonded+NoOpenPonded1&gt;0),"",IF((AllOpenPond=1),"",MAX(F145:F147)/MAX(E145:E147))))))</f>
        <v>0</v>
      </c>
      <c r="H144" s="2146" t="s">
        <v>2334</v>
      </c>
      <c r="I144" s="2411" t="s">
        <v>420</v>
      </c>
      <c r="J144" s="228"/>
    </row>
    <row r="145" spans="1:10" s="43" customFormat="1" ht="15" customHeight="1">
      <c r="A145" s="2864"/>
      <c r="B145" s="2147"/>
      <c r="C145" s="902" t="str">
        <f>F!C190</f>
        <v>Scattered. More than 30% of such vegetation forms small islands or corridors surrounded by water.</v>
      </c>
      <c r="D145" s="319">
        <f>F!D190</f>
        <v>0</v>
      </c>
      <c r="E145" s="931">
        <v>3</v>
      </c>
      <c r="F145" s="100">
        <f>D145*E145</f>
        <v>0</v>
      </c>
      <c r="G145" s="909"/>
      <c r="H145" s="2146"/>
      <c r="I145" s="2412"/>
      <c r="J145" s="228"/>
    </row>
    <row r="146" spans="1:10" s="43" customFormat="1" ht="15" customHeight="1">
      <c r="A146" s="2864"/>
      <c r="B146" s="2147"/>
      <c r="C146" s="897" t="str">
        <f>F!C191</f>
        <v>Intermediate.</v>
      </c>
      <c r="D146" s="47">
        <f>F!D191</f>
        <v>0</v>
      </c>
      <c r="E146" s="931">
        <v>2</v>
      </c>
      <c r="F146" s="100">
        <f>D146*E146</f>
        <v>0</v>
      </c>
      <c r="G146" s="909"/>
      <c r="H146" s="2146"/>
      <c r="I146" s="2412"/>
      <c r="J146" s="228"/>
    </row>
    <row r="147" spans="1:10" s="43" customFormat="1" ht="27" customHeight="1" thickBot="1">
      <c r="A147" s="2864"/>
      <c r="B147" s="2147"/>
      <c r="C147" s="793" t="str">
        <f>F!C192</f>
        <v>Clumped. More than 70% of such vegetation is in bands along the wetland perimeter or is clumped at one or a few sides of the surface water area.</v>
      </c>
      <c r="D147" s="320">
        <f>F!D192</f>
        <v>0</v>
      </c>
      <c r="E147" s="932">
        <v>1</v>
      </c>
      <c r="F147" s="217">
        <f>D147*E147</f>
        <v>0</v>
      </c>
      <c r="G147" s="827"/>
      <c r="H147" s="2146"/>
      <c r="I147" s="2413"/>
      <c r="J147" s="228"/>
    </row>
    <row r="148" spans="1:10" s="43" customFormat="1" ht="45" customHeight="1" thickBot="1">
      <c r="A148" s="230" t="str">
        <f>F!A210</f>
        <v>F44</v>
      </c>
      <c r="B148" s="207" t="str">
        <f>F!B210</f>
        <v>Tributary Channel</v>
      </c>
      <c r="C148" s="919" t="str">
        <f>F!C210</f>
        <v>At least once annually, the AA receives surface water from a tributary channel &gt;100 m long.  If no, SKIP to F47 ( pH Measurement).</v>
      </c>
      <c r="D148" s="321">
        <f>F!D210</f>
        <v>0</v>
      </c>
      <c r="E148" s="831"/>
      <c r="F148" s="933"/>
      <c r="G148" s="828">
        <f>D148</f>
        <v>0</v>
      </c>
      <c r="H148" s="81" t="s">
        <v>1850</v>
      </c>
      <c r="I148" s="1847" t="s">
        <v>2096</v>
      </c>
      <c r="J148" s="228"/>
    </row>
    <row r="149" spans="1:10" ht="30" customHeight="1" thickBot="1">
      <c r="A149" s="2154" t="str">
        <f>F!A218</f>
        <v>F47</v>
      </c>
      <c r="B149" s="2872" t="str">
        <f>F!B218</f>
        <v>pH Measurement</v>
      </c>
      <c r="C149" s="901" t="str">
        <f>F!C218</f>
        <v>The pH in most of the AA's surface water:</v>
      </c>
      <c r="D149" s="931"/>
      <c r="E149" s="96"/>
      <c r="F149" s="99"/>
      <c r="G149" s="1831">
        <f>IF((D150=1),"", IF((D152&gt;0&lt;5.5),1,0.5))</f>
        <v>0.5</v>
      </c>
      <c r="H149" s="2148" t="s">
        <v>2031</v>
      </c>
      <c r="I149" s="2411" t="s">
        <v>2034</v>
      </c>
    </row>
    <row r="150" spans="1:10" ht="24" customHeight="1">
      <c r="A150" s="2147"/>
      <c r="B150" s="2164"/>
      <c r="C150" s="902" t="str">
        <f>F!C219</f>
        <v>was not measured because no surface water could be found during this visit. Enter "1".</v>
      </c>
      <c r="D150" s="47">
        <f>F!D219</f>
        <v>0</v>
      </c>
      <c r="E150" s="96"/>
      <c r="F150" s="96"/>
      <c r="G150" s="908"/>
      <c r="H150" s="2146"/>
      <c r="I150" s="2412"/>
    </row>
    <row r="151" spans="1:10" ht="33" customHeight="1">
      <c r="A151" s="2147"/>
      <c r="B151" s="2164"/>
      <c r="C151" s="897" t="str">
        <f>F!C220</f>
        <v xml:space="preserve">was not measured but surface water is present and is darkly tea-coloured.  Or if no surface water, then mosses and plants that indicate peatland (e.g., Labrador tea) are prevalent. Enter "1". </v>
      </c>
      <c r="D151" s="47">
        <f>F!D220</f>
        <v>0</v>
      </c>
      <c r="E151" s="96"/>
      <c r="F151" s="96"/>
      <c r="G151" s="909"/>
      <c r="H151" s="2146"/>
      <c r="I151" s="2412"/>
    </row>
    <row r="152" spans="1:10" ht="24" customHeight="1" thickBot="1">
      <c r="A152" s="2153"/>
      <c r="B152" s="2873"/>
      <c r="C152" s="793" t="str">
        <f>F!C221</f>
        <v>was measured, and is:  [enter the reading in the column to the right]:</v>
      </c>
      <c r="D152" s="2127" t="str">
        <f>IF((F!D221=""),"",F!D221)</f>
        <v/>
      </c>
      <c r="E152" s="815"/>
      <c r="F152" s="815"/>
      <c r="G152" s="827"/>
      <c r="H152" s="2149"/>
      <c r="I152" s="2413"/>
    </row>
    <row r="153" spans="1:10" ht="21" customHeight="1" thickBot="1">
      <c r="A153" s="2154" t="str">
        <f>F!A222</f>
        <v>F48</v>
      </c>
      <c r="B153" s="2874" t="str">
        <f>F!B222</f>
        <v>TDS and/or Conductivity</v>
      </c>
      <c r="C153" s="901" t="str">
        <f>F!C222</f>
        <v>The Total Dissolved Solids (TDS) in most of the AA's surface water:</v>
      </c>
      <c r="D153" s="829"/>
      <c r="E153" s="252"/>
      <c r="F153" s="252"/>
      <c r="G153" s="1854">
        <f>IF((D154=1), "", IF((D157&gt;100&lt;400),1, IF((D156&gt;80&lt;250),1, 0.5)))</f>
        <v>0.5</v>
      </c>
      <c r="H153" s="2146" t="s">
        <v>2029</v>
      </c>
      <c r="I153" s="2411" t="s">
        <v>2033</v>
      </c>
    </row>
    <row r="154" spans="1:10" ht="15" customHeight="1">
      <c r="A154" s="2147"/>
      <c r="B154" s="2164"/>
      <c r="C154" s="902" t="str">
        <f>F!C223</f>
        <v xml:space="preserve">was not measured because no surface water could be found during this visit. Enter "1". </v>
      </c>
      <c r="D154" s="47">
        <f>F!D223</f>
        <v>0</v>
      </c>
      <c r="E154" s="96"/>
      <c r="F154" s="96"/>
      <c r="G154" s="909"/>
      <c r="H154" s="2146"/>
      <c r="I154" s="2412"/>
    </row>
    <row r="155" spans="1:10" ht="27" customHeight="1">
      <c r="A155" s="2147"/>
      <c r="B155" s="2164"/>
      <c r="C155" s="897" t="str">
        <f>F!C224</f>
        <v>was not measured, but plants that indicate saline conditions cover much of the vegetated AA. Enter "1" .</v>
      </c>
      <c r="D155" s="47">
        <f>F!D224</f>
        <v>0</v>
      </c>
      <c r="E155" s="96"/>
      <c r="F155" s="96"/>
      <c r="G155" s="909"/>
      <c r="H155" s="2146"/>
      <c r="I155" s="2412"/>
    </row>
    <row r="156" spans="1:10" ht="15" customHeight="1">
      <c r="A156" s="2147"/>
      <c r="B156" s="2164"/>
      <c r="C156" s="897" t="str">
        <f>F!C225</f>
        <v>TDS is: [enter the reading in ppm in the column to the right, if measured, or answer next row]:</v>
      </c>
      <c r="D156" s="2128" t="str">
        <f>IF((F!D225=""),"",F!D225)</f>
        <v/>
      </c>
      <c r="E156" s="96"/>
      <c r="F156" s="96"/>
      <c r="G156" s="909"/>
      <c r="H156" s="2146"/>
      <c r="I156" s="2412"/>
    </row>
    <row r="157" spans="1:10" ht="15" customHeight="1" thickBot="1">
      <c r="A157" s="2153"/>
      <c r="B157" s="2873"/>
      <c r="C157" s="898" t="str">
        <f>F!C226</f>
        <v>Conductivity is  [enter the reading in µS/cm in the column to the right]:</v>
      </c>
      <c r="D157" s="2128" t="str">
        <f>IF((F!D226=""),"",F!D226)</f>
        <v/>
      </c>
      <c r="E157" s="216"/>
      <c r="F157" s="216"/>
      <c r="G157" s="825"/>
      <c r="H157" s="2149"/>
      <c r="I157" s="2413"/>
    </row>
    <row r="158" spans="1:10" s="43" customFormat="1" ht="21" customHeight="1" thickBot="1">
      <c r="A158" s="2871" t="str">
        <f>F!A227</f>
        <v>F49</v>
      </c>
      <c r="B158" s="2154" t="str">
        <f>F!B227</f>
        <v>Beaver Probability</v>
      </c>
      <c r="C158" s="901" t="str">
        <f>F!C227</f>
        <v>Use of the AA by beaver during the past 5 years is (select most applicable ONE):</v>
      </c>
      <c r="D158" s="252"/>
      <c r="E158" s="252"/>
      <c r="F158" s="930"/>
      <c r="G158" s="828">
        <f>IF((AllSat1&gt;0),"",MAX(F159:F161)/MAX(E159:E161))</f>
        <v>0</v>
      </c>
      <c r="H158" s="2148" t="s">
        <v>2335</v>
      </c>
      <c r="I158" s="2411" t="s">
        <v>421</v>
      </c>
      <c r="J158" s="228"/>
    </row>
    <row r="159" spans="1:10" s="43" customFormat="1" ht="27" customHeight="1">
      <c r="A159" s="2161"/>
      <c r="B159" s="2147"/>
      <c r="C159" s="902" t="str">
        <f>F!C228</f>
        <v>evident from direct observation or presence of gnawed limbs, dams, tracks, dens, lodges, or extensive stands of water-killed trees (snags).</v>
      </c>
      <c r="D159" s="319">
        <f>F!D228</f>
        <v>0</v>
      </c>
      <c r="E159" s="96">
        <v>3</v>
      </c>
      <c r="F159" s="100">
        <f>D159*E159</f>
        <v>0</v>
      </c>
      <c r="G159" s="908"/>
      <c r="H159" s="2146"/>
      <c r="I159" s="2412"/>
      <c r="J159" s="228"/>
    </row>
    <row r="160" spans="1:10" s="43" customFormat="1" ht="57" customHeight="1">
      <c r="A160" s="2161"/>
      <c r="B160" s="2147"/>
      <c r="C160" s="897"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60" s="47">
        <f>F!D229</f>
        <v>0</v>
      </c>
      <c r="E160" s="96">
        <v>2</v>
      </c>
      <c r="F160" s="100">
        <f>D160*E160</f>
        <v>0</v>
      </c>
      <c r="G160" s="909"/>
      <c r="H160" s="2146"/>
      <c r="I160" s="2412"/>
      <c r="J160" s="228"/>
    </row>
    <row r="161" spans="1:10" s="43" customFormat="1" ht="27" customHeight="1" thickBot="1">
      <c r="A161" s="2162"/>
      <c r="B161" s="2153"/>
      <c r="C161" s="898" t="str">
        <f>F!C230</f>
        <v xml:space="preserve">unlikely because site characteristics above are deficient, and/or this is a settled area or other area where beaver are routinely removed. </v>
      </c>
      <c r="D161" s="215">
        <f>F!D230</f>
        <v>0</v>
      </c>
      <c r="E161" s="216">
        <v>0</v>
      </c>
      <c r="F161" s="222">
        <f>D161*E161</f>
        <v>0</v>
      </c>
      <c r="G161" s="825"/>
      <c r="H161" s="2149"/>
      <c r="I161" s="2413"/>
      <c r="J161" s="228"/>
    </row>
    <row r="162" spans="1:10" s="43" customFormat="1" ht="21" customHeight="1" thickBot="1">
      <c r="A162" s="2161" t="str">
        <f>F!A231</f>
        <v>F50</v>
      </c>
      <c r="B162" s="2147" t="str">
        <f>F!B231</f>
        <v>Groundwater Strength of Evidence</v>
      </c>
      <c r="C162" s="792" t="str">
        <f>F!C231</f>
        <v xml:space="preserve">Select first applicable choice. </v>
      </c>
      <c r="D162" s="813"/>
      <c r="E162" s="813"/>
      <c r="F162" s="908"/>
      <c r="G162" s="814">
        <f>IF((D165=1),"",MAX(F163:F165)/MAX(E163:E165))</f>
        <v>0</v>
      </c>
      <c r="H162" s="2146" t="s">
        <v>2017</v>
      </c>
      <c r="I162" s="2411" t="s">
        <v>419</v>
      </c>
      <c r="J162" s="228"/>
    </row>
    <row r="163" spans="1:10" s="43" customFormat="1" ht="42" customHeight="1">
      <c r="A163" s="2161"/>
      <c r="B163" s="2147"/>
      <c r="C163" s="902" t="str">
        <f>F!C232</f>
        <v>Groundwater monitoring has demonstrated that groundwater primarily discharges to the wetland for longer periods during the year than periods when the wetland recharges the groundwater. Or, springs are known to be present within the AA.</v>
      </c>
      <c r="D163" s="319">
        <f>F!D232</f>
        <v>0</v>
      </c>
      <c r="E163" s="96">
        <v>2</v>
      </c>
      <c r="F163" s="100">
        <f>D163*E163</f>
        <v>0</v>
      </c>
      <c r="G163" s="934"/>
      <c r="H163" s="2146"/>
      <c r="I163" s="2412"/>
      <c r="J163" s="228"/>
    </row>
    <row r="164" spans="1:10" s="43" customFormat="1" ht="42" customHeight="1">
      <c r="A164" s="2161"/>
      <c r="B164" s="2147"/>
      <c r="C164" s="897" t="str">
        <f>F!C233</f>
        <v>The upper end of the AA is located very close to the base of (but mostly not ON) a natural slope much steeper (usually &gt;15%) than that within the AA and longer than 100 m AND if surface water was measured, its pH (Q47) is &gt;5.5.</v>
      </c>
      <c r="D164" s="47">
        <f>F!D233</f>
        <v>0</v>
      </c>
      <c r="E164" s="96">
        <v>1</v>
      </c>
      <c r="F164" s="100">
        <f>D164*E164</f>
        <v>0</v>
      </c>
      <c r="G164" s="827"/>
      <c r="H164" s="2146"/>
      <c r="I164" s="2412"/>
      <c r="J164" s="228"/>
    </row>
    <row r="165" spans="1:10" s="43" customFormat="1" ht="27" customHeight="1" thickBot="1">
      <c r="A165" s="2162"/>
      <c r="B165" s="2153"/>
      <c r="C165" s="898" t="str">
        <f>F!C234</f>
        <v>Neither of above is true, although some groundwater may discharge to or flow through the AA. Or groundwater influx is unknown.</v>
      </c>
      <c r="D165" s="215">
        <f>F!D234</f>
        <v>0</v>
      </c>
      <c r="E165" s="216">
        <v>0</v>
      </c>
      <c r="F165" s="222">
        <f>D165*E165</f>
        <v>0</v>
      </c>
      <c r="G165" s="825"/>
      <c r="H165" s="2149"/>
      <c r="I165" s="2413"/>
      <c r="J165" s="228"/>
    </row>
    <row r="166" spans="1:10" ht="39" customHeight="1" thickBot="1">
      <c r="A166" s="2869" t="str">
        <f>F!A240</f>
        <v>F52</v>
      </c>
      <c r="B166" s="2869" t="str">
        <f>F!B240</f>
        <v>Vegetated Buffer as % of Perimeter</v>
      </c>
      <c r="C166" s="792" t="str">
        <f>F!C240</f>
        <v>Along the wetland-upland edge and extending 30 m laterally upslope, the percentage of the upland that contains vegetation cover (except lawns, row crops, heavily grazed land, conifer plantations) is:</v>
      </c>
      <c r="D166" s="214"/>
      <c r="E166" s="813"/>
      <c r="F166" s="102"/>
      <c r="G166" s="814">
        <f>MAX(F167:F171)/MAX(E167:E171)</f>
        <v>0</v>
      </c>
      <c r="H166" s="2541" t="s">
        <v>1907</v>
      </c>
      <c r="I166" s="2411" t="s">
        <v>403</v>
      </c>
    </row>
    <row r="167" spans="1:10" ht="18" customHeight="1">
      <c r="A167" s="2869"/>
      <c r="B167" s="2869"/>
      <c r="C167" s="1300" t="str">
        <f>F!C241</f>
        <v xml:space="preserve">&lt;5% </v>
      </c>
      <c r="D167" s="47">
        <f>F!D241</f>
        <v>0</v>
      </c>
      <c r="E167" s="1177">
        <v>0</v>
      </c>
      <c r="F167" s="96">
        <f>D167*E167</f>
        <v>0</v>
      </c>
      <c r="G167" s="908"/>
      <c r="H167" s="2542"/>
      <c r="I167" s="2412"/>
    </row>
    <row r="168" spans="1:10" ht="18" customHeight="1">
      <c r="A168" s="2869"/>
      <c r="B168" s="2869"/>
      <c r="C168" s="1301" t="str">
        <f>F!C242</f>
        <v>5 to 30%</v>
      </c>
      <c r="D168" s="47">
        <f>F!D242</f>
        <v>0</v>
      </c>
      <c r="E168" s="1177">
        <v>2</v>
      </c>
      <c r="F168" s="96">
        <f>D168*E168</f>
        <v>0</v>
      </c>
      <c r="G168" s="909"/>
      <c r="H168" s="2542"/>
      <c r="I168" s="2412"/>
    </row>
    <row r="169" spans="1:10" ht="18" customHeight="1">
      <c r="A169" s="2869"/>
      <c r="B169" s="2869"/>
      <c r="C169" s="1301" t="str">
        <f>F!C243</f>
        <v>30 to 60%</v>
      </c>
      <c r="D169" s="47">
        <f>F!D243</f>
        <v>0</v>
      </c>
      <c r="E169" s="1177">
        <v>3</v>
      </c>
      <c r="F169" s="96">
        <f>D169*E169</f>
        <v>0</v>
      </c>
      <c r="G169" s="909"/>
      <c r="H169" s="2542"/>
      <c r="I169" s="2412"/>
    </row>
    <row r="170" spans="1:10" ht="18" customHeight="1">
      <c r="A170" s="2869"/>
      <c r="B170" s="2869"/>
      <c r="C170" s="1301" t="str">
        <f>F!C244</f>
        <v>60 to 90%</v>
      </c>
      <c r="D170" s="319">
        <f>F!D244</f>
        <v>0</v>
      </c>
      <c r="E170" s="1177">
        <v>4</v>
      </c>
      <c r="F170" s="96">
        <f>D170*E170</f>
        <v>0</v>
      </c>
      <c r="G170" s="909"/>
      <c r="H170" s="2542"/>
      <c r="I170" s="2412"/>
    </row>
    <row r="171" spans="1:10" ht="18" customHeight="1" thickBot="1">
      <c r="A171" s="2869"/>
      <c r="B171" s="2869"/>
      <c r="C171" s="1287" t="str">
        <f>F!C245</f>
        <v>&gt;90%, or all the area within 30 m of the AA edge is other wetlands. SKIP to F55.</v>
      </c>
      <c r="D171" s="1303">
        <f>F!D245</f>
        <v>0</v>
      </c>
      <c r="E171" s="1302">
        <v>6</v>
      </c>
      <c r="F171" s="815">
        <f>D171*E171</f>
        <v>0</v>
      </c>
      <c r="G171" s="827"/>
      <c r="H171" s="2543"/>
      <c r="I171" s="2413"/>
    </row>
    <row r="172" spans="1:10" ht="30" customHeight="1" thickBot="1">
      <c r="A172" s="2154" t="str">
        <f>F!A246</f>
        <v>F53</v>
      </c>
      <c r="B172" s="2154" t="str">
        <f>F!B246</f>
        <v>Type of Cover in Buffer</v>
      </c>
      <c r="C172" s="901" t="str">
        <f>F!C246</f>
        <v>Within 30 m upslope of where the wetland transitions to upland, the upland land cover that is NOT natural is mostly (mark ONE):</v>
      </c>
      <c r="D172" s="1265"/>
      <c r="E172" s="252"/>
      <c r="F172" s="218"/>
      <c r="G172" s="828">
        <f>IF((BuffAllNat=1),"", MAX(F173:F174)/MAX(E173:E174))</f>
        <v>0</v>
      </c>
      <c r="H172" s="2212" t="s">
        <v>2354</v>
      </c>
      <c r="I172" s="2411" t="s">
        <v>404</v>
      </c>
    </row>
    <row r="173" spans="1:10" ht="15" customHeight="1">
      <c r="A173" s="2147"/>
      <c r="B173" s="2147"/>
      <c r="C173" s="1299" t="str">
        <f>F!C247</f>
        <v>impervious surface, e.g., paved road, parking lot, building, exposed rock.</v>
      </c>
      <c r="D173" s="47">
        <f>F!D247</f>
        <v>0</v>
      </c>
      <c r="E173" s="931">
        <v>0</v>
      </c>
      <c r="F173" s="96">
        <f>D173*E173</f>
        <v>0</v>
      </c>
      <c r="G173" s="908"/>
      <c r="H173" s="2213"/>
      <c r="I173" s="2412"/>
    </row>
    <row r="174" spans="1:10" ht="27" customHeight="1" thickBot="1">
      <c r="A174" s="2147"/>
      <c r="B174" s="2147"/>
      <c r="C174" s="44" t="str">
        <f>F!C248</f>
        <v>bare or nearly bare pervious surface or managed vegetation, e.g., lawn, row crops, unpaved road, dike, landslide.</v>
      </c>
      <c r="D174" s="215">
        <f>F!D248</f>
        <v>0</v>
      </c>
      <c r="E174" s="932">
        <v>1</v>
      </c>
      <c r="F174" s="815">
        <f>D174*E174</f>
        <v>0</v>
      </c>
      <c r="G174" s="827"/>
      <c r="H174" s="2213"/>
      <c r="I174" s="2413"/>
    </row>
    <row r="175" spans="1:10" s="89" customFormat="1" ht="30" customHeight="1" thickBot="1">
      <c r="A175" s="2884" t="str">
        <f>F!A255</f>
        <v>F56</v>
      </c>
      <c r="B175" s="2884" t="str">
        <f>F!B255</f>
        <v>New Wetland</v>
      </c>
      <c r="C175" s="688" t="str">
        <f>F!C255</f>
        <v>The AA is (or is within, or contains) a "new" wetland resulting from human actions (e.g., excavation, impoundment) or debris flows, or other factors affecting what once was upland (non-hydric) soil.</v>
      </c>
      <c r="D175" s="1291"/>
      <c r="E175" s="936"/>
      <c r="F175" s="1279"/>
      <c r="G175" s="828">
        <f>IF((D181=1),"",MAX(F176:F180)/MAX(E176:E180))</f>
        <v>0</v>
      </c>
      <c r="H175" s="2865" t="s">
        <v>1528</v>
      </c>
      <c r="I175" s="2887" t="s">
        <v>410</v>
      </c>
      <c r="J175" s="229"/>
    </row>
    <row r="176" spans="1:10" s="89" customFormat="1" ht="15" customHeight="1">
      <c r="A176" s="2885"/>
      <c r="B176" s="2885"/>
      <c r="C176" s="1294" t="str">
        <f>F!C256</f>
        <v>No.</v>
      </c>
      <c r="D176" s="1292">
        <f>F!D256</f>
        <v>0</v>
      </c>
      <c r="E176" s="1177">
        <v>5</v>
      </c>
      <c r="F176" s="767">
        <f>D176*E176</f>
        <v>0</v>
      </c>
      <c r="G176" s="1101"/>
      <c r="H176" s="2866"/>
      <c r="I176" s="2888"/>
      <c r="J176" s="229"/>
    </row>
    <row r="177" spans="1:10" s="89" customFormat="1" ht="15" customHeight="1">
      <c r="A177" s="2885"/>
      <c r="B177" s="2885"/>
      <c r="C177" s="1296" t="str">
        <f>F!C257</f>
        <v xml:space="preserve">yes, and created 20 - 100 years ago. </v>
      </c>
      <c r="D177" s="1292">
        <f>F!D257</f>
        <v>0</v>
      </c>
      <c r="E177" s="1177">
        <v>2</v>
      </c>
      <c r="F177" s="767">
        <f>D177*E177</f>
        <v>0</v>
      </c>
      <c r="G177" s="1102"/>
      <c r="H177" s="2866"/>
      <c r="I177" s="2888"/>
      <c r="J177" s="229"/>
    </row>
    <row r="178" spans="1:10" s="89" customFormat="1" ht="15" customHeight="1">
      <c r="A178" s="2885"/>
      <c r="B178" s="2885"/>
      <c r="C178" s="1297" t="str">
        <f>F!C258</f>
        <v>yes, and created 3-20 years ago.</v>
      </c>
      <c r="D178" s="1292">
        <f>F!D258</f>
        <v>0</v>
      </c>
      <c r="E178" s="1177">
        <v>1</v>
      </c>
      <c r="F178" s="767">
        <f>D178*E178</f>
        <v>0</v>
      </c>
      <c r="G178" s="1102"/>
      <c r="H178" s="2866"/>
      <c r="I178" s="2888"/>
      <c r="J178" s="229"/>
    </row>
    <row r="179" spans="1:10" s="89" customFormat="1" ht="15" customHeight="1">
      <c r="A179" s="2885"/>
      <c r="B179" s="2885"/>
      <c r="C179" s="1298" t="str">
        <f>F!C259</f>
        <v>yes, and created within last 3 years.</v>
      </c>
      <c r="D179" s="1292">
        <f>F!D259</f>
        <v>0</v>
      </c>
      <c r="E179" s="1177">
        <v>0</v>
      </c>
      <c r="F179" s="767">
        <f>D179*E179</f>
        <v>0</v>
      </c>
      <c r="G179" s="1102"/>
      <c r="H179" s="2866"/>
      <c r="I179" s="2888"/>
      <c r="J179" s="229"/>
    </row>
    <row r="180" spans="1:10" s="89" customFormat="1" ht="15" customHeight="1">
      <c r="A180" s="2885"/>
      <c r="B180" s="2885"/>
      <c r="C180" s="1298" t="str">
        <f>F!C260</f>
        <v>yes, but time of origin unknown.</v>
      </c>
      <c r="D180" s="1292">
        <f>F!D260</f>
        <v>0</v>
      </c>
      <c r="E180" s="1177">
        <v>1</v>
      </c>
      <c r="F180" s="767">
        <f>D180*E180</f>
        <v>0</v>
      </c>
      <c r="G180" s="1102"/>
      <c r="H180" s="2866"/>
      <c r="I180" s="2888"/>
      <c r="J180" s="229"/>
    </row>
    <row r="181" spans="1:10" s="89" customFormat="1" ht="15" customHeight="1" thickBot="1">
      <c r="A181" s="2886"/>
      <c r="B181" s="2886"/>
      <c r="C181" s="1295" t="str">
        <f>F!C261</f>
        <v>unknown if new within 20 years or not.</v>
      </c>
      <c r="D181" s="1293">
        <f>F!D261</f>
        <v>0</v>
      </c>
      <c r="E181" s="1178"/>
      <c r="F181" s="768"/>
      <c r="G181" s="1280"/>
      <c r="H181" s="2867"/>
      <c r="I181" s="2889"/>
      <c r="J181" s="229"/>
    </row>
    <row r="182" spans="1:10" ht="21" customHeight="1" thickBot="1">
      <c r="A182" s="2154" t="str">
        <f>F!A262</f>
        <v>F57</v>
      </c>
      <c r="B182" s="2154" t="str">
        <f>F!B262</f>
        <v>Burn History</v>
      </c>
      <c r="C182" s="901" t="str">
        <f>F!C262</f>
        <v>More than 1% of the AA's previously vegetated area:</v>
      </c>
      <c r="D182" s="829"/>
      <c r="E182" s="252"/>
      <c r="F182" s="218"/>
      <c r="G182" s="1831">
        <f>IF((D186=1),"",MAX(F176:F180)/MAX(E176:E180))</f>
        <v>0</v>
      </c>
      <c r="H182" s="2148" t="s">
        <v>2023</v>
      </c>
      <c r="I182" s="2411" t="s">
        <v>2019</v>
      </c>
    </row>
    <row r="183" spans="1:10" ht="15" customHeight="1">
      <c r="A183" s="2147"/>
      <c r="B183" s="2147"/>
      <c r="C183" s="902" t="str">
        <f>F!C263</f>
        <v>burned within past 5 years.</v>
      </c>
      <c r="D183" s="47">
        <f>F!D263</f>
        <v>0</v>
      </c>
      <c r="E183" s="361">
        <v>4</v>
      </c>
      <c r="F183" s="361">
        <f>D183*E183</f>
        <v>0</v>
      </c>
      <c r="G183" s="908"/>
      <c r="H183" s="2146"/>
      <c r="I183" s="2412"/>
    </row>
    <row r="184" spans="1:10" ht="15" customHeight="1">
      <c r="A184" s="2147"/>
      <c r="B184" s="2147"/>
      <c r="C184" s="897" t="str">
        <f>F!C264</f>
        <v>burned 6-10 years ago.</v>
      </c>
      <c r="D184" s="47">
        <f>F!D264</f>
        <v>0</v>
      </c>
      <c r="E184" s="361">
        <v>3</v>
      </c>
      <c r="F184" s="361">
        <f>D184*E184</f>
        <v>0</v>
      </c>
      <c r="G184" s="909"/>
      <c r="H184" s="2146"/>
      <c r="I184" s="2412"/>
    </row>
    <row r="185" spans="1:10" ht="15" customHeight="1">
      <c r="A185" s="2147"/>
      <c r="B185" s="2147"/>
      <c r="C185" s="897" t="str">
        <f>F!C265</f>
        <v>burned 11-30 years ago.</v>
      </c>
      <c r="D185" s="47">
        <f>F!D265</f>
        <v>0</v>
      </c>
      <c r="E185" s="361">
        <v>2</v>
      </c>
      <c r="F185" s="361">
        <f>D185*E185</f>
        <v>0</v>
      </c>
      <c r="G185" s="909"/>
      <c r="H185" s="2146"/>
      <c r="I185" s="2412"/>
    </row>
    <row r="186" spans="1:10" ht="15" customHeight="1" thickBot="1">
      <c r="A186" s="2153"/>
      <c r="B186" s="2153"/>
      <c r="C186" s="898" t="str">
        <f>F!C266</f>
        <v>burned &gt;30 years ago, or no evidence of a burn and no data.</v>
      </c>
      <c r="D186" s="215">
        <f>F!D266</f>
        <v>0</v>
      </c>
      <c r="E186" s="362">
        <v>1</v>
      </c>
      <c r="F186" s="361">
        <f>D186*E186</f>
        <v>0</v>
      </c>
      <c r="G186" s="825"/>
      <c r="H186" s="2149"/>
      <c r="I186" s="2413"/>
    </row>
    <row r="187" spans="1:10" ht="60" customHeight="1" thickBot="1">
      <c r="A187" s="2868" t="str">
        <f>F!A280</f>
        <v>F61</v>
      </c>
      <c r="B187" s="2868" t="str">
        <f>F!B280</f>
        <v xml:space="preserve">Unvisited Core Area </v>
      </c>
      <c r="C187" s="901"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187" s="1265"/>
      <c r="E187" s="252"/>
      <c r="F187" s="218"/>
      <c r="G187" s="828">
        <f>MAX(F188:F193)/MAX(E188:E193)</f>
        <v>0</v>
      </c>
      <c r="H187" s="2643" t="s">
        <v>2025</v>
      </c>
      <c r="I187" s="2411" t="s">
        <v>405</v>
      </c>
    </row>
    <row r="188" spans="1:10" ht="15" customHeight="1">
      <c r="A188" s="2869"/>
      <c r="B188" s="2869"/>
      <c r="C188" s="1289" t="str">
        <f>F!C281</f>
        <v>&lt;5% and no inhabited building is within 100 m of the AA.</v>
      </c>
      <c r="D188" s="319">
        <f>F!D281</f>
        <v>0</v>
      </c>
      <c r="E188" s="1162">
        <v>1</v>
      </c>
      <c r="F188" s="96">
        <f t="shared" ref="F188:F193" si="8">D188*E188</f>
        <v>0</v>
      </c>
      <c r="G188" s="908"/>
      <c r="H188" s="2542"/>
      <c r="I188" s="2412"/>
    </row>
    <row r="189" spans="1:10" ht="15" customHeight="1">
      <c r="A189" s="2869"/>
      <c r="B189" s="2869"/>
      <c r="C189" s="897" t="str">
        <f>F!C282</f>
        <v>&lt;5% and inhabited building is within 100 m of the AA.</v>
      </c>
      <c r="D189" s="1290">
        <f>F!D282</f>
        <v>0</v>
      </c>
      <c r="E189" s="1162">
        <v>0</v>
      </c>
      <c r="F189" s="96">
        <f t="shared" si="8"/>
        <v>0</v>
      </c>
      <c r="G189" s="909"/>
      <c r="H189" s="2542"/>
      <c r="I189" s="2412"/>
    </row>
    <row r="190" spans="1:10" ht="15" customHeight="1">
      <c r="A190" s="2869"/>
      <c r="B190" s="2869"/>
      <c r="C190" s="897" t="str">
        <f>F!C283</f>
        <v>5-50% and no inhabited building is within 100 m of the AA.</v>
      </c>
      <c r="D190" s="47">
        <f>F!D283</f>
        <v>0</v>
      </c>
      <c r="E190" s="1162">
        <v>3</v>
      </c>
      <c r="F190" s="96">
        <f t="shared" si="8"/>
        <v>0</v>
      </c>
      <c r="G190" s="909"/>
      <c r="H190" s="2542"/>
      <c r="I190" s="2412"/>
    </row>
    <row r="191" spans="1:10" ht="15" customHeight="1">
      <c r="A191" s="2869"/>
      <c r="B191" s="2869"/>
      <c r="C191" s="897" t="str">
        <f>F!C284</f>
        <v>5-50% and inhabited building is within 100 m of the AA.</v>
      </c>
      <c r="D191" s="47">
        <f>F!D284</f>
        <v>0</v>
      </c>
      <c r="E191" s="1162">
        <v>2</v>
      </c>
      <c r="F191" s="96">
        <f t="shared" si="8"/>
        <v>0</v>
      </c>
      <c r="G191" s="827"/>
      <c r="H191" s="2542"/>
      <c r="I191" s="2412"/>
    </row>
    <row r="192" spans="1:10" ht="15" customHeight="1">
      <c r="A192" s="2869"/>
      <c r="B192" s="2869"/>
      <c r="C192" s="897" t="str">
        <f>F!C285</f>
        <v>50-95%</v>
      </c>
      <c r="D192" s="1290">
        <f>F!D285</f>
        <v>0</v>
      </c>
      <c r="E192" s="1162">
        <v>4</v>
      </c>
      <c r="F192" s="96">
        <f t="shared" si="8"/>
        <v>0</v>
      </c>
      <c r="G192" s="827"/>
      <c r="H192" s="2542"/>
      <c r="I192" s="2412"/>
    </row>
    <row r="193" spans="1:10" ht="15" customHeight="1" thickBot="1">
      <c r="A193" s="2870"/>
      <c r="B193" s="2870"/>
      <c r="C193" s="1278" t="str">
        <f>F!C286</f>
        <v>&gt;95% of the AA</v>
      </c>
      <c r="D193" s="215">
        <f>F!D286</f>
        <v>0</v>
      </c>
      <c r="E193" s="1232">
        <v>5</v>
      </c>
      <c r="F193" s="216">
        <f t="shared" si="8"/>
        <v>0</v>
      </c>
      <c r="G193" s="825"/>
      <c r="H193" s="2644"/>
      <c r="I193" s="2413"/>
    </row>
    <row r="194" spans="1:10" ht="60" customHeight="1" thickBot="1">
      <c r="A194" s="2869" t="str">
        <f>F!A287</f>
        <v>F62</v>
      </c>
      <c r="B194" s="2868" t="str">
        <f>F!B287</f>
        <v>Frequently Visited Area</v>
      </c>
      <c r="C194" s="901"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194" s="1179"/>
      <c r="E194" s="391"/>
      <c r="F194" s="102"/>
      <c r="G194" s="814">
        <f>MAX(F195:F198)/MAX(E195:E198)</f>
        <v>0</v>
      </c>
      <c r="H194" s="2541" t="s">
        <v>166</v>
      </c>
      <c r="I194" s="2411" t="s">
        <v>406</v>
      </c>
    </row>
    <row r="195" spans="1:10" ht="15" customHeight="1">
      <c r="A195" s="2869"/>
      <c r="B195" s="2869"/>
      <c r="C195" s="1289" t="str">
        <f>F!C288</f>
        <v>&lt;5%. If F61 was answered "&gt;95%" (mostly never visited), SKIP to F65.</v>
      </c>
      <c r="D195" s="47">
        <f>F!D288</f>
        <v>0</v>
      </c>
      <c r="E195" s="1162">
        <v>3</v>
      </c>
      <c r="F195" s="96">
        <f>D195*E195</f>
        <v>0</v>
      </c>
      <c r="G195" s="908"/>
      <c r="H195" s="2542"/>
      <c r="I195" s="2412"/>
    </row>
    <row r="196" spans="1:10" ht="15" customHeight="1">
      <c r="A196" s="2869"/>
      <c r="B196" s="2869"/>
      <c r="C196" s="897" t="str">
        <f>F!C289</f>
        <v>5-50%</v>
      </c>
      <c r="D196" s="47">
        <f>F!D289</f>
        <v>0</v>
      </c>
      <c r="E196" s="1162">
        <v>2</v>
      </c>
      <c r="F196" s="96">
        <f>D196*E196</f>
        <v>0</v>
      </c>
      <c r="G196" s="909"/>
      <c r="H196" s="2542"/>
      <c r="I196" s="2412"/>
    </row>
    <row r="197" spans="1:10" ht="15" customHeight="1">
      <c r="A197" s="2869"/>
      <c r="B197" s="2869"/>
      <c r="C197" s="897" t="str">
        <f>F!C290</f>
        <v>50-95%</v>
      </c>
      <c r="D197" s="47">
        <f>F!D290</f>
        <v>0</v>
      </c>
      <c r="E197" s="1162">
        <v>1</v>
      </c>
      <c r="F197" s="96">
        <f>D197*E197</f>
        <v>0</v>
      </c>
      <c r="G197" s="909"/>
      <c r="H197" s="2542"/>
      <c r="I197" s="2412"/>
    </row>
    <row r="198" spans="1:10" ht="15" customHeight="1" thickBot="1">
      <c r="A198" s="2869"/>
      <c r="B198" s="2870"/>
      <c r="C198" s="898" t="str">
        <f>F!C291</f>
        <v>&gt;95% of the AA.</v>
      </c>
      <c r="D198" s="1288">
        <f>F!D291</f>
        <v>0</v>
      </c>
      <c r="E198" s="389">
        <v>0</v>
      </c>
      <c r="F198" s="815">
        <f>D198*E198</f>
        <v>0</v>
      </c>
      <c r="G198" s="827"/>
      <c r="H198" s="2543"/>
      <c r="I198" s="2413"/>
    </row>
    <row r="199" spans="1:10" ht="45" customHeight="1" thickBot="1">
      <c r="A199" s="901" t="str">
        <f>F!A292</f>
        <v>F63</v>
      </c>
      <c r="B199" s="901" t="str">
        <f>F!B292</f>
        <v>BMP - Soils</v>
      </c>
      <c r="C199" s="919" t="str">
        <f>F!C292</f>
        <v>Boardwalks, paved trails, fences or other infrastructure and/or well-enforced regulations appear to effectively prevent visitors from walking on soil within nearly all of the AA when the soil is unfrozen. Enter "1" if true.</v>
      </c>
      <c r="D199" s="321">
        <f>F!D292</f>
        <v>0</v>
      </c>
      <c r="E199" s="395"/>
      <c r="F199" s="831"/>
      <c r="G199" s="828">
        <f>IF((D193+D195&gt;1),"",D199)</f>
        <v>0</v>
      </c>
      <c r="H199" s="5" t="s">
        <v>1851</v>
      </c>
      <c r="I199" s="1847" t="s">
        <v>1215</v>
      </c>
    </row>
    <row r="200" spans="1:10" ht="57" customHeight="1" thickBot="1">
      <c r="A200" s="207" t="str">
        <f>F!A305</f>
        <v>F67</v>
      </c>
      <c r="B200" s="901" t="str">
        <f>F!B305</f>
        <v>Calcareous Fen</v>
      </c>
      <c r="C200" s="919" t="str">
        <f>F!C305</f>
        <v xml:space="preserve">The AA is, or is part of, a calcareous fen. See the Plants_Calcar worksheet in the accompanying SuppInfo file for list of plant indicators (calciphiles). Enter 1 If more than two Strong or more than five Moderate calciphile species are present; otherwise enter 0, but if not able to identify those and no information, change to blank. </v>
      </c>
      <c r="D200" s="321">
        <f>IF((F!D305=""),"",F!D305)</f>
        <v>0</v>
      </c>
      <c r="E200" s="395"/>
      <c r="F200" s="213"/>
      <c r="G200" s="828" t="str">
        <f>IF((F!D305=""),"", IF((D200=1),1,""))</f>
        <v/>
      </c>
      <c r="H200" s="5" t="s">
        <v>2027</v>
      </c>
      <c r="I200" s="1847" t="s">
        <v>1616</v>
      </c>
    </row>
    <row r="201" spans="1:10" s="43" customFormat="1" ht="141" customHeight="1" thickBot="1">
      <c r="A201" s="1427" t="str">
        <f>S!A66</f>
        <v>S5</v>
      </c>
      <c r="B201" s="1431" t="str">
        <f>S!B66</f>
        <v>Altered Timing of Water Inputs</v>
      </c>
      <c r="C201" s="1429" t="str">
        <f>S!E80</f>
        <v>Final Score=</v>
      </c>
      <c r="D201" s="1436">
        <f>S!F80</f>
        <v>0</v>
      </c>
      <c r="E201" s="1179"/>
      <c r="F201" s="1437"/>
      <c r="G201" s="1438" t="str">
        <f>IF((InfloPD=0),"", 1-D201)</f>
        <v/>
      </c>
      <c r="H201" s="5" t="s">
        <v>2020</v>
      </c>
      <c r="I201" s="1847" t="s">
        <v>411</v>
      </c>
      <c r="J201" s="228"/>
    </row>
    <row r="202" spans="1:10" s="43" customFormat="1" ht="45" customHeight="1" thickBot="1">
      <c r="A202" s="1428" t="str">
        <f>S!A81</f>
        <v>S6</v>
      </c>
      <c r="B202" s="1427" t="str">
        <f>S!B81</f>
        <v>Accelerated Inputs of Contaminants and/or Salts</v>
      </c>
      <c r="C202" s="1440" t="str">
        <f>S!E93</f>
        <v>Final Score=</v>
      </c>
      <c r="D202" s="1434">
        <f>S!F93</f>
        <v>0</v>
      </c>
      <c r="E202" s="831"/>
      <c r="F202" s="1181"/>
      <c r="G202" s="903">
        <f>1-D202</f>
        <v>1</v>
      </c>
      <c r="H202" s="1424" t="s">
        <v>2220</v>
      </c>
      <c r="I202" s="1847" t="s">
        <v>2222</v>
      </c>
      <c r="J202" s="228"/>
    </row>
    <row r="203" spans="1:10" s="43" customFormat="1" ht="45" customHeight="1" thickBot="1">
      <c r="A203" s="1432" t="str">
        <f>S!A107</f>
        <v>S8</v>
      </c>
      <c r="B203" s="1432" t="str">
        <f>S!B107</f>
        <v>Excessive Sediment Loading from Contributing Area</v>
      </c>
      <c r="C203" s="1435" t="str">
        <f>S!E124</f>
        <v>Final Score=</v>
      </c>
      <c r="D203" s="1439">
        <f>S!F124</f>
        <v>0</v>
      </c>
      <c r="E203" s="927"/>
      <c r="F203" s="1138"/>
      <c r="G203" s="1212">
        <f>1-D203</f>
        <v>1</v>
      </c>
      <c r="H203" s="5" t="s">
        <v>2218</v>
      </c>
      <c r="I203" s="1847" t="s">
        <v>2223</v>
      </c>
      <c r="J203" s="228"/>
    </row>
    <row r="204" spans="1:10" ht="75" customHeight="1" thickBot="1">
      <c r="A204" s="230" t="str">
        <f>S!A125</f>
        <v>S9</v>
      </c>
      <c r="B204" s="1426" t="str">
        <f>S!B125</f>
        <v>Soil or Sediment Alteration Within the Assessment Area</v>
      </c>
      <c r="C204" s="1430" t="str">
        <f>S!E142</f>
        <v>Final Score=</v>
      </c>
      <c r="D204" s="1433">
        <f>S!F142</f>
        <v>0</v>
      </c>
      <c r="E204" s="927"/>
      <c r="F204" s="1064"/>
      <c r="G204" s="814">
        <f>1-D204</f>
        <v>1</v>
      </c>
      <c r="H204" s="1425" t="s">
        <v>2211</v>
      </c>
      <c r="I204" s="1847" t="s">
        <v>412</v>
      </c>
    </row>
    <row r="205" spans="1:10" s="143" customFormat="1" ht="36" customHeight="1" thickBot="1">
      <c r="A205" s="1597" t="s">
        <v>168</v>
      </c>
      <c r="B205" s="1598" t="s">
        <v>2401</v>
      </c>
      <c r="C205" s="1600" t="s">
        <v>1354</v>
      </c>
      <c r="D205" s="1599" t="s">
        <v>64</v>
      </c>
      <c r="E205" s="1705" t="s">
        <v>1383</v>
      </c>
      <c r="F205" s="1849" t="s">
        <v>1384</v>
      </c>
      <c r="G205" s="1707" t="s">
        <v>1293</v>
      </c>
      <c r="H205" s="1582" t="s">
        <v>600</v>
      </c>
      <c r="I205" s="1850" t="s">
        <v>2622</v>
      </c>
    </row>
    <row r="206" spans="1:10" ht="156" customHeight="1" thickBot="1">
      <c r="A206" s="207" t="str">
        <f>OF!A34</f>
        <v>OF5</v>
      </c>
      <c r="B206" s="207" t="str">
        <f>OF!B34</f>
        <v>Herbaceous Uniqueness</v>
      </c>
      <c r="C206" s="231" t="str">
        <f>OF!C34</f>
        <v xml:space="preserve">Does the AA contain the largest unmanaged herbaceous* patch within 5 km of the AA's edge? (or is the AA's vegetation mostly herbaceous but uplands within 5 km have &lt;10% herbaceous cover?). If so, enter "3" and continue to OF6.  If not, consider: 
Does the AA have the largest unmanaged herbaceous patch within 1 km? (or is the AA's vegetation mostly herbaceous but uplands within 1 km have &lt;10% herbaceous cover?); if so enter "2" and continue to OF6.  If not, consider: 
Does  the AA have the largest unmanaged patch of herbaceous vegetation within 100 m? (or is the AA's vegetation mostly herbaceous but uplands within 100 m have &lt;10% herbaceous cover?)  If so, enter "1"  
[* NOTE: Exclude lawns, row crops, heavily grazed lands, forest, shrublands. Include moss as well as grasslike plants in this use of "herbaceous vegetation"]
</v>
      </c>
      <c r="D206" s="1145">
        <f>OF!D34</f>
        <v>0</v>
      </c>
      <c r="E206" s="831"/>
      <c r="F206" s="213"/>
      <c r="G206" s="904">
        <f>D206/3</f>
        <v>0</v>
      </c>
      <c r="H206" s="1943" t="s">
        <v>2903</v>
      </c>
      <c r="I206" s="1847" t="s">
        <v>1618</v>
      </c>
    </row>
    <row r="207" spans="1:10" ht="129" customHeight="1" thickBot="1">
      <c r="A207" s="207" t="str">
        <f>OF!A35</f>
        <v>OF6</v>
      </c>
      <c r="B207" s="207" t="str">
        <f>OF!B35</f>
        <v>Woody Uniqueness</v>
      </c>
      <c r="C207" s="231" t="str">
        <f>OF!C35</f>
        <v xml:space="preserve">Does the AA contain the largest unmanaged woody* patch within 5 km? (or is the AA's vegetation mostly woody but uplands within 5 km have &lt;10% woody cover?). If so, enter "3" and continue to OF6.  If not, consider: 
Does the AA have the largest unmanaged woody patch within 1 km? (or is the AA's vegetation mostly woody but uplands within 1 km have &lt;10% woody cover?); if so enter "2" and continue to OF6.  If not, consider: 
Does  the AA have the largest unmanaged patch of woody vegetation within 100 m? (or is the AA's vegetation mostly woody but uplands within 100 m have &lt;10% woody cover?)  If so, enter "1".  
 [*NOTE: woody = Shrubland and forest, but exclude conifer plantations. ]
</v>
      </c>
      <c r="D207" s="1145">
        <f>OF!D35</f>
        <v>0</v>
      </c>
      <c r="E207" s="831"/>
      <c r="F207" s="213"/>
      <c r="G207" s="904">
        <f>D207/3</f>
        <v>0</v>
      </c>
      <c r="H207" s="436" t="s">
        <v>2904</v>
      </c>
      <c r="I207" s="1847" t="s">
        <v>1617</v>
      </c>
    </row>
    <row r="208" spans="1:10" ht="52.2" customHeight="1" thickBot="1">
      <c r="A208" s="1283" t="str">
        <f>OF!A141</f>
        <v>OF30</v>
      </c>
      <c r="B208" s="1227" t="str">
        <f>OF!B141</f>
        <v>Species of Conservation Concern</v>
      </c>
      <c r="C208" s="1991" t="str">
        <f>OF!C142</f>
        <v xml:space="preserve">Presence of one or more of the plant species listed in the Plants_Rare worksheet of the accompanying SuppInfo file, or (in NS only) the AA is within a mapped Atlantic Coastal Plain Flora Buffer as shown in Special Management Practice Zones at: https://nsgi.novascotia.ca/plv/ </v>
      </c>
      <c r="D208" s="1284">
        <f>OF!D142</f>
        <v>0</v>
      </c>
      <c r="E208" s="214"/>
      <c r="F208" s="1384"/>
      <c r="G208" s="1391">
        <f>D208</f>
        <v>0</v>
      </c>
      <c r="H208" s="1202" t="s">
        <v>63</v>
      </c>
      <c r="I208" s="1847" t="s">
        <v>1619</v>
      </c>
    </row>
    <row r="209" spans="1:10" ht="33" customHeight="1" thickBot="1">
      <c r="A209" s="918"/>
      <c r="B209" s="1285" t="str">
        <f>POL!C92</f>
        <v>Function Score for Pollinator Habitat</v>
      </c>
      <c r="C209" s="1286"/>
      <c r="D209" s="831"/>
      <c r="E209" s="831"/>
      <c r="F209" s="213"/>
      <c r="G209" s="904">
        <f>POL!G92/10</f>
        <v>6.6666666666666666E-2</v>
      </c>
      <c r="H209" s="436" t="s">
        <v>102</v>
      </c>
      <c r="I209" s="1847" t="s">
        <v>413</v>
      </c>
    </row>
    <row r="210" spans="1:10" s="89" customFormat="1" ht="45" customHeight="1" thickBot="1">
      <c r="A210" s="918"/>
      <c r="B210" s="924" t="str">
        <f>SBM!C172</f>
        <v>Function Score for Songbird, Raptor, &amp; Mammal Habitat</v>
      </c>
      <c r="C210" s="923"/>
      <c r="D210" s="940"/>
      <c r="E210" s="940"/>
      <c r="F210" s="941"/>
      <c r="G210" s="747">
        <f>SBM!G172/10</f>
        <v>0</v>
      </c>
      <c r="H210" s="1336" t="s">
        <v>533</v>
      </c>
      <c r="I210" s="1848" t="s">
        <v>429</v>
      </c>
      <c r="J210" s="229"/>
    </row>
    <row r="211" spans="1:10" ht="21" customHeight="1" thickBot="1">
      <c r="A211" s="1441"/>
      <c r="B211" s="1441"/>
      <c r="C211" s="1441"/>
      <c r="D211" s="2852"/>
      <c r="E211" s="2852"/>
      <c r="F211" s="2852"/>
      <c r="G211" s="2852"/>
      <c r="H211" s="2852"/>
    </row>
    <row r="212" spans="1:10" s="45" customFormat="1" ht="21" customHeight="1">
      <c r="A212" s="94"/>
      <c r="B212" s="94"/>
      <c r="C212" s="94"/>
      <c r="D212" s="2402" t="s">
        <v>745</v>
      </c>
      <c r="E212" s="2403"/>
      <c r="F212" s="2403"/>
      <c r="G212" s="1691">
        <f>AVERAGE(WidthPD, SizePD, SizeVegConnec15,SatPctPD)</f>
        <v>0</v>
      </c>
      <c r="H212" s="1897" t="s">
        <v>2648</v>
      </c>
      <c r="I212" s="1898" t="s">
        <v>2787</v>
      </c>
      <c r="J212" s="138"/>
    </row>
    <row r="213" spans="1:10" s="45" customFormat="1" ht="21" customHeight="1">
      <c r="A213" s="94"/>
      <c r="B213" s="94"/>
      <c r="C213" s="94"/>
      <c r="D213" s="2484" t="s">
        <v>198</v>
      </c>
      <c r="E213" s="2485"/>
      <c r="F213" s="2485"/>
      <c r="G213" s="1692">
        <f>AVERAGE(BeaverPD, NatVegCApd, BuffLUpd, DistBig15,VegPct5k15, PondProx15)</f>
        <v>0</v>
      </c>
      <c r="H213" s="1858" t="s">
        <v>1620</v>
      </c>
      <c r="I213" s="1899" t="s">
        <v>2788</v>
      </c>
      <c r="J213" s="138"/>
    </row>
    <row r="214" spans="1:10" s="45" customFormat="1" ht="30" customHeight="1">
      <c r="A214" s="94"/>
      <c r="B214" s="94"/>
      <c r="C214" s="94"/>
      <c r="D214" s="2484" t="s">
        <v>427</v>
      </c>
      <c r="E214" s="2485"/>
      <c r="F214" s="2485"/>
      <c r="G214" s="1692">
        <f>AVERAGE(InFlowPD,MAX(CalcFen15,Conduc20, Acidic20),AVERAGE(InterspersPD,FlucPD, SeasWpctPD, GWpd, NewWetPD, Depth15))</f>
        <v>0.16666666666666666</v>
      </c>
      <c r="H214" s="1858" t="s">
        <v>2097</v>
      </c>
      <c r="I214" s="1899" t="s">
        <v>2789</v>
      </c>
      <c r="J214" s="138"/>
    </row>
    <row r="215" spans="1:10" s="45" customFormat="1" ht="21" customHeight="1">
      <c r="A215" s="94"/>
      <c r="B215" s="94"/>
      <c r="C215" s="94"/>
      <c r="D215" s="2484" t="s">
        <v>428</v>
      </c>
      <c r="E215" s="2485"/>
      <c r="F215" s="2485"/>
      <c r="G215" s="1692">
        <f>AVERAGE(NfixPD, SoilTexPD, Karst16a,WettypePD, MossPD,GDDpd)</f>
        <v>0</v>
      </c>
      <c r="H215" s="1858" t="s">
        <v>2428</v>
      </c>
      <c r="I215" s="1899" t="s">
        <v>2790</v>
      </c>
      <c r="J215" s="138"/>
    </row>
    <row r="216" spans="1:10" s="45" customFormat="1" ht="19.2" customHeight="1">
      <c r="A216" s="94"/>
      <c r="B216" s="94"/>
      <c r="C216" s="94"/>
      <c r="D216" s="2484" t="s">
        <v>747</v>
      </c>
      <c r="E216" s="2485"/>
      <c r="F216" s="2485"/>
      <c r="G216" s="1692">
        <f>AVERAGE(Invas15, AVERAGE(WoodyHtDiv15, WoodHerbMix15,herbdom15,WoodSpDom15, Burn20,GirregPD))</f>
        <v>0</v>
      </c>
      <c r="H216" s="1858" t="s">
        <v>2098</v>
      </c>
      <c r="I216" s="1899" t="s">
        <v>2791</v>
      </c>
      <c r="J216" s="138"/>
    </row>
    <row r="217" spans="1:10" s="45" customFormat="1" ht="30" customHeight="1" thickBot="1">
      <c r="A217" s="94"/>
      <c r="B217" s="94"/>
      <c r="C217" s="94"/>
      <c r="D217" s="2400" t="s">
        <v>574</v>
      </c>
      <c r="E217" s="2401"/>
      <c r="F217" s="2401"/>
      <c r="G217" s="1693">
        <f>AVERAGE(Core1pd, Core2pd, BMPsoils20,WeedSourcePD) + AVERAGE(PopCtr15, DistRdPD) + MIN( AltTime20, Salt20, SedDep20,SedDisturb20)</f>
        <v>1</v>
      </c>
      <c r="H217" s="1900" t="s">
        <v>2649</v>
      </c>
      <c r="I217" s="1901" t="s">
        <v>2792</v>
      </c>
      <c r="J217" s="138"/>
    </row>
    <row r="218" spans="1:10" ht="21" customHeight="1" thickBot="1">
      <c r="B218" s="94"/>
      <c r="C218" s="94"/>
      <c r="D218" s="2853"/>
      <c r="E218" s="2853"/>
      <c r="F218" s="2853"/>
      <c r="G218" s="2853"/>
      <c r="H218" s="2836"/>
    </row>
    <row r="219" spans="1:10" ht="30" customHeight="1" thickBot="1">
      <c r="A219" s="2705"/>
      <c r="B219" s="2706"/>
      <c r="C219" s="2713" t="s">
        <v>123</v>
      </c>
      <c r="D219" s="2714"/>
      <c r="E219" s="2715"/>
      <c r="F219" s="1690" t="s">
        <v>75</v>
      </c>
      <c r="G219" s="1800">
        <f>10*((4*SppArea + 3*CompetPD + 2*AqFertilPD + 2*TerrFertilPD + LscapePD + StressPD)/13)</f>
        <v>1.0256410256410255</v>
      </c>
      <c r="H219" s="2363" t="s">
        <v>1623</v>
      </c>
      <c r="I219" s="2364"/>
    </row>
    <row r="220" spans="1:10" ht="30" customHeight="1" thickBot="1">
      <c r="A220" s="2705"/>
      <c r="B220" s="2706"/>
      <c r="C220" s="2713" t="s">
        <v>2422</v>
      </c>
      <c r="D220" s="2714"/>
      <c r="E220" s="2715"/>
      <c r="F220" s="1690" t="s">
        <v>2888</v>
      </c>
      <c r="G220" s="1845">
        <f>10*((IF((RarePsp20=1),1, AVERAGE(ScoreSBM, MAX(HerbUniq20,WoodyUniq20), ScorePOLf))))</f>
        <v>0.22222222222222224</v>
      </c>
      <c r="H220" s="2363" t="s">
        <v>1624</v>
      </c>
      <c r="I220" s="2364"/>
    </row>
    <row r="221" spans="1:10" ht="21" customHeight="1" thickBot="1">
      <c r="A221" s="1423"/>
      <c r="B221" s="1423"/>
      <c r="C221" s="1423"/>
      <c r="D221" s="1423"/>
      <c r="E221" s="1423"/>
      <c r="F221" s="1423"/>
      <c r="G221" s="1423"/>
      <c r="H221" s="553"/>
    </row>
    <row r="222" spans="1:10" ht="21" customHeight="1" thickBot="1">
      <c r="A222" s="1423"/>
      <c r="B222" s="1423"/>
      <c r="C222" s="1423"/>
      <c r="D222" s="1423"/>
      <c r="E222" s="1423"/>
      <c r="F222" s="1423"/>
      <c r="G222" s="1423"/>
      <c r="H222" s="2501" t="s">
        <v>806</v>
      </c>
      <c r="I222" s="2502"/>
    </row>
    <row r="223" spans="1:10" ht="42" customHeight="1">
      <c r="A223" s="1423"/>
      <c r="B223" s="1423"/>
      <c r="C223" s="1423"/>
      <c r="D223" s="1423"/>
      <c r="E223" s="1423"/>
      <c r="F223" s="1423"/>
      <c r="G223" s="1423"/>
      <c r="H223" s="2582" t="s">
        <v>930</v>
      </c>
      <c r="I223" s="2583"/>
    </row>
    <row r="224" spans="1:10" ht="42" customHeight="1">
      <c r="A224" s="1423"/>
      <c r="B224" s="1423"/>
      <c r="C224" s="1423"/>
      <c r="D224" s="1423"/>
      <c r="E224" s="1423"/>
      <c r="F224" s="1423"/>
      <c r="G224" s="1423"/>
      <c r="H224" s="2367" t="s">
        <v>1051</v>
      </c>
      <c r="I224" s="2368"/>
    </row>
    <row r="225" spans="1:9" ht="27" customHeight="1">
      <c r="A225" s="1423"/>
      <c r="B225" s="1423"/>
      <c r="C225" s="1423"/>
      <c r="D225" s="1423"/>
      <c r="E225" s="1423"/>
      <c r="F225" s="1423"/>
      <c r="G225" s="1423"/>
      <c r="H225" s="2367" t="s">
        <v>2208</v>
      </c>
      <c r="I225" s="2368"/>
    </row>
    <row r="226" spans="1:9" ht="27" customHeight="1">
      <c r="A226" s="1423"/>
      <c r="B226" s="1423"/>
      <c r="C226" s="1423"/>
      <c r="D226" s="1423"/>
      <c r="E226" s="1423"/>
      <c r="F226" s="1423"/>
      <c r="G226" s="1423"/>
      <c r="H226" s="2367" t="s">
        <v>1052</v>
      </c>
      <c r="I226" s="2368"/>
    </row>
    <row r="227" spans="1:9" ht="42" customHeight="1">
      <c r="A227" s="1423"/>
      <c r="B227" s="1423"/>
      <c r="C227" s="1423"/>
      <c r="D227" s="1423"/>
      <c r="E227" s="1423"/>
      <c r="F227" s="1423"/>
      <c r="G227" s="1423"/>
      <c r="H227" s="2553" t="s">
        <v>855</v>
      </c>
      <c r="I227" s="2554"/>
    </row>
    <row r="228" spans="1:9" ht="27" customHeight="1">
      <c r="A228" s="1423"/>
      <c r="B228" s="1423"/>
      <c r="C228" s="1423"/>
      <c r="D228" s="1423"/>
      <c r="E228" s="1423"/>
      <c r="F228" s="1423"/>
      <c r="G228" s="1423"/>
      <c r="H228" s="2367" t="s">
        <v>1053</v>
      </c>
      <c r="I228" s="2368"/>
    </row>
    <row r="229" spans="1:9" ht="27" customHeight="1">
      <c r="A229" s="1423"/>
      <c r="B229" s="1423"/>
      <c r="C229" s="1423"/>
      <c r="D229" s="1423"/>
      <c r="E229" s="1423"/>
      <c r="F229" s="1423"/>
      <c r="G229" s="1423"/>
      <c r="H229" s="2373" t="s">
        <v>1054</v>
      </c>
      <c r="I229" s="2374"/>
    </row>
    <row r="230" spans="1:9" ht="27" customHeight="1">
      <c r="A230" s="1423"/>
      <c r="B230" s="1423"/>
      <c r="C230" s="1423"/>
      <c r="D230" s="1423"/>
      <c r="E230" s="1423"/>
      <c r="F230" s="1423"/>
      <c r="G230" s="1423"/>
      <c r="H230" s="2373" t="s">
        <v>1055</v>
      </c>
      <c r="I230" s="2374"/>
    </row>
    <row r="231" spans="1:9" ht="27" customHeight="1">
      <c r="A231" s="1423"/>
      <c r="B231" s="1423"/>
      <c r="C231" s="1423"/>
      <c r="D231" s="1423"/>
      <c r="E231" s="1423"/>
      <c r="F231" s="1423"/>
      <c r="G231" s="1423"/>
      <c r="H231" s="2367" t="s">
        <v>1056</v>
      </c>
      <c r="I231" s="2368"/>
    </row>
    <row r="232" spans="1:9" ht="27" customHeight="1">
      <c r="A232" s="1423"/>
      <c r="B232" s="1423"/>
      <c r="C232" s="1423"/>
      <c r="D232" s="1423"/>
      <c r="E232" s="1423"/>
      <c r="F232" s="1423"/>
      <c r="G232" s="1423"/>
      <c r="H232" s="2367" t="s">
        <v>2134</v>
      </c>
      <c r="I232" s="2368"/>
    </row>
    <row r="233" spans="1:9" ht="27" customHeight="1">
      <c r="A233" s="1423"/>
      <c r="B233" s="1423"/>
      <c r="C233" s="1423"/>
      <c r="D233" s="1423"/>
      <c r="E233" s="1423"/>
      <c r="F233" s="1423"/>
      <c r="G233" s="1423"/>
      <c r="H233" s="2367" t="s">
        <v>933</v>
      </c>
      <c r="I233" s="2368"/>
    </row>
    <row r="234" spans="1:9" ht="42" customHeight="1">
      <c r="A234" s="1423"/>
      <c r="B234" s="1423"/>
      <c r="C234" s="1423"/>
      <c r="D234" s="1423"/>
      <c r="E234" s="1423"/>
      <c r="F234" s="1423"/>
      <c r="G234" s="1423"/>
      <c r="H234" s="2367" t="s">
        <v>1057</v>
      </c>
      <c r="I234" s="2368"/>
    </row>
    <row r="235" spans="1:9" ht="27" customHeight="1">
      <c r="A235" s="1423"/>
      <c r="B235" s="1423"/>
      <c r="C235" s="1423"/>
      <c r="D235" s="1423"/>
      <c r="E235" s="1423"/>
      <c r="F235" s="1423"/>
      <c r="G235" s="1423"/>
      <c r="H235" s="2549" t="s">
        <v>2197</v>
      </c>
      <c r="I235" s="2550"/>
    </row>
    <row r="236" spans="1:9" ht="27" customHeight="1">
      <c r="A236" s="1423"/>
      <c r="B236" s="1423"/>
      <c r="C236" s="1423"/>
      <c r="D236" s="1423"/>
      <c r="E236" s="1423"/>
      <c r="F236" s="1423"/>
      <c r="G236" s="1423"/>
      <c r="H236" s="2367" t="s">
        <v>1058</v>
      </c>
      <c r="I236" s="2368"/>
    </row>
    <row r="237" spans="1:9" ht="27" customHeight="1">
      <c r="A237" s="1423"/>
      <c r="B237" s="1423"/>
      <c r="C237" s="1423"/>
      <c r="D237" s="1423"/>
      <c r="E237" s="1423"/>
      <c r="F237" s="1423"/>
      <c r="G237" s="1423"/>
      <c r="H237" s="2549" t="s">
        <v>2198</v>
      </c>
      <c r="I237" s="2550"/>
    </row>
    <row r="238" spans="1:9" ht="42" customHeight="1">
      <c r="A238" s="1423"/>
      <c r="B238" s="1423"/>
      <c r="C238" s="1423"/>
      <c r="D238" s="1423"/>
      <c r="E238" s="1423"/>
      <c r="F238" s="1423"/>
      <c r="G238" s="1423"/>
      <c r="H238" s="2549" t="s">
        <v>1668</v>
      </c>
      <c r="I238" s="2550"/>
    </row>
    <row r="239" spans="1:9" ht="42" customHeight="1">
      <c r="A239" s="1423"/>
      <c r="B239" s="1423"/>
      <c r="C239" s="1423"/>
      <c r="D239" s="1423"/>
      <c r="E239" s="1423"/>
      <c r="F239" s="1423"/>
      <c r="G239" s="1423"/>
      <c r="H239" s="2549" t="s">
        <v>2256</v>
      </c>
      <c r="I239" s="2550"/>
    </row>
    <row r="240" spans="1:9" ht="27" customHeight="1">
      <c r="A240" s="1423"/>
      <c r="B240" s="1423"/>
      <c r="C240" s="1423"/>
      <c r="D240" s="1423"/>
      <c r="E240" s="1423"/>
      <c r="F240" s="1423"/>
      <c r="G240" s="1423"/>
      <c r="H240" s="2549" t="s">
        <v>2199</v>
      </c>
      <c r="I240" s="2550"/>
    </row>
    <row r="241" spans="1:9" ht="42" customHeight="1">
      <c r="A241" s="1423"/>
      <c r="B241" s="1423"/>
      <c r="C241" s="1423"/>
      <c r="D241" s="1423"/>
      <c r="E241" s="1423"/>
      <c r="F241" s="1423"/>
      <c r="G241" s="1423"/>
      <c r="H241" s="2367" t="s">
        <v>1059</v>
      </c>
      <c r="I241" s="2368"/>
    </row>
    <row r="242" spans="1:9" ht="27" customHeight="1">
      <c r="A242" s="1423"/>
      <c r="B242" s="1423"/>
      <c r="C242" s="1423"/>
      <c r="D242" s="1423"/>
      <c r="E242" s="1423"/>
      <c r="F242" s="1423"/>
      <c r="G242" s="1423"/>
      <c r="H242" s="2367" t="s">
        <v>1060</v>
      </c>
      <c r="I242" s="2368"/>
    </row>
    <row r="243" spans="1:9" ht="27" customHeight="1">
      <c r="A243" s="1423"/>
      <c r="B243" s="1423"/>
      <c r="C243" s="1423"/>
      <c r="D243" s="1423"/>
      <c r="E243" s="1423"/>
      <c r="F243" s="1423"/>
      <c r="G243" s="1423"/>
      <c r="H243" s="2371" t="s">
        <v>1891</v>
      </c>
      <c r="I243" s="2372"/>
    </row>
    <row r="244" spans="1:9" ht="27" customHeight="1">
      <c r="A244" s="1423"/>
      <c r="B244" s="1423"/>
      <c r="C244" s="1423"/>
      <c r="D244" s="1423"/>
      <c r="E244" s="1423"/>
      <c r="F244" s="1423"/>
      <c r="G244" s="1423"/>
      <c r="H244" s="2549" t="s">
        <v>2172</v>
      </c>
      <c r="I244" s="2550"/>
    </row>
    <row r="245" spans="1:9" ht="27" customHeight="1">
      <c r="A245" s="1423"/>
      <c r="B245" s="1423"/>
      <c r="C245" s="1423"/>
      <c r="D245" s="1423"/>
      <c r="E245" s="1423"/>
      <c r="F245" s="1423"/>
      <c r="G245" s="1423"/>
      <c r="H245" s="2371" t="s">
        <v>2210</v>
      </c>
      <c r="I245" s="2372"/>
    </row>
    <row r="246" spans="1:9" ht="27" customHeight="1">
      <c r="A246" s="1423"/>
      <c r="B246" s="1423"/>
      <c r="C246" s="1423"/>
      <c r="D246" s="1423"/>
      <c r="E246" s="1423"/>
      <c r="F246" s="1423"/>
      <c r="G246" s="1423"/>
      <c r="H246" s="2367" t="s">
        <v>1061</v>
      </c>
      <c r="I246" s="2368"/>
    </row>
    <row r="247" spans="1:9" ht="27" customHeight="1">
      <c r="A247" s="1423"/>
      <c r="B247" s="1423"/>
      <c r="C247" s="1423"/>
      <c r="D247" s="1423"/>
      <c r="E247" s="1423"/>
      <c r="F247" s="1423"/>
      <c r="G247" s="1423"/>
      <c r="H247" s="2371" t="s">
        <v>1669</v>
      </c>
      <c r="I247" s="2372"/>
    </row>
    <row r="248" spans="1:9" ht="42" customHeight="1">
      <c r="A248" s="1423"/>
      <c r="B248" s="1423"/>
      <c r="C248" s="1423"/>
      <c r="D248" s="1423"/>
      <c r="E248" s="1423"/>
      <c r="F248" s="1423"/>
      <c r="G248" s="1423"/>
      <c r="H248" s="2371" t="s">
        <v>2219</v>
      </c>
      <c r="I248" s="2372"/>
    </row>
    <row r="249" spans="1:9" ht="21" customHeight="1">
      <c r="A249" s="1423"/>
      <c r="B249" s="1423"/>
      <c r="C249" s="1423"/>
      <c r="D249" s="1423"/>
      <c r="E249" s="1423"/>
      <c r="F249" s="1423"/>
      <c r="G249" s="1423"/>
      <c r="H249" s="2371" t="s">
        <v>2221</v>
      </c>
      <c r="I249" s="2372"/>
    </row>
    <row r="250" spans="1:9" ht="27" customHeight="1">
      <c r="A250" s="1423"/>
      <c r="B250" s="1423"/>
      <c r="C250" s="1423"/>
      <c r="D250" s="1423"/>
      <c r="E250" s="1423"/>
      <c r="F250" s="1423"/>
      <c r="G250" s="1423"/>
      <c r="H250" s="2367" t="s">
        <v>1062</v>
      </c>
      <c r="I250" s="2368"/>
    </row>
    <row r="251" spans="1:9" ht="27" customHeight="1">
      <c r="A251" s="1423"/>
      <c r="B251" s="1423"/>
      <c r="C251" s="1423"/>
      <c r="D251" s="1423"/>
      <c r="E251" s="1423"/>
      <c r="F251" s="1423"/>
      <c r="G251" s="1423"/>
      <c r="H251" s="2371" t="s">
        <v>1682</v>
      </c>
      <c r="I251" s="2372"/>
    </row>
    <row r="252" spans="1:9" ht="27" customHeight="1">
      <c r="A252" s="1423"/>
      <c r="B252" s="1423"/>
      <c r="C252" s="1423"/>
      <c r="D252" s="1423"/>
      <c r="E252" s="1423"/>
      <c r="F252" s="1423"/>
      <c r="G252" s="1423"/>
      <c r="H252" s="2371" t="s">
        <v>1683</v>
      </c>
      <c r="I252" s="2372"/>
    </row>
    <row r="253" spans="1:9" ht="27" customHeight="1">
      <c r="A253" s="1423"/>
      <c r="B253" s="1423"/>
      <c r="C253" s="1423"/>
      <c r="D253" s="1423"/>
      <c r="E253" s="1423"/>
      <c r="F253" s="1423"/>
      <c r="G253" s="1423"/>
      <c r="H253" s="2371" t="s">
        <v>1684</v>
      </c>
      <c r="I253" s="2372"/>
    </row>
    <row r="254" spans="1:9" ht="27" customHeight="1">
      <c r="A254" s="1423"/>
      <c r="B254" s="1423"/>
      <c r="C254" s="1423"/>
      <c r="D254" s="1423"/>
      <c r="E254" s="1423"/>
      <c r="F254" s="1423"/>
      <c r="G254" s="1423"/>
      <c r="H254" s="2367" t="s">
        <v>1204</v>
      </c>
      <c r="I254" s="2368"/>
    </row>
    <row r="255" spans="1:9" ht="27" customHeight="1">
      <c r="A255" s="1423"/>
      <c r="B255" s="1423"/>
      <c r="C255" s="1423"/>
      <c r="D255" s="1423"/>
      <c r="E255" s="1423"/>
      <c r="F255" s="1423"/>
      <c r="G255" s="1423"/>
      <c r="H255" s="2549" t="s">
        <v>2200</v>
      </c>
      <c r="I255" s="2550"/>
    </row>
    <row r="256" spans="1:9" ht="27" customHeight="1">
      <c r="A256" s="1423"/>
      <c r="B256" s="1423"/>
      <c r="C256" s="1423"/>
      <c r="D256" s="1423"/>
      <c r="E256" s="1423"/>
      <c r="F256" s="1423"/>
      <c r="G256" s="1423"/>
      <c r="H256" s="2367" t="s">
        <v>1063</v>
      </c>
      <c r="I256" s="2368"/>
    </row>
    <row r="257" spans="1:9" ht="27" customHeight="1">
      <c r="A257" s="1423"/>
      <c r="B257" s="1423"/>
      <c r="C257" s="1423"/>
      <c r="D257" s="1423"/>
      <c r="E257" s="1423"/>
      <c r="F257" s="1423"/>
      <c r="G257" s="1423"/>
      <c r="H257" s="2367" t="s">
        <v>1064</v>
      </c>
      <c r="I257" s="2368"/>
    </row>
    <row r="258" spans="1:9" ht="27" customHeight="1">
      <c r="A258" s="1423"/>
      <c r="B258" s="1423"/>
      <c r="C258" s="1423"/>
      <c r="D258" s="1423"/>
      <c r="E258" s="1423"/>
      <c r="F258" s="1423"/>
      <c r="G258" s="1423"/>
      <c r="H258" s="2549" t="s">
        <v>2201</v>
      </c>
      <c r="I258" s="2550"/>
    </row>
    <row r="259" spans="1:9" ht="27" customHeight="1">
      <c r="A259" s="1423"/>
      <c r="B259" s="1423"/>
      <c r="C259" s="1423"/>
      <c r="D259" s="1423"/>
      <c r="E259" s="1423"/>
      <c r="F259" s="1423"/>
      <c r="G259" s="1423"/>
      <c r="H259" s="2371" t="s">
        <v>1681</v>
      </c>
      <c r="I259" s="2372"/>
    </row>
    <row r="260" spans="1:9" ht="27" customHeight="1">
      <c r="A260" s="1423"/>
      <c r="B260" s="1423"/>
      <c r="C260" s="1423"/>
      <c r="D260" s="1423"/>
      <c r="E260" s="1423"/>
      <c r="F260" s="1423"/>
      <c r="G260" s="1423"/>
      <c r="H260" s="2371" t="s">
        <v>1701</v>
      </c>
      <c r="I260" s="2372"/>
    </row>
    <row r="261" spans="1:9" ht="27" customHeight="1">
      <c r="A261" s="1423"/>
      <c r="B261" s="1423"/>
      <c r="C261" s="1423"/>
      <c r="D261" s="1423"/>
      <c r="E261" s="1423"/>
      <c r="F261" s="1423"/>
      <c r="G261" s="1423"/>
      <c r="H261" s="2371" t="s">
        <v>1670</v>
      </c>
      <c r="I261" s="2372"/>
    </row>
    <row r="262" spans="1:9" ht="27" customHeight="1">
      <c r="A262" s="1423"/>
      <c r="B262" s="1423"/>
      <c r="C262" s="1423"/>
      <c r="D262" s="1423"/>
      <c r="E262" s="1423"/>
      <c r="F262" s="1423"/>
      <c r="G262" s="1423"/>
      <c r="H262" s="2371" t="s">
        <v>1671</v>
      </c>
      <c r="I262" s="2372"/>
    </row>
    <row r="263" spans="1:9" ht="27" customHeight="1">
      <c r="A263" s="1423"/>
      <c r="B263" s="1423"/>
      <c r="C263" s="1423"/>
      <c r="D263" s="1423"/>
      <c r="E263" s="1423"/>
      <c r="F263" s="1423"/>
      <c r="G263" s="1423"/>
      <c r="H263" s="2373" t="s">
        <v>1065</v>
      </c>
      <c r="I263" s="2374"/>
    </row>
    <row r="264" spans="1:9" ht="27" customHeight="1">
      <c r="A264" s="1423"/>
      <c r="B264" s="1423"/>
      <c r="C264" s="1423"/>
      <c r="D264" s="1423"/>
      <c r="E264" s="1423"/>
      <c r="F264" s="1423"/>
      <c r="G264" s="1423"/>
      <c r="H264" s="2367" t="s">
        <v>1414</v>
      </c>
      <c r="I264" s="2368"/>
    </row>
    <row r="265" spans="1:9" ht="27" customHeight="1">
      <c r="A265" s="1423"/>
      <c r="B265" s="1423"/>
      <c r="C265" s="1423"/>
      <c r="D265" s="1423"/>
      <c r="E265" s="1423"/>
      <c r="F265" s="1423"/>
      <c r="G265" s="1423"/>
      <c r="H265" s="2373" t="s">
        <v>1066</v>
      </c>
      <c r="I265" s="2374"/>
    </row>
    <row r="266" spans="1:9" ht="42" customHeight="1">
      <c r="A266" s="1423"/>
      <c r="B266" s="1423"/>
      <c r="C266" s="1423"/>
      <c r="D266" s="1423"/>
      <c r="E266" s="1423"/>
      <c r="F266" s="1423"/>
      <c r="G266" s="1423"/>
      <c r="H266" s="2373" t="s">
        <v>1022</v>
      </c>
      <c r="I266" s="2374"/>
    </row>
    <row r="267" spans="1:9" ht="27" customHeight="1">
      <c r="A267" s="1423"/>
      <c r="B267" s="1423"/>
      <c r="C267" s="1423"/>
      <c r="D267" s="1423"/>
      <c r="E267" s="1423"/>
      <c r="F267" s="1423"/>
      <c r="G267" s="1423"/>
      <c r="H267" s="2367" t="s">
        <v>2202</v>
      </c>
      <c r="I267" s="2368"/>
    </row>
    <row r="268" spans="1:9" ht="27" customHeight="1">
      <c r="A268" s="1423"/>
      <c r="B268" s="1423"/>
      <c r="C268" s="1423"/>
      <c r="D268" s="1423"/>
      <c r="E268" s="1423"/>
      <c r="F268" s="1423"/>
      <c r="G268" s="1423"/>
      <c r="H268" s="2373" t="s">
        <v>1067</v>
      </c>
      <c r="I268" s="2374"/>
    </row>
    <row r="269" spans="1:9" ht="27" customHeight="1">
      <c r="A269" s="1423"/>
      <c r="B269" s="1423"/>
      <c r="C269" s="1423"/>
      <c r="D269" s="1423"/>
      <c r="E269" s="1423"/>
      <c r="F269" s="1423"/>
      <c r="G269" s="1423"/>
      <c r="H269" s="2371" t="s">
        <v>1685</v>
      </c>
      <c r="I269" s="2372"/>
    </row>
    <row r="270" spans="1:9" ht="42" customHeight="1">
      <c r="A270" s="1423"/>
      <c r="B270" s="1423"/>
      <c r="C270" s="1423"/>
      <c r="D270" s="1423"/>
      <c r="E270" s="1423"/>
      <c r="F270" s="1423"/>
      <c r="G270" s="1423"/>
      <c r="H270" s="2371" t="s">
        <v>1676</v>
      </c>
      <c r="I270" s="2372"/>
    </row>
    <row r="271" spans="1:9" ht="27" customHeight="1">
      <c r="A271" s="1423"/>
      <c r="B271" s="1423"/>
      <c r="C271" s="1423"/>
      <c r="D271" s="1423"/>
      <c r="E271" s="1423"/>
      <c r="F271" s="1423"/>
      <c r="G271" s="1423"/>
      <c r="H271" s="2367" t="s">
        <v>1069</v>
      </c>
      <c r="I271" s="2368"/>
    </row>
    <row r="272" spans="1:9" ht="27" customHeight="1">
      <c r="A272" s="1423"/>
      <c r="B272" s="1423"/>
      <c r="C272" s="1423"/>
      <c r="D272" s="1423"/>
      <c r="E272" s="1423"/>
      <c r="F272" s="1423"/>
      <c r="G272" s="1423"/>
      <c r="H272" s="2549" t="s">
        <v>2203</v>
      </c>
      <c r="I272" s="2550"/>
    </row>
    <row r="273" spans="1:9" ht="27" customHeight="1">
      <c r="A273" s="1423"/>
      <c r="B273" s="1423"/>
      <c r="C273" s="1423"/>
      <c r="D273" s="1423"/>
      <c r="E273" s="1423"/>
      <c r="F273" s="1423"/>
      <c r="G273" s="1423"/>
      <c r="H273" s="2373" t="s">
        <v>1070</v>
      </c>
      <c r="I273" s="2374"/>
    </row>
    <row r="274" spans="1:9" ht="27" customHeight="1">
      <c r="A274" s="1423"/>
      <c r="B274" s="1423"/>
      <c r="C274" s="1423"/>
      <c r="D274" s="1423"/>
      <c r="E274" s="1423"/>
      <c r="F274" s="1423"/>
      <c r="G274" s="1423"/>
      <c r="H274" s="2373" t="s">
        <v>1071</v>
      </c>
      <c r="I274" s="2374"/>
    </row>
    <row r="275" spans="1:9" ht="27" customHeight="1">
      <c r="A275" s="1423"/>
      <c r="B275" s="1423"/>
      <c r="C275" s="1423"/>
      <c r="D275" s="1423"/>
      <c r="E275" s="1423"/>
      <c r="F275" s="1423"/>
      <c r="G275" s="1423"/>
      <c r="H275" s="2367" t="s">
        <v>1072</v>
      </c>
      <c r="I275" s="2368"/>
    </row>
    <row r="276" spans="1:9" ht="42" customHeight="1">
      <c r="A276" s="1423"/>
      <c r="B276" s="1423"/>
      <c r="C276" s="1423"/>
      <c r="D276" s="1423"/>
      <c r="E276" s="1423"/>
      <c r="F276" s="1423"/>
      <c r="G276" s="1423"/>
      <c r="H276" s="2373" t="s">
        <v>1073</v>
      </c>
      <c r="I276" s="2374"/>
    </row>
    <row r="277" spans="1:9" ht="27" customHeight="1">
      <c r="A277" s="1423"/>
      <c r="B277" s="1423"/>
      <c r="C277" s="1423"/>
      <c r="D277" s="1423"/>
      <c r="E277" s="1423"/>
      <c r="F277" s="1423"/>
      <c r="G277" s="1423"/>
      <c r="H277" s="2367" t="s">
        <v>1074</v>
      </c>
      <c r="I277" s="2368"/>
    </row>
    <row r="278" spans="1:9" ht="27" customHeight="1">
      <c r="A278" s="1423"/>
      <c r="B278" s="1423"/>
      <c r="C278" s="1423"/>
      <c r="D278" s="1423"/>
      <c r="E278" s="1423"/>
      <c r="F278" s="1423"/>
      <c r="G278" s="1423"/>
      <c r="H278" s="2549" t="s">
        <v>2204</v>
      </c>
      <c r="I278" s="2550"/>
    </row>
    <row r="279" spans="1:9" ht="27" customHeight="1">
      <c r="H279" s="2371" t="s">
        <v>1697</v>
      </c>
      <c r="I279" s="2372"/>
    </row>
    <row r="280" spans="1:9" ht="27" customHeight="1">
      <c r="H280" s="2373" t="s">
        <v>1039</v>
      </c>
      <c r="I280" s="2374"/>
    </row>
    <row r="281" spans="1:9" ht="27" customHeight="1">
      <c r="H281" s="2367" t="s">
        <v>1002</v>
      </c>
      <c r="I281" s="2368"/>
    </row>
    <row r="282" spans="1:9" ht="27" customHeight="1">
      <c r="H282" s="2367" t="s">
        <v>925</v>
      </c>
      <c r="I282" s="2368"/>
    </row>
    <row r="283" spans="1:9" ht="27" customHeight="1">
      <c r="H283" s="2367" t="s">
        <v>2205</v>
      </c>
      <c r="I283" s="2368"/>
    </row>
    <row r="284" spans="1:9" ht="27" customHeight="1">
      <c r="H284" s="2549" t="s">
        <v>2206</v>
      </c>
      <c r="I284" s="2550"/>
    </row>
    <row r="285" spans="1:9" ht="27" customHeight="1">
      <c r="H285" s="2367" t="s">
        <v>1312</v>
      </c>
      <c r="I285" s="2368"/>
    </row>
    <row r="286" spans="1:9" ht="27" customHeight="1">
      <c r="H286" s="2367" t="s">
        <v>1075</v>
      </c>
      <c r="I286" s="2368"/>
    </row>
    <row r="287" spans="1:9" ht="27" customHeight="1" thickBot="1">
      <c r="H287" s="2696" t="s">
        <v>2207</v>
      </c>
      <c r="I287" s="2697"/>
    </row>
    <row r="288" spans="1:9">
      <c r="H288" s="1386"/>
    </row>
    <row r="292" spans="8:8">
      <c r="H292" s="1386"/>
    </row>
  </sheetData>
  <sheetProtection password="C74A" sheet="1" objects="1" scenarios="1" formatCells="0" formatColumns="0" formatRows="0"/>
  <sortState ref="H222:H276">
    <sortCondition ref="H222:H276"/>
  </sortState>
  <customSheetViews>
    <customSheetView guid="{B8E02330-2419-4DE6-AD01-7ACC7A5D18DD}" scale="73">
      <pageMargins left="0.75" right="0.75" top="1" bottom="1" header="0.5" footer="0.5"/>
      <pageSetup orientation="portrait" r:id="rId1"/>
      <headerFooter alignWithMargins="0"/>
    </customSheetView>
  </customSheetViews>
  <mergeCells count="217">
    <mergeCell ref="H280:I280"/>
    <mergeCell ref="H281:I281"/>
    <mergeCell ref="H282:I282"/>
    <mergeCell ref="H283:I283"/>
    <mergeCell ref="H284:I284"/>
    <mergeCell ref="H285:I285"/>
    <mergeCell ref="H286:I286"/>
    <mergeCell ref="H287:I287"/>
    <mergeCell ref="H223:I223"/>
    <mergeCell ref="H270:I270"/>
    <mergeCell ref="H271:I271"/>
    <mergeCell ref="H272:I272"/>
    <mergeCell ref="H273:I273"/>
    <mergeCell ref="H274:I274"/>
    <mergeCell ref="H275:I275"/>
    <mergeCell ref="H276:I276"/>
    <mergeCell ref="H277:I277"/>
    <mergeCell ref="H279:I279"/>
    <mergeCell ref="H278:I278"/>
    <mergeCell ref="H261:I261"/>
    <mergeCell ref="H262:I262"/>
    <mergeCell ref="H263:I263"/>
    <mergeCell ref="H264:I264"/>
    <mergeCell ref="H265:I265"/>
    <mergeCell ref="H266:I266"/>
    <mergeCell ref="H267:I267"/>
    <mergeCell ref="H268:I268"/>
    <mergeCell ref="H269:I269"/>
    <mergeCell ref="H252:I252"/>
    <mergeCell ref="H254:I254"/>
    <mergeCell ref="H253:I253"/>
    <mergeCell ref="H255:I255"/>
    <mergeCell ref="H256:I256"/>
    <mergeCell ref="H257:I257"/>
    <mergeCell ref="H258:I258"/>
    <mergeCell ref="H259:I259"/>
    <mergeCell ref="H260:I260"/>
    <mergeCell ref="H243:I243"/>
    <mergeCell ref="H244:I244"/>
    <mergeCell ref="H245:I245"/>
    <mergeCell ref="H246:I246"/>
    <mergeCell ref="H247:I247"/>
    <mergeCell ref="H248:I248"/>
    <mergeCell ref="H249:I249"/>
    <mergeCell ref="H250:I250"/>
    <mergeCell ref="H251:I251"/>
    <mergeCell ref="H234:I234"/>
    <mergeCell ref="H235:I235"/>
    <mergeCell ref="H236:I236"/>
    <mergeCell ref="H237:I237"/>
    <mergeCell ref="H238:I238"/>
    <mergeCell ref="H240:I240"/>
    <mergeCell ref="H239:I239"/>
    <mergeCell ref="H241:I241"/>
    <mergeCell ref="H242:I242"/>
    <mergeCell ref="H225:I225"/>
    <mergeCell ref="H226:I226"/>
    <mergeCell ref="H227:I227"/>
    <mergeCell ref="H228:I228"/>
    <mergeCell ref="H229:I229"/>
    <mergeCell ref="H230:I230"/>
    <mergeCell ref="H231:I231"/>
    <mergeCell ref="H232:I232"/>
    <mergeCell ref="H233:I233"/>
    <mergeCell ref="H219:I219"/>
    <mergeCell ref="H220:I220"/>
    <mergeCell ref="H222:I222"/>
    <mergeCell ref="H224:I224"/>
    <mergeCell ref="I158:I161"/>
    <mergeCell ref="I162:I165"/>
    <mergeCell ref="I166:I171"/>
    <mergeCell ref="I172:I174"/>
    <mergeCell ref="I175:I181"/>
    <mergeCell ref="I182:I186"/>
    <mergeCell ref="I187:I193"/>
    <mergeCell ref="I194:I198"/>
    <mergeCell ref="I108:I112"/>
    <mergeCell ref="I113:I119"/>
    <mergeCell ref="I120:I125"/>
    <mergeCell ref="I126:I130"/>
    <mergeCell ref="I131:I136"/>
    <mergeCell ref="I137:I143"/>
    <mergeCell ref="I144:I147"/>
    <mergeCell ref="I149:I152"/>
    <mergeCell ref="I153:I157"/>
    <mergeCell ref="I62:I66"/>
    <mergeCell ref="I69:I73"/>
    <mergeCell ref="I74:I76"/>
    <mergeCell ref="I77:I82"/>
    <mergeCell ref="I83:I88"/>
    <mergeCell ref="I89:I92"/>
    <mergeCell ref="I93:I98"/>
    <mergeCell ref="I99:I101"/>
    <mergeCell ref="I102:I107"/>
    <mergeCell ref="E1:I1"/>
    <mergeCell ref="I3:I9"/>
    <mergeCell ref="I10:I17"/>
    <mergeCell ref="I18:I25"/>
    <mergeCell ref="I26:I31"/>
    <mergeCell ref="I32:I37"/>
    <mergeCell ref="I38:I44"/>
    <mergeCell ref="I45:I52"/>
    <mergeCell ref="I54:I60"/>
    <mergeCell ref="H18:H25"/>
    <mergeCell ref="C220:E220"/>
    <mergeCell ref="D214:F214"/>
    <mergeCell ref="D215:F215"/>
    <mergeCell ref="D216:F216"/>
    <mergeCell ref="D217:F217"/>
    <mergeCell ref="C219:E219"/>
    <mergeCell ref="D212:F212"/>
    <mergeCell ref="D213:F213"/>
    <mergeCell ref="A175:A181"/>
    <mergeCell ref="B175:B181"/>
    <mergeCell ref="A219:B220"/>
    <mergeCell ref="A187:A193"/>
    <mergeCell ref="A194:A198"/>
    <mergeCell ref="A26:A31"/>
    <mergeCell ref="B83:B88"/>
    <mergeCell ref="H3:H9"/>
    <mergeCell ref="H162:H165"/>
    <mergeCell ref="H126:H130"/>
    <mergeCell ref="H144:H147"/>
    <mergeCell ref="B131:B136"/>
    <mergeCell ref="A137:A143"/>
    <mergeCell ref="A69:A73"/>
    <mergeCell ref="H120:H125"/>
    <mergeCell ref="H38:H44"/>
    <mergeCell ref="H102:H107"/>
    <mergeCell ref="H69:H73"/>
    <mergeCell ref="H77:H82"/>
    <mergeCell ref="A108:A112"/>
    <mergeCell ref="A99:A101"/>
    <mergeCell ref="B89:B92"/>
    <mergeCell ref="A77:A82"/>
    <mergeCell ref="A89:A92"/>
    <mergeCell ref="B3:B9"/>
    <mergeCell ref="H26:H31"/>
    <mergeCell ref="B74:B76"/>
    <mergeCell ref="H74:H76"/>
    <mergeCell ref="H99:H101"/>
    <mergeCell ref="A1:B1"/>
    <mergeCell ref="B120:B125"/>
    <mergeCell ref="B113:B119"/>
    <mergeCell ref="A113:A119"/>
    <mergeCell ref="A120:A125"/>
    <mergeCell ref="B62:B66"/>
    <mergeCell ref="A32:A37"/>
    <mergeCell ref="A38:A44"/>
    <mergeCell ref="A10:A17"/>
    <mergeCell ref="A18:A25"/>
    <mergeCell ref="A3:A9"/>
    <mergeCell ref="B69:B73"/>
    <mergeCell ref="B102:B107"/>
    <mergeCell ref="A45:A52"/>
    <mergeCell ref="A54:A60"/>
    <mergeCell ref="B10:B17"/>
    <mergeCell ref="B99:B101"/>
    <mergeCell ref="B38:B44"/>
    <mergeCell ref="B18:B25"/>
    <mergeCell ref="B108:B112"/>
    <mergeCell ref="B77:B82"/>
    <mergeCell ref="A62:A66"/>
    <mergeCell ref="A93:A98"/>
    <mergeCell ref="A74:A76"/>
    <mergeCell ref="B93:B98"/>
    <mergeCell ref="H83:H88"/>
    <mergeCell ref="H89:H92"/>
    <mergeCell ref="B54:B60"/>
    <mergeCell ref="H54:H60"/>
    <mergeCell ref="B26:B31"/>
    <mergeCell ref="H62:H66"/>
    <mergeCell ref="H10:H17"/>
    <mergeCell ref="H32:H37"/>
    <mergeCell ref="B45:B52"/>
    <mergeCell ref="H45:H52"/>
    <mergeCell ref="B32:B37"/>
    <mergeCell ref="A166:A171"/>
    <mergeCell ref="A158:A161"/>
    <mergeCell ref="A172:A174"/>
    <mergeCell ref="A162:A165"/>
    <mergeCell ref="H182:H186"/>
    <mergeCell ref="B182:B186"/>
    <mergeCell ref="A182:A186"/>
    <mergeCell ref="H149:H152"/>
    <mergeCell ref="H153:H157"/>
    <mergeCell ref="H166:H171"/>
    <mergeCell ref="H172:H174"/>
    <mergeCell ref="B166:B171"/>
    <mergeCell ref="B149:B152"/>
    <mergeCell ref="B153:B157"/>
    <mergeCell ref="A153:A157"/>
    <mergeCell ref="A149:A152"/>
    <mergeCell ref="B126:B130"/>
    <mergeCell ref="D211:H211"/>
    <mergeCell ref="D218:H218"/>
    <mergeCell ref="B158:B161"/>
    <mergeCell ref="H158:H161"/>
    <mergeCell ref="A126:A130"/>
    <mergeCell ref="A131:A136"/>
    <mergeCell ref="A83:A88"/>
    <mergeCell ref="B144:B147"/>
    <mergeCell ref="A102:A107"/>
    <mergeCell ref="H113:H119"/>
    <mergeCell ref="B137:B143"/>
    <mergeCell ref="H131:H136"/>
    <mergeCell ref="H137:H143"/>
    <mergeCell ref="H108:H112"/>
    <mergeCell ref="H93:H98"/>
    <mergeCell ref="A144:A147"/>
    <mergeCell ref="H187:H193"/>
    <mergeCell ref="H175:H181"/>
    <mergeCell ref="H194:H198"/>
    <mergeCell ref="B172:B174"/>
    <mergeCell ref="B187:B193"/>
    <mergeCell ref="B194:B198"/>
    <mergeCell ref="B162:B165"/>
  </mergeCells>
  <phoneticPr fontId="2" type="noConversion"/>
  <pageMargins left="0.75" right="0.75" top="1" bottom="1" header="0.5" footer="0.5"/>
  <pageSetup orientation="portrait" r:id="rId2"/>
  <headerFooter alignWithMargins="0"/>
  <ignoredErrors>
    <ignoredError sqref="G68:G69 G74" formulaRange="1"/>
  </ignoredErrors>
</worksheet>
</file>

<file path=xl/worksheets/sheet23.xml><?xml version="1.0" encoding="utf-8"?>
<worksheet xmlns="http://schemas.openxmlformats.org/spreadsheetml/2006/main" xmlns:r="http://schemas.openxmlformats.org/officeDocument/2006/relationships">
  <sheetPr codeName="Sheet26"/>
  <dimension ref="A1:I59"/>
  <sheetViews>
    <sheetView zoomScaleNormal="100" workbookViewId="0">
      <selection sqref="A1:B1"/>
    </sheetView>
  </sheetViews>
  <sheetFormatPr defaultColWidth="9.33203125" defaultRowHeight="13.8"/>
  <cols>
    <col min="1" max="1" width="5.77734375" style="95" customWidth="1"/>
    <col min="2" max="2" width="18.77734375" style="1" customWidth="1"/>
    <col min="3" max="3" width="69.77734375" style="1" customWidth="1"/>
    <col min="4" max="6" width="6.77734375" style="717" customWidth="1"/>
    <col min="7" max="7" width="9.77734375" style="648" customWidth="1"/>
    <col min="8" max="8" width="69.77734375" style="1" customWidth="1"/>
    <col min="9" max="9" width="11.77734375" style="7" customWidth="1"/>
    <col min="10" max="10" width="10.33203125" style="1" bestFit="1" customWidth="1"/>
    <col min="11" max="16384" width="9.33203125" style="1"/>
  </cols>
  <sheetData>
    <row r="1" spans="1:9" s="134" customFormat="1" ht="108" customHeight="1" thickBot="1">
      <c r="A1" s="2354" t="s">
        <v>1764</v>
      </c>
      <c r="B1" s="2892"/>
      <c r="C1" s="126" t="s">
        <v>1852</v>
      </c>
      <c r="D1" s="943" t="s">
        <v>1259</v>
      </c>
      <c r="E1" s="2890"/>
      <c r="F1" s="2891"/>
      <c r="G1" s="2891"/>
      <c r="H1" s="2891"/>
      <c r="I1" s="2891"/>
    </row>
    <row r="2" spans="1:9" s="1855" customFormat="1" ht="36" customHeight="1" thickBot="1">
      <c r="A2" s="1582" t="s">
        <v>168</v>
      </c>
      <c r="B2" s="1582" t="s">
        <v>1117</v>
      </c>
      <c r="C2" s="1584" t="s">
        <v>1354</v>
      </c>
      <c r="D2" s="1583" t="s">
        <v>64</v>
      </c>
      <c r="E2" s="1746" t="s">
        <v>1383</v>
      </c>
      <c r="F2" s="1706" t="s">
        <v>1384</v>
      </c>
      <c r="G2" s="1747" t="s">
        <v>1293</v>
      </c>
      <c r="H2" s="1582" t="s">
        <v>1294</v>
      </c>
      <c r="I2" s="1582" t="s">
        <v>2622</v>
      </c>
    </row>
    <row r="3" spans="1:9" ht="30" customHeight="1" thickBot="1">
      <c r="A3" s="2181" t="str">
        <f>OF!A45</f>
        <v>OF9</v>
      </c>
      <c r="B3" s="2212" t="str">
        <f>OF!B45</f>
        <v>Distance by Road to Nearest Population Center</v>
      </c>
      <c r="C3" s="439" t="str">
        <f>OF!C45</f>
        <v>Measured along the maintained road nearest the AA, the distance to the nearest population center is:</v>
      </c>
      <c r="D3" s="232"/>
      <c r="E3" s="232"/>
      <c r="F3" s="233"/>
      <c r="G3" s="527">
        <f>MAX(F4:F8)/MAX(E4:E8)</f>
        <v>0</v>
      </c>
      <c r="H3" s="2212" t="s">
        <v>1416</v>
      </c>
      <c r="I3" s="2212" t="s">
        <v>648</v>
      </c>
    </row>
    <row r="4" spans="1:9" ht="15" customHeight="1">
      <c r="A4" s="2180"/>
      <c r="B4" s="2213"/>
      <c r="C4" s="440" t="str">
        <f>OF!C46</f>
        <v>&lt;100 m</v>
      </c>
      <c r="D4" s="255">
        <f>OF!D46</f>
        <v>0</v>
      </c>
      <c r="E4" s="80">
        <v>5</v>
      </c>
      <c r="F4" s="80">
        <f t="shared" ref="F4:F21" si="0">D4*E4</f>
        <v>0</v>
      </c>
      <c r="G4" s="643"/>
      <c r="H4" s="2213"/>
      <c r="I4" s="2213"/>
    </row>
    <row r="5" spans="1:9" ht="15" customHeight="1">
      <c r="A5" s="2180"/>
      <c r="B5" s="2213"/>
      <c r="C5" s="714" t="str">
        <f>OF!C47</f>
        <v>100 - 500 m</v>
      </c>
      <c r="D5" s="78">
        <f>OF!D47</f>
        <v>0</v>
      </c>
      <c r="E5" s="80">
        <v>3</v>
      </c>
      <c r="F5" s="80">
        <f t="shared" si="0"/>
        <v>0</v>
      </c>
      <c r="G5" s="639"/>
      <c r="H5" s="2213"/>
      <c r="I5" s="2213"/>
    </row>
    <row r="6" spans="1:9" ht="15" customHeight="1">
      <c r="A6" s="2180"/>
      <c r="B6" s="2213"/>
      <c r="C6" s="714" t="str">
        <f>OF!C48</f>
        <v>0.5- 1 km</v>
      </c>
      <c r="D6" s="78">
        <f>OF!D48</f>
        <v>0</v>
      </c>
      <c r="E6" s="80">
        <v>2</v>
      </c>
      <c r="F6" s="80">
        <f t="shared" si="0"/>
        <v>0</v>
      </c>
      <c r="G6" s="639"/>
      <c r="H6" s="2213"/>
      <c r="I6" s="2213"/>
    </row>
    <row r="7" spans="1:9" ht="15" customHeight="1">
      <c r="A7" s="2180"/>
      <c r="B7" s="2213"/>
      <c r="C7" s="714" t="str">
        <f>OF!C49</f>
        <v>1 - 5 km</v>
      </c>
      <c r="D7" s="78">
        <f>OF!D49</f>
        <v>0</v>
      </c>
      <c r="E7" s="80">
        <v>1</v>
      </c>
      <c r="F7" s="80">
        <f t="shared" si="0"/>
        <v>0</v>
      </c>
      <c r="G7" s="639"/>
      <c r="H7" s="2213"/>
      <c r="I7" s="2213"/>
    </row>
    <row r="8" spans="1:9" ht="15" customHeight="1" thickBot="1">
      <c r="A8" s="2187"/>
      <c r="B8" s="2377"/>
      <c r="C8" s="441" t="str">
        <f>OF!C50</f>
        <v>&gt;5 km</v>
      </c>
      <c r="D8" s="193">
        <f>OF!D50</f>
        <v>0</v>
      </c>
      <c r="E8" s="234">
        <v>0</v>
      </c>
      <c r="F8" s="234">
        <f t="shared" si="0"/>
        <v>0</v>
      </c>
      <c r="G8" s="631"/>
      <c r="H8" s="2377"/>
      <c r="I8" s="2377"/>
    </row>
    <row r="9" spans="1:9" ht="21" customHeight="1" thickBot="1">
      <c r="A9" s="2388" t="str">
        <f>OF!A51</f>
        <v>OF10</v>
      </c>
      <c r="B9" s="2213" t="str">
        <f>OF!B51</f>
        <v>Distance to Nearest Maintained Road</v>
      </c>
      <c r="C9" s="721" t="str">
        <f>OF!C51</f>
        <v>From the center of the AA, the distance to the nearest maintained public road (dirt or paved) is:</v>
      </c>
      <c r="D9" s="232"/>
      <c r="E9" s="83"/>
      <c r="F9" s="106"/>
      <c r="G9" s="542">
        <f>MAX(F10:F15)/MAX(E10:E15)</f>
        <v>0</v>
      </c>
      <c r="H9" s="2213" t="s">
        <v>1150</v>
      </c>
      <c r="I9" s="2212" t="s">
        <v>1151</v>
      </c>
    </row>
    <row r="10" spans="1:9" ht="15" customHeight="1">
      <c r="A10" s="2388"/>
      <c r="B10" s="2213"/>
      <c r="C10" s="445" t="str">
        <f>OF!C52</f>
        <v>&lt;10 m</v>
      </c>
      <c r="D10" s="255">
        <f>OF!D52</f>
        <v>0</v>
      </c>
      <c r="E10" s="80">
        <v>8</v>
      </c>
      <c r="F10" s="79">
        <f t="shared" si="0"/>
        <v>0</v>
      </c>
      <c r="G10" s="630"/>
      <c r="H10" s="2213"/>
      <c r="I10" s="2213"/>
    </row>
    <row r="11" spans="1:9" ht="15" customHeight="1">
      <c r="A11" s="2388"/>
      <c r="B11" s="2213"/>
      <c r="C11" s="446" t="str">
        <f>OF!C53</f>
        <v>10 - 25 m</v>
      </c>
      <c r="D11" s="78">
        <f>OF!D53</f>
        <v>0</v>
      </c>
      <c r="E11" s="80">
        <v>5</v>
      </c>
      <c r="F11" s="79">
        <f t="shared" si="0"/>
        <v>0</v>
      </c>
      <c r="G11" s="630"/>
      <c r="H11" s="2213"/>
      <c r="I11" s="2213"/>
    </row>
    <row r="12" spans="1:9" ht="15" customHeight="1">
      <c r="A12" s="2388"/>
      <c r="B12" s="2213"/>
      <c r="C12" s="446" t="str">
        <f>OF!C54</f>
        <v>25 - 50 m</v>
      </c>
      <c r="D12" s="78">
        <f>OF!D54</f>
        <v>0</v>
      </c>
      <c r="E12" s="80">
        <v>4</v>
      </c>
      <c r="F12" s="79">
        <f t="shared" si="0"/>
        <v>0</v>
      </c>
      <c r="G12" s="630"/>
      <c r="H12" s="2213"/>
      <c r="I12" s="2213"/>
    </row>
    <row r="13" spans="1:9" ht="15" customHeight="1">
      <c r="A13" s="2388"/>
      <c r="B13" s="2213"/>
      <c r="C13" s="446" t="str">
        <f>OF!C55</f>
        <v>50 - 100 m</v>
      </c>
      <c r="D13" s="78">
        <f>OF!D55</f>
        <v>0</v>
      </c>
      <c r="E13" s="80">
        <v>3</v>
      </c>
      <c r="F13" s="79">
        <f t="shared" si="0"/>
        <v>0</v>
      </c>
      <c r="G13" s="630"/>
      <c r="H13" s="2213"/>
      <c r="I13" s="2213"/>
    </row>
    <row r="14" spans="1:9" ht="15" customHeight="1">
      <c r="A14" s="2388"/>
      <c r="B14" s="2213"/>
      <c r="C14" s="446" t="str">
        <f>OF!C56</f>
        <v>100 - 500 m</v>
      </c>
      <c r="D14" s="78">
        <f>OF!D56</f>
        <v>0</v>
      </c>
      <c r="E14" s="80">
        <v>2</v>
      </c>
      <c r="F14" s="79">
        <f t="shared" si="0"/>
        <v>0</v>
      </c>
      <c r="G14" s="630"/>
      <c r="H14" s="2213"/>
      <c r="I14" s="2213"/>
    </row>
    <row r="15" spans="1:9" ht="15" customHeight="1" thickBot="1">
      <c r="A15" s="2388"/>
      <c r="B15" s="2213"/>
      <c r="C15" s="657" t="str">
        <f>OF!C57</f>
        <v>&gt;500 m</v>
      </c>
      <c r="D15" s="654">
        <f>OF!D57</f>
        <v>0</v>
      </c>
      <c r="E15" s="79">
        <v>1</v>
      </c>
      <c r="F15" s="79">
        <f t="shared" si="0"/>
        <v>0</v>
      </c>
      <c r="G15" s="639"/>
      <c r="H15" s="2213"/>
      <c r="I15" s="2377"/>
    </row>
    <row r="16" spans="1:9" ht="21" customHeight="1" thickBot="1">
      <c r="A16" s="2421" t="str">
        <f>OF!A74</f>
        <v>OF14</v>
      </c>
      <c r="B16" s="2209" t="str">
        <f>OF!B74</f>
        <v>Tidal Proximity</v>
      </c>
      <c r="C16" s="439" t="str">
        <f>OF!C74</f>
        <v>The distance from the AA edge to the closest tidal water body (regardless of its salinity) is:</v>
      </c>
      <c r="D16" s="232"/>
      <c r="E16" s="232"/>
      <c r="F16" s="235"/>
      <c r="G16" s="527">
        <f>MAX(F17:F21)/MAX(E17:E21)</f>
        <v>0</v>
      </c>
      <c r="H16" s="2212" t="s">
        <v>2246</v>
      </c>
      <c r="I16" s="2212" t="s">
        <v>649</v>
      </c>
    </row>
    <row r="17" spans="1:9" ht="15" customHeight="1">
      <c r="A17" s="2422"/>
      <c r="B17" s="2208"/>
      <c r="C17" s="440" t="str">
        <f>OF!C75</f>
        <v>&lt;100 m</v>
      </c>
      <c r="D17" s="255">
        <f>OF!D75</f>
        <v>0</v>
      </c>
      <c r="E17" s="80">
        <v>6</v>
      </c>
      <c r="F17" s="80">
        <f t="shared" si="0"/>
        <v>0</v>
      </c>
      <c r="G17" s="629"/>
      <c r="H17" s="2213"/>
      <c r="I17" s="2213"/>
    </row>
    <row r="18" spans="1:9" ht="15" customHeight="1">
      <c r="A18" s="2422"/>
      <c r="B18" s="2208"/>
      <c r="C18" s="714" t="str">
        <f>OF!C76</f>
        <v>100 m - 1 km</v>
      </c>
      <c r="D18" s="78">
        <f>OF!D76</f>
        <v>0</v>
      </c>
      <c r="E18" s="80">
        <v>4</v>
      </c>
      <c r="F18" s="80">
        <f t="shared" si="0"/>
        <v>0</v>
      </c>
      <c r="G18" s="630"/>
      <c r="H18" s="2213"/>
      <c r="I18" s="2213"/>
    </row>
    <row r="19" spans="1:9" ht="15" customHeight="1">
      <c r="A19" s="2422"/>
      <c r="B19" s="2208"/>
      <c r="C19" s="714" t="str">
        <f>OF!C77</f>
        <v>1 - 5 km</v>
      </c>
      <c r="D19" s="78">
        <f>OF!D77</f>
        <v>0</v>
      </c>
      <c r="E19" s="80">
        <v>3</v>
      </c>
      <c r="F19" s="80">
        <f t="shared" si="0"/>
        <v>0</v>
      </c>
      <c r="G19" s="630"/>
      <c r="H19" s="2213"/>
      <c r="I19" s="2213"/>
    </row>
    <row r="20" spans="1:9" ht="15" customHeight="1">
      <c r="A20" s="2422"/>
      <c r="B20" s="2208"/>
      <c r="C20" s="714" t="str">
        <f>OF!C79</f>
        <v>10-40 km</v>
      </c>
      <c r="D20" s="78">
        <f>OF!D79</f>
        <v>0</v>
      </c>
      <c r="E20" s="80">
        <v>2</v>
      </c>
      <c r="F20" s="80">
        <f t="shared" si="0"/>
        <v>0</v>
      </c>
      <c r="G20" s="630"/>
      <c r="H20" s="2213"/>
      <c r="I20" s="2213"/>
    </row>
    <row r="21" spans="1:9" ht="15" customHeight="1" thickBot="1">
      <c r="A21" s="2423"/>
      <c r="B21" s="2210"/>
      <c r="C21" s="441" t="str">
        <f>OF!C80</f>
        <v>&gt;40 km</v>
      </c>
      <c r="D21" s="193">
        <f>OF!D80</f>
        <v>0</v>
      </c>
      <c r="E21" s="234">
        <v>0</v>
      </c>
      <c r="F21" s="234">
        <f t="shared" si="0"/>
        <v>0</v>
      </c>
      <c r="G21" s="631"/>
      <c r="H21" s="2377"/>
      <c r="I21" s="2377"/>
    </row>
    <row r="22" spans="1:9" ht="76.2" customHeight="1" thickBot="1">
      <c r="A22" s="1927" t="str">
        <f>OF!A150</f>
        <v>OF34</v>
      </c>
      <c r="B22" s="123" t="str">
        <f>OF!B150</f>
        <v>Other Conservation Designation</v>
      </c>
      <c r="C22" s="188" t="str">
        <f>OF!C150</f>
        <v>The AA is all or part of an area designated by the provincial government for its exceptional ecological features or highly intact natural conditions.  Enter: yes= 1, no= 0.  In NB: Provincially Significant Wetland, Environmentally Significant Area, Protected Natural Area (go to http://www.snb.ca/geonb1/e/apps/apps-E.asp and see Candidate PNA Map Viewer)  In NS: go to https://nsgi.novascotia.ca/plv/  and view Protected Areas).</v>
      </c>
      <c r="D22" s="1938">
        <f>OF!D150</f>
        <v>0</v>
      </c>
      <c r="E22" s="237"/>
      <c r="F22" s="238"/>
      <c r="G22" s="527">
        <f>IF((D22=""),"",D22)</f>
        <v>0</v>
      </c>
      <c r="H22" s="164" t="s">
        <v>2867</v>
      </c>
      <c r="I22" s="164" t="s">
        <v>2866</v>
      </c>
    </row>
    <row r="23" spans="1:9" ht="45" customHeight="1" thickBot="1">
      <c r="A23" s="715" t="str">
        <f>OF!A151</f>
        <v>OF35</v>
      </c>
      <c r="B23" s="1224" t="str">
        <f>OF!B151</f>
        <v>Conservation Investment</v>
      </c>
      <c r="C23" s="490" t="str">
        <f>OF!C151</f>
        <v>The AA is part of or contiguous to a wetland on which public or private organizational funds were spent to preserve, create, restore, or enhance the wetland (excluding mitigation wetlands). Enter: yes= 1, no= 0. If no information, change to blank.</v>
      </c>
      <c r="D23" s="654">
        <f>IF((OF!D151=""),"",OF!D151)</f>
        <v>0</v>
      </c>
      <c r="E23" s="239"/>
      <c r="F23" s="240"/>
      <c r="G23" s="942">
        <f>IF((D23=""),"",D23)</f>
        <v>0</v>
      </c>
      <c r="H23" s="165" t="s">
        <v>608</v>
      </c>
      <c r="I23" s="1922" t="s">
        <v>651</v>
      </c>
    </row>
    <row r="24" spans="1:9" ht="30" customHeight="1" thickBot="1">
      <c r="A24" s="489" t="str">
        <f>OF!A152</f>
        <v>OF36</v>
      </c>
      <c r="B24" s="123" t="str">
        <f>OF!B152</f>
        <v>Mitigation Investment</v>
      </c>
      <c r="C24" s="188" t="str">
        <f>OF!C152</f>
        <v>The AA is all or part of a mitigation site used explicitly to offset impacts elsewhere. Enter: yes= 1, no= 0. If no information, change to blank.</v>
      </c>
      <c r="D24" s="236">
        <f>IF((OF!D152=""),"",OF!D152)</f>
        <v>0</v>
      </c>
      <c r="E24" s="237" t="s">
        <v>1050</v>
      </c>
      <c r="F24" s="238"/>
      <c r="G24" s="527">
        <f>IF((D24=""),"",D24)</f>
        <v>0</v>
      </c>
      <c r="H24" s="123" t="s">
        <v>607</v>
      </c>
      <c r="I24" s="123" t="s">
        <v>650</v>
      </c>
    </row>
    <row r="25" spans="1:9" ht="60" customHeight="1" thickBot="1">
      <c r="A25" s="719" t="str">
        <f>OF!A153</f>
        <v>OF37</v>
      </c>
      <c r="B25" s="1225" t="str">
        <f>OF!B153</f>
        <v>Sustained Scientific Use</v>
      </c>
      <c r="C25" s="945" t="str">
        <f>OF!C153</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Enter: yes= 1, no= 0. If no information, change to blank.</v>
      </c>
      <c r="D25" s="944">
        <f>IF((OF!D153=""),"",OF!D153)</f>
        <v>0</v>
      </c>
      <c r="E25" s="946"/>
      <c r="F25" s="947"/>
      <c r="G25" s="948">
        <f>IF((D25=""),"",D25)</f>
        <v>0</v>
      </c>
      <c r="H25" s="718" t="s">
        <v>606</v>
      </c>
      <c r="I25" s="123" t="s">
        <v>652</v>
      </c>
    </row>
    <row r="26" spans="1:9" ht="30" customHeight="1" thickBot="1">
      <c r="A26" s="339" t="str">
        <f>F!A114</f>
        <v>F23</v>
      </c>
      <c r="B26" s="241" t="str">
        <f>F!B114</f>
        <v>Lacustrine Wetland</v>
      </c>
      <c r="C26" s="729" t="str">
        <f>F!C114</f>
        <v>The vegetated part of the AA borders a lake, i.e., a body of non-tidal standing open water whose size exceeds 8 hectares during most of a normal year.</v>
      </c>
      <c r="D26" s="244">
        <f>F!D114</f>
        <v>0</v>
      </c>
      <c r="E26" s="237"/>
      <c r="F26" s="238"/>
      <c r="G26" s="527" t="str">
        <f>IF((D26=1),1,"")</f>
        <v/>
      </c>
      <c r="H26" s="1450" t="s">
        <v>1346</v>
      </c>
      <c r="I26" s="123" t="s">
        <v>1347</v>
      </c>
    </row>
    <row r="27" spans="1:9" ht="45" customHeight="1" thickBot="1">
      <c r="A27" s="2181" t="str">
        <f>F!A267</f>
        <v>F58</v>
      </c>
      <c r="B27" s="2212" t="str">
        <f>F!B267</f>
        <v>Visibility</v>
      </c>
      <c r="C27" s="123" t="str">
        <f>F!C267</f>
        <v>The maximum percentage of the wetland that is visible from the best vantage point on public roads, public parking lots, public buildings, or public maintained trails that intersect, adjoin, or are within 100 m of the AA (select one) is:</v>
      </c>
      <c r="D27" s="946"/>
      <c r="E27" s="232"/>
      <c r="F27" s="233"/>
      <c r="G27" s="748">
        <f>MAX(F28:F30)/MAX(E28:E30)</f>
        <v>0</v>
      </c>
      <c r="H27" s="2208" t="s">
        <v>603</v>
      </c>
      <c r="I27" s="2212" t="s">
        <v>588</v>
      </c>
    </row>
    <row r="28" spans="1:9" ht="15" customHeight="1">
      <c r="A28" s="2180"/>
      <c r="B28" s="2213"/>
      <c r="C28" s="440" t="str">
        <f>F!C268</f>
        <v>&lt;25%</v>
      </c>
      <c r="D28" s="78">
        <f>F!D268</f>
        <v>0</v>
      </c>
      <c r="E28" s="766">
        <v>0</v>
      </c>
      <c r="F28" s="80">
        <f>D28*E28</f>
        <v>0</v>
      </c>
      <c r="G28" s="763"/>
      <c r="H28" s="2208"/>
      <c r="I28" s="2213"/>
    </row>
    <row r="29" spans="1:9" ht="15" customHeight="1">
      <c r="A29" s="2180"/>
      <c r="B29" s="2213"/>
      <c r="C29" s="1077" t="str">
        <f>F!C269</f>
        <v>25-50%</v>
      </c>
      <c r="D29" s="78">
        <f>F!D269</f>
        <v>0</v>
      </c>
      <c r="E29" s="766">
        <v>1</v>
      </c>
      <c r="F29" s="80">
        <f t="shared" ref="F29:F35" si="1">D29*E29</f>
        <v>0</v>
      </c>
      <c r="G29" s="764"/>
      <c r="H29" s="2208"/>
      <c r="I29" s="2213"/>
    </row>
    <row r="30" spans="1:9" ht="15" customHeight="1" thickBot="1">
      <c r="A30" s="2187"/>
      <c r="B30" s="2377"/>
      <c r="C30" s="441" t="str">
        <f>F!C270</f>
        <v>&gt;50%</v>
      </c>
      <c r="D30" s="193">
        <f>F!D270</f>
        <v>0</v>
      </c>
      <c r="E30" s="1083">
        <v>2</v>
      </c>
      <c r="F30" s="234">
        <f t="shared" si="1"/>
        <v>0</v>
      </c>
      <c r="G30" s="765"/>
      <c r="H30" s="2208"/>
      <c r="I30" s="2377"/>
    </row>
    <row r="31" spans="1:9" ht="21" customHeight="1" thickBot="1">
      <c r="A31" s="2181" t="str">
        <f>F!A271</f>
        <v>F59</v>
      </c>
      <c r="B31" s="2212" t="str">
        <f>F!B271</f>
        <v xml:space="preserve">Ownership </v>
      </c>
      <c r="C31" s="123" t="str">
        <f>F!C271</f>
        <v>Most of the AA (the wetland's assessment area) is:</v>
      </c>
      <c r="D31" s="946"/>
      <c r="E31" s="946"/>
      <c r="F31" s="233"/>
      <c r="G31" s="748">
        <f>MAX(F32:F35)/MAX(E32:E35)</f>
        <v>0</v>
      </c>
      <c r="H31" s="2209" t="s">
        <v>604</v>
      </c>
      <c r="I31" s="2212" t="s">
        <v>562</v>
      </c>
    </row>
    <row r="32" spans="1:9" ht="27" customHeight="1">
      <c r="A32" s="2180"/>
      <c r="B32" s="2213"/>
      <c r="C32" s="440" t="str">
        <f>F!C272</f>
        <v>publicly owned conservation lands that exclude new timber harvest, roads, mineral extraction, and intensive summer recreation (e.g., off-road vehicles). Includes most Protected Lands.</v>
      </c>
      <c r="D32" s="78">
        <f>F!D272</f>
        <v>0</v>
      </c>
      <c r="E32" s="80">
        <v>4</v>
      </c>
      <c r="F32" s="80">
        <f t="shared" si="1"/>
        <v>0</v>
      </c>
      <c r="G32" s="763"/>
      <c r="H32" s="2208"/>
      <c r="I32" s="2213"/>
    </row>
    <row r="33" spans="1:9" ht="27" customHeight="1">
      <c r="A33" s="2180"/>
      <c r="B33" s="2213"/>
      <c r="C33" s="1077" t="str">
        <f>F!C273</f>
        <v>publicly owned resource use lands (allowed activities such as timber harvest, mining, or intensive recreation), or unknown. Includes most Crown Reservations/Notations.</v>
      </c>
      <c r="D33" s="78">
        <f>F!D273</f>
        <v>0</v>
      </c>
      <c r="E33" s="80">
        <v>2</v>
      </c>
      <c r="F33" s="80">
        <f t="shared" si="1"/>
        <v>0</v>
      </c>
      <c r="G33" s="764"/>
      <c r="H33" s="2208"/>
      <c r="I33" s="2213"/>
    </row>
    <row r="34" spans="1:9" ht="27" customHeight="1">
      <c r="A34" s="2180"/>
      <c r="B34" s="2213"/>
      <c r="C34" s="1077" t="str">
        <f>F!C274</f>
        <v>Owned by non-profit conservation organization, First Nations, or a private lease holder which allows public access.</v>
      </c>
      <c r="D34" s="78">
        <f>F!D274</f>
        <v>0</v>
      </c>
      <c r="E34" s="80">
        <v>2</v>
      </c>
      <c r="F34" s="80">
        <f t="shared" si="1"/>
        <v>0</v>
      </c>
      <c r="G34" s="1084"/>
      <c r="H34" s="2208"/>
      <c r="I34" s="2213"/>
    </row>
    <row r="35" spans="1:9" ht="27" customHeight="1" thickBot="1">
      <c r="A35" s="2187"/>
      <c r="B35" s="2377"/>
      <c r="C35" s="441" t="str">
        <f>F!C275</f>
        <v>Owned by non-profit conservation organization, First Nations, or a private lease holder which does NOT allow public access, or access status unknown.</v>
      </c>
      <c r="D35" s="193">
        <f>F!D275</f>
        <v>0</v>
      </c>
      <c r="E35" s="234">
        <v>1</v>
      </c>
      <c r="F35" s="234">
        <f t="shared" si="1"/>
        <v>0</v>
      </c>
      <c r="G35" s="765"/>
      <c r="H35" s="2208"/>
      <c r="I35" s="2377"/>
    </row>
    <row r="36" spans="1:9" ht="30" customHeight="1" thickBot="1">
      <c r="A36" s="2893" t="str">
        <f>F!A276</f>
        <v>F60</v>
      </c>
      <c r="B36" s="2321" t="str">
        <f>F!B276</f>
        <v xml:space="preserve">Non-consumptive Uses - Actual or Potential </v>
      </c>
      <c r="C36" s="123" t="str">
        <f>F!C276</f>
        <v>Assuming access permission was granted, select ALL statements that are true of the AA as it currently exists:</v>
      </c>
      <c r="D36" s="239"/>
      <c r="E36" s="83"/>
      <c r="F36" s="106"/>
      <c r="G36" s="542">
        <f>SUM(D37:D39)/3</f>
        <v>0</v>
      </c>
      <c r="H36" s="2212" t="s">
        <v>1164</v>
      </c>
      <c r="I36" s="2212" t="s">
        <v>647</v>
      </c>
    </row>
    <row r="37" spans="1:9" ht="27" customHeight="1">
      <c r="A37" s="2495"/>
      <c r="B37" s="2319"/>
      <c r="C37" s="440" t="str">
        <f>F!C277</f>
        <v>For an average person, walking is physically possible in (not just near) &gt;5% of the AA during most of the growing season, e.g., free of deep water and dense shrub thickets.</v>
      </c>
      <c r="D37" s="549">
        <f>F!D277</f>
        <v>0</v>
      </c>
      <c r="E37" s="80">
        <v>1</v>
      </c>
      <c r="F37" s="80"/>
      <c r="G37" s="629"/>
      <c r="H37" s="2213"/>
      <c r="I37" s="2213"/>
    </row>
    <row r="38" spans="1:9" ht="27" customHeight="1">
      <c r="A38" s="2495"/>
      <c r="B38" s="2319"/>
      <c r="C38" s="1077" t="str">
        <f>F!C278</f>
        <v>Maintained roads, parking areas, or foot-trails are within 10 m of the AA, or the AA can be accessed part of the year by boats arriving via contiguous waters.</v>
      </c>
      <c r="D38" s="549">
        <f>F!D278</f>
        <v>0</v>
      </c>
      <c r="E38" s="80">
        <v>1</v>
      </c>
      <c r="F38" s="80"/>
      <c r="G38" s="630"/>
      <c r="H38" s="2213"/>
      <c r="I38" s="2213"/>
    </row>
    <row r="39" spans="1:9" ht="27" customHeight="1" thickBot="1">
      <c r="A39" s="2496"/>
      <c r="B39" s="2322"/>
      <c r="C39" s="441" t="str">
        <f>F!C279</f>
        <v xml:space="preserve">Within or near the AA, there is an interpretive center, trails with interpretive signs or brochures, and/or regular guided interpretive tours. </v>
      </c>
      <c r="D39" s="193">
        <f>F!D279</f>
        <v>0</v>
      </c>
      <c r="E39" s="234">
        <v>1</v>
      </c>
      <c r="F39" s="234"/>
      <c r="G39" s="631"/>
      <c r="H39" s="2377"/>
      <c r="I39" s="2377"/>
    </row>
    <row r="40" spans="1:9" ht="60" customHeight="1" thickBot="1">
      <c r="A40" s="2181" t="str">
        <f>F!A280</f>
        <v>F61</v>
      </c>
      <c r="B40" s="2212" t="str">
        <f>F!B280</f>
        <v xml:space="preserve">Unvisited Core Area </v>
      </c>
      <c r="C40" s="123"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40" s="1748"/>
      <c r="E40" s="232"/>
      <c r="F40" s="233"/>
      <c r="G40" s="527">
        <f>MAX(F41:F46)/MAX(E41:E46)</f>
        <v>0</v>
      </c>
      <c r="H40" s="2212" t="s">
        <v>605</v>
      </c>
      <c r="I40" s="2212" t="s">
        <v>706</v>
      </c>
    </row>
    <row r="41" spans="1:9" ht="15" customHeight="1">
      <c r="A41" s="2180"/>
      <c r="B41" s="2213"/>
      <c r="C41" s="440" t="str">
        <f>F!C281</f>
        <v>&lt;5% and no inhabited building is within 100 m of the AA.</v>
      </c>
      <c r="D41" s="549">
        <f>F!D281</f>
        <v>0</v>
      </c>
      <c r="E41" s="80">
        <v>4</v>
      </c>
      <c r="F41" s="80">
        <f t="shared" ref="F41:F46" si="2">D41*E41</f>
        <v>0</v>
      </c>
      <c r="G41" s="629"/>
      <c r="H41" s="2213"/>
      <c r="I41" s="2213"/>
    </row>
    <row r="42" spans="1:9" ht="15" customHeight="1">
      <c r="A42" s="2180"/>
      <c r="B42" s="2213"/>
      <c r="C42" s="1077" t="str">
        <f>F!C282</f>
        <v>&lt;5% and inhabited building is within 100 m of the AA.</v>
      </c>
      <c r="D42" s="549">
        <f>F!D282</f>
        <v>0</v>
      </c>
      <c r="E42" s="80">
        <v>5</v>
      </c>
      <c r="F42" s="80">
        <f t="shared" si="2"/>
        <v>0</v>
      </c>
      <c r="G42" s="630"/>
      <c r="H42" s="2213"/>
      <c r="I42" s="2213"/>
    </row>
    <row r="43" spans="1:9" ht="15" customHeight="1">
      <c r="A43" s="2180"/>
      <c r="B43" s="2213"/>
      <c r="C43" s="1077" t="str">
        <f>F!C283</f>
        <v>5-50% and no inhabited building is within 100 m of the AA.</v>
      </c>
      <c r="D43" s="549">
        <f>F!D283</f>
        <v>0</v>
      </c>
      <c r="E43" s="80">
        <v>2</v>
      </c>
      <c r="F43" s="80">
        <f t="shared" si="2"/>
        <v>0</v>
      </c>
      <c r="G43" s="630"/>
      <c r="H43" s="2213"/>
      <c r="I43" s="2213"/>
    </row>
    <row r="44" spans="1:9" ht="15" customHeight="1">
      <c r="A44" s="2180"/>
      <c r="B44" s="2213"/>
      <c r="C44" s="1077" t="str">
        <f>F!C284</f>
        <v>5-50% and inhabited building is within 100 m of the AA.</v>
      </c>
      <c r="D44" s="549">
        <f>F!D284</f>
        <v>0</v>
      </c>
      <c r="E44" s="80">
        <v>3</v>
      </c>
      <c r="F44" s="80">
        <f t="shared" si="2"/>
        <v>0</v>
      </c>
      <c r="G44" s="630"/>
      <c r="H44" s="2213"/>
      <c r="I44" s="2213"/>
    </row>
    <row r="45" spans="1:9" ht="15" customHeight="1">
      <c r="A45" s="2180"/>
      <c r="B45" s="2213"/>
      <c r="C45" s="1077" t="str">
        <f>F!C285</f>
        <v>50-95%</v>
      </c>
      <c r="D45" s="549">
        <f>F!D285</f>
        <v>0</v>
      </c>
      <c r="E45" s="80">
        <v>1</v>
      </c>
      <c r="F45" s="80">
        <f t="shared" si="2"/>
        <v>0</v>
      </c>
      <c r="G45" s="630"/>
      <c r="H45" s="2213"/>
      <c r="I45" s="2213"/>
    </row>
    <row r="46" spans="1:9" ht="15" customHeight="1" thickBot="1">
      <c r="A46" s="2187"/>
      <c r="B46" s="2377"/>
      <c r="C46" s="441" t="str">
        <f>F!C286</f>
        <v>&gt;95% of the AA</v>
      </c>
      <c r="D46" s="193">
        <f>F!D286</f>
        <v>0</v>
      </c>
      <c r="E46" s="234">
        <v>0</v>
      </c>
      <c r="F46" s="234">
        <f t="shared" si="2"/>
        <v>0</v>
      </c>
      <c r="G46" s="631"/>
      <c r="H46" s="2377"/>
      <c r="I46" s="2377"/>
    </row>
    <row r="47" spans="1:9" ht="60" customHeight="1" thickBot="1">
      <c r="A47" s="2181" t="str">
        <f>F!A287</f>
        <v>F62</v>
      </c>
      <c r="B47" s="2212" t="str">
        <f>F!B287</f>
        <v>Frequently Visited Area</v>
      </c>
      <c r="C47" s="123"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47" s="1748"/>
      <c r="E47" s="232"/>
      <c r="F47" s="233"/>
      <c r="G47" s="527">
        <f>MAX(F48:F51)/MAX(E48:E51)</f>
        <v>0</v>
      </c>
      <c r="H47" s="2212" t="s">
        <v>166</v>
      </c>
      <c r="I47" s="2212" t="s">
        <v>707</v>
      </c>
    </row>
    <row r="48" spans="1:9" ht="15" customHeight="1">
      <c r="A48" s="2180"/>
      <c r="B48" s="2213"/>
      <c r="C48" s="440" t="str">
        <f>F!C288</f>
        <v>&lt;5%. If F61 was answered "&gt;95%" (mostly never visited), SKIP to F65.</v>
      </c>
      <c r="D48" s="78">
        <f>F!D288</f>
        <v>0</v>
      </c>
      <c r="E48" s="80">
        <v>0</v>
      </c>
      <c r="F48" s="80">
        <f>D48*E48</f>
        <v>0</v>
      </c>
      <c r="G48" s="629"/>
      <c r="H48" s="2213"/>
      <c r="I48" s="2213"/>
    </row>
    <row r="49" spans="1:9" ht="15" customHeight="1">
      <c r="A49" s="2180"/>
      <c r="B49" s="2213"/>
      <c r="C49" s="1077" t="str">
        <f>F!C289</f>
        <v>5-50%</v>
      </c>
      <c r="D49" s="78">
        <f>F!D289</f>
        <v>0</v>
      </c>
      <c r="E49" s="80">
        <v>1</v>
      </c>
      <c r="F49" s="80">
        <f>D49*E49</f>
        <v>0</v>
      </c>
      <c r="G49" s="630"/>
      <c r="H49" s="2213"/>
      <c r="I49" s="2213"/>
    </row>
    <row r="50" spans="1:9" ht="15" customHeight="1">
      <c r="A50" s="2180"/>
      <c r="B50" s="2213"/>
      <c r="C50" s="1077" t="str">
        <f>F!C290</f>
        <v>50-95%</v>
      </c>
      <c r="D50" s="654">
        <f>F!D290</f>
        <v>0</v>
      </c>
      <c r="E50" s="80">
        <v>2</v>
      </c>
      <c r="F50" s="80">
        <f>D50*E50</f>
        <v>0</v>
      </c>
      <c r="G50" s="630"/>
      <c r="H50" s="2213"/>
      <c r="I50" s="2213"/>
    </row>
    <row r="51" spans="1:9" ht="15" customHeight="1" thickBot="1">
      <c r="A51" s="2187"/>
      <c r="B51" s="2377"/>
      <c r="C51" s="441" t="str">
        <f>F!C291</f>
        <v>&gt;95% of the AA.</v>
      </c>
      <c r="D51" s="193">
        <f>F!D291</f>
        <v>0</v>
      </c>
      <c r="E51" s="234">
        <v>3</v>
      </c>
      <c r="F51" s="234">
        <f>D51*E51</f>
        <v>0</v>
      </c>
      <c r="G51" s="631"/>
      <c r="H51" s="2377"/>
      <c r="I51" s="2377"/>
    </row>
    <row r="52" spans="1:9" ht="45" customHeight="1" thickBot="1">
      <c r="A52" s="1226" t="str">
        <f>F!A292</f>
        <v>F63</v>
      </c>
      <c r="B52" s="1224" t="str">
        <f>F!B292</f>
        <v>BMP - Soils</v>
      </c>
      <c r="C52" s="490" t="str">
        <f>F!C292</f>
        <v>Boardwalks, paved trails, fences or other infrastructure and/or well-enforced regulations appear to effectively prevent visitors from walking on soil within nearly all of the AA when the soil is unfrozen. Enter "1" if true.</v>
      </c>
      <c r="D52" s="655">
        <f>F!D292</f>
        <v>0</v>
      </c>
      <c r="E52" s="239"/>
      <c r="F52" s="239"/>
      <c r="G52" s="942">
        <f>IF((D46+D48&gt;1),"",D52)</f>
        <v>0</v>
      </c>
      <c r="H52" s="169" t="s">
        <v>1282</v>
      </c>
      <c r="I52" s="1749" t="s">
        <v>1209</v>
      </c>
    </row>
    <row r="53" spans="1:9" ht="60" customHeight="1" thickBot="1">
      <c r="A53" s="703" t="str">
        <f>F!A293</f>
        <v>F64</v>
      </c>
      <c r="B53" s="123" t="str">
        <f>F!B293</f>
        <v>BMP - Wildlife Protection</v>
      </c>
      <c r="C53" s="1056" t="str">
        <f>F!C293</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53" s="1128">
        <f>F!D293</f>
        <v>0</v>
      </c>
      <c r="E53" s="237"/>
      <c r="F53" s="237"/>
      <c r="G53" s="527">
        <f>IF((D46+D48&gt;1),"",D53)</f>
        <v>0</v>
      </c>
      <c r="H53" s="5" t="s">
        <v>166</v>
      </c>
      <c r="I53" s="123" t="s">
        <v>1210</v>
      </c>
    </row>
    <row r="54" spans="1:9" ht="21" customHeight="1" thickBot="1">
      <c r="A54" s="2896"/>
      <c r="B54" s="2896"/>
      <c r="C54" s="2896"/>
      <c r="D54" s="2896"/>
      <c r="E54" s="2896"/>
      <c r="F54" s="2896"/>
      <c r="G54" s="2896"/>
      <c r="H54" s="2896"/>
    </row>
    <row r="55" spans="1:9" ht="21" customHeight="1">
      <c r="A55" s="2894"/>
      <c r="B55" s="2894"/>
      <c r="C55" s="2894"/>
      <c r="D55" s="2562" t="s">
        <v>1328</v>
      </c>
      <c r="E55" s="2563"/>
      <c r="F55" s="2563"/>
      <c r="G55" s="1691">
        <f>AVERAGE(Ownership,Visibility,DistRdPU, Core1PU,Core2PU,PopCtrDisPU,TidalProxPU)</f>
        <v>0</v>
      </c>
      <c r="H55" s="1897" t="s">
        <v>2647</v>
      </c>
      <c r="I55" s="1898" t="s">
        <v>2793</v>
      </c>
    </row>
    <row r="56" spans="1:9" ht="21" customHeight="1">
      <c r="A56" s="2894"/>
      <c r="B56" s="2894"/>
      <c r="C56" s="2894"/>
      <c r="D56" s="2567" t="s">
        <v>653</v>
      </c>
      <c r="E56" s="2568"/>
      <c r="F56" s="2568"/>
      <c r="G56" s="1692">
        <f>IFERROR(MAX(MitigaSite,ConsInvest,ConsDesig1,SciUse),"")</f>
        <v>0</v>
      </c>
      <c r="H56" s="1925" t="s">
        <v>2868</v>
      </c>
      <c r="I56" s="1899" t="s">
        <v>2794</v>
      </c>
    </row>
    <row r="57" spans="1:9" ht="21" customHeight="1" thickBot="1">
      <c r="A57" s="2894"/>
      <c r="B57" s="2894"/>
      <c r="C57" s="2894"/>
      <c r="D57" s="2569" t="s">
        <v>1329</v>
      </c>
      <c r="E57" s="2570"/>
      <c r="F57" s="2570"/>
      <c r="G57" s="1693">
        <f>AVERAGE(RecreaPoten, BMPsoilsPU,BMPwildPU,LakePU)</f>
        <v>0</v>
      </c>
      <c r="H57" s="1900" t="s">
        <v>1350</v>
      </c>
      <c r="I57" s="1901" t="s">
        <v>2795</v>
      </c>
    </row>
    <row r="58" spans="1:9" ht="21" customHeight="1" thickBot="1">
      <c r="A58" s="2894"/>
      <c r="B58" s="2894"/>
      <c r="C58" s="2894"/>
      <c r="D58" s="2897"/>
      <c r="E58" s="2897"/>
      <c r="F58" s="2897"/>
      <c r="G58" s="2897"/>
      <c r="H58" s="2898"/>
    </row>
    <row r="59" spans="1:9" ht="30" customHeight="1" thickBot="1">
      <c r="A59" s="2894"/>
      <c r="B59" s="2895"/>
      <c r="C59" s="2394" t="s">
        <v>2423</v>
      </c>
      <c r="D59" s="2395"/>
      <c r="E59" s="2396"/>
      <c r="F59" s="1690" t="s">
        <v>2888</v>
      </c>
      <c r="G59" s="1856">
        <f>10*(AVERAGE(Conven,Invest,RecPot))</f>
        <v>0</v>
      </c>
      <c r="H59" s="2575" t="s">
        <v>1205</v>
      </c>
      <c r="I59" s="2576"/>
    </row>
  </sheetData>
  <sheetProtection password="C74A" sheet="1" objects="1" scenarios="1"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43">
    <mergeCell ref="I16:I21"/>
    <mergeCell ref="D55:F55"/>
    <mergeCell ref="H59:I59"/>
    <mergeCell ref="I31:I35"/>
    <mergeCell ref="I36:I39"/>
    <mergeCell ref="I40:I46"/>
    <mergeCell ref="I47:I51"/>
    <mergeCell ref="H31:H35"/>
    <mergeCell ref="H36:H39"/>
    <mergeCell ref="D54:H54"/>
    <mergeCell ref="D58:H58"/>
    <mergeCell ref="H40:H46"/>
    <mergeCell ref="H47:H51"/>
    <mergeCell ref="C59:E59"/>
    <mergeCell ref="H9:H15"/>
    <mergeCell ref="H16:H21"/>
    <mergeCell ref="H27:H30"/>
    <mergeCell ref="D57:F57"/>
    <mergeCell ref="D56:F56"/>
    <mergeCell ref="B36:B39"/>
    <mergeCell ref="A36:A39"/>
    <mergeCell ref="B40:B46"/>
    <mergeCell ref="A40:A46"/>
    <mergeCell ref="A59:B59"/>
    <mergeCell ref="A54:C58"/>
    <mergeCell ref="B47:B51"/>
    <mergeCell ref="A47:A51"/>
    <mergeCell ref="E1:I1"/>
    <mergeCell ref="I3:I8"/>
    <mergeCell ref="I9:I15"/>
    <mergeCell ref="B31:B35"/>
    <mergeCell ref="A31:A35"/>
    <mergeCell ref="H3:H8"/>
    <mergeCell ref="A3:A8"/>
    <mergeCell ref="B3:B8"/>
    <mergeCell ref="A9:A15"/>
    <mergeCell ref="A1:B1"/>
    <mergeCell ref="B9:B15"/>
    <mergeCell ref="A16:A21"/>
    <mergeCell ref="B16:B21"/>
    <mergeCell ref="B27:B30"/>
    <mergeCell ref="A27:A30"/>
    <mergeCell ref="I27:I30"/>
  </mergeCells>
  <phoneticPr fontId="2" type="noConversion"/>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sheetPr codeName="Sheet18" enableFormatConditionsCalculation="0">
    <tabColor indexed="50"/>
  </sheetPr>
  <dimension ref="A1:I381"/>
  <sheetViews>
    <sheetView zoomScaleNormal="100" workbookViewId="0">
      <selection sqref="A1:B1"/>
    </sheetView>
  </sheetViews>
  <sheetFormatPr defaultColWidth="9.33203125" defaultRowHeight="13.8"/>
  <cols>
    <col min="1" max="1" width="5.77734375" style="20" customWidth="1"/>
    <col min="2" max="2" width="18.77734375" style="7" customWidth="1"/>
    <col min="3" max="3" width="69.77734375" style="7" customWidth="1"/>
    <col min="4" max="6" width="6.77734375" style="647" customWidth="1"/>
    <col min="7" max="7" width="9.77734375" style="648" customWidth="1"/>
    <col min="8" max="8" width="69.77734375" style="7" customWidth="1"/>
    <col min="9" max="9" width="11.77734375" style="7" customWidth="1"/>
    <col min="10" max="16384" width="9.33203125" style="7"/>
  </cols>
  <sheetData>
    <row r="1" spans="1:9" s="130" customFormat="1" ht="93" customHeight="1" thickBot="1">
      <c r="A1" s="2875" t="s">
        <v>561</v>
      </c>
      <c r="B1" s="2876"/>
      <c r="C1" s="126" t="s">
        <v>1853</v>
      </c>
      <c r="D1" s="149" t="s">
        <v>2990</v>
      </c>
      <c r="E1" s="2477"/>
      <c r="F1" s="2478"/>
      <c r="G1" s="2478"/>
      <c r="H1" s="2478"/>
      <c r="I1" s="2478"/>
    </row>
    <row r="2" spans="1:9" s="138" customFormat="1" ht="36" customHeight="1" thickBot="1">
      <c r="A2" s="1582" t="s">
        <v>168</v>
      </c>
      <c r="B2" s="1582" t="s">
        <v>1117</v>
      </c>
      <c r="C2" s="1584" t="s">
        <v>1354</v>
      </c>
      <c r="D2" s="1583" t="s">
        <v>64</v>
      </c>
      <c r="E2" s="1746" t="s">
        <v>1383</v>
      </c>
      <c r="F2" s="1706" t="s">
        <v>1384</v>
      </c>
      <c r="G2" s="1747" t="s">
        <v>1293</v>
      </c>
      <c r="H2" s="1582" t="s">
        <v>1294</v>
      </c>
      <c r="I2" s="1857" t="s">
        <v>2622</v>
      </c>
    </row>
    <row r="3" spans="1:9" s="2" customFormat="1" ht="30" customHeight="1" thickBot="1">
      <c r="A3" s="2218" t="str">
        <f>OF!A141</f>
        <v>OF30</v>
      </c>
      <c r="B3" s="2316" t="str">
        <f>OF!B141</f>
        <v>Species of Conservation Concern</v>
      </c>
      <c r="C3" s="5" t="str">
        <f>OF!C141</f>
        <v>Within the past 10 years, in the AA (or in its adjoining waters or wetland), qualified observers have documented [mark all applicable]:</v>
      </c>
      <c r="D3" s="1371"/>
      <c r="E3" s="365"/>
      <c r="F3" s="366"/>
      <c r="G3" s="527">
        <f>((MAX(F4:F7)) + (AVERAGE(F4:F7))) /2</f>
        <v>0</v>
      </c>
      <c r="H3" s="2218" t="s">
        <v>1854</v>
      </c>
      <c r="I3" s="2148" t="s">
        <v>673</v>
      </c>
    </row>
    <row r="4" spans="1:9" s="2" customFormat="1" ht="42" customHeight="1">
      <c r="A4" s="2211"/>
      <c r="B4" s="2201"/>
      <c r="C4" s="1862" t="str">
        <f>OF!C142</f>
        <v xml:space="preserve">Presence of one or more of the plant species listed in the Plants_Rare worksheet of the accompanying SuppInfo file, or (in NS only) the AA is within a mapped Atlantic Coastal Plain Flora Buffer as shown in Special Management Practice Zones at: https://nsgi.novascotia.ca/plv/ </v>
      </c>
      <c r="D4" s="279">
        <f>OF!D142</f>
        <v>0</v>
      </c>
      <c r="E4" s="361">
        <v>1</v>
      </c>
      <c r="F4" s="386">
        <f>D4*E4</f>
        <v>0</v>
      </c>
      <c r="G4" s="630"/>
      <c r="H4" s="2208"/>
      <c r="I4" s="2146"/>
    </row>
    <row r="5" spans="1:9" s="2" customFormat="1" ht="27" customHeight="1">
      <c r="A5" s="2211"/>
      <c r="B5" s="2201"/>
      <c r="C5" s="663" t="str">
        <f>OF!C143</f>
        <v>Presence of one or more of the amphibian or reptile species of conservation concern (AM) as listed in the Wildlife_Rare worksheet of the accompanying SuppInfo file</v>
      </c>
      <c r="D5" s="247">
        <f>OF!D143</f>
        <v>0</v>
      </c>
      <c r="E5" s="377">
        <v>1</v>
      </c>
      <c r="F5" s="386">
        <f>D5*E5</f>
        <v>0</v>
      </c>
      <c r="G5" s="630"/>
      <c r="H5" s="2208"/>
      <c r="I5" s="2146"/>
    </row>
    <row r="6" spans="1:9" s="2" customFormat="1" ht="27" customHeight="1">
      <c r="A6" s="2211"/>
      <c r="B6" s="2201"/>
      <c r="C6" s="663" t="str">
        <f>OF!C145</f>
        <v>Presence of one or more of the nesting songbird or raptor species of conservation concern (SBM) as listed in the Wildlife_Rare worksheet of the accompanying SuppInfo file, during their nesting season (May-July for most species).</v>
      </c>
      <c r="D6" s="247">
        <f>OF!D145</f>
        <v>0</v>
      </c>
      <c r="E6" s="377">
        <v>1</v>
      </c>
      <c r="F6" s="386">
        <f>D6*E6</f>
        <v>0</v>
      </c>
      <c r="G6" s="630"/>
      <c r="H6" s="2208"/>
      <c r="I6" s="2146"/>
    </row>
    <row r="7" spans="1:9" s="2" customFormat="1" ht="15" customHeight="1" thickBot="1">
      <c r="A7" s="2211"/>
      <c r="B7" s="2201"/>
      <c r="C7" s="1838" t="str">
        <f>OF!C146</f>
        <v>none of the above, or no data.</v>
      </c>
      <c r="D7" s="1753">
        <f>OF!D146</f>
        <v>0</v>
      </c>
      <c r="E7" s="362">
        <v>1</v>
      </c>
      <c r="F7" s="386">
        <f>D7*E7</f>
        <v>0</v>
      </c>
      <c r="G7" s="630"/>
      <c r="H7" s="2208"/>
      <c r="I7" s="2149"/>
    </row>
    <row r="8" spans="1:9" s="4" customFormat="1" ht="30" customHeight="1" thickBot="1">
      <c r="A8" s="2181" t="str">
        <f>F!A57</f>
        <v>F11</v>
      </c>
      <c r="B8" s="2212" t="str">
        <f>F!B57</f>
        <v>% Bare Ground &amp; Thatch</v>
      </c>
      <c r="C8" s="123" t="str">
        <f>F!C57</f>
        <v>Consider the parts of the AA that lack surface water at the driest time of the growing season. Viewed from directly above the ground layer, the predominant condition in those areas at that time is:</v>
      </c>
      <c r="D8" s="636"/>
      <c r="E8" s="365"/>
      <c r="F8" s="366"/>
      <c r="G8" s="748">
        <f>MAX(F9:F12)/MAX(E9:E12)</f>
        <v>0</v>
      </c>
      <c r="H8" s="2212" t="s">
        <v>677</v>
      </c>
      <c r="I8" s="2212" t="s">
        <v>674</v>
      </c>
    </row>
    <row r="9" spans="1:9" s="4" customFormat="1" ht="42" customHeight="1">
      <c r="A9" s="2180"/>
      <c r="B9" s="2213"/>
      <c r="C9" s="1182" t="str">
        <f>F!C58</f>
        <v>Little or no (&lt;5%) bare ground is visible between erect stems or under canopy anywhere in the vegetated AA. Ground is extensively blanketed by dense thatch, moss, lichens, graminoids with great stem densities, or plants with ground-hugging foliage. </v>
      </c>
      <c r="D9" s="78">
        <f>F!D58</f>
        <v>0</v>
      </c>
      <c r="E9" s="361">
        <v>3</v>
      </c>
      <c r="F9" s="386">
        <f>D9*E9</f>
        <v>0</v>
      </c>
      <c r="G9" s="763"/>
      <c r="H9" s="2213"/>
      <c r="I9" s="2213"/>
    </row>
    <row r="10" spans="1:9" s="4" customFormat="1" ht="27" customHeight="1">
      <c r="A10" s="2180"/>
      <c r="B10" s="2213"/>
      <c r="C10" s="1183" t="str">
        <f>F!C59</f>
        <v>Slightly bare ground (5-20% bare between plants) is visible in places, but those areas comprise less than 5% of the unflooded parts of the AA.</v>
      </c>
      <c r="D10" s="78">
        <f>F!D59</f>
        <v>0</v>
      </c>
      <c r="E10" s="361">
        <v>2</v>
      </c>
      <c r="F10" s="386">
        <f>D10*E10</f>
        <v>0</v>
      </c>
      <c r="G10" s="764"/>
      <c r="H10" s="2213"/>
      <c r="I10" s="2213"/>
    </row>
    <row r="11" spans="1:9" s="4" customFormat="1" ht="27" customHeight="1">
      <c r="A11" s="2180"/>
      <c r="B11" s="2213"/>
      <c r="C11" s="1183" t="str">
        <f>F!C60</f>
        <v>Much bare ground (20-50% bare between plants) is visible in places, and those areas comprise more than 5% of the unflooded parts of the AA. </v>
      </c>
      <c r="D11" s="78">
        <f>F!D60</f>
        <v>0</v>
      </c>
      <c r="E11" s="361">
        <v>1</v>
      </c>
      <c r="F11" s="386">
        <f>D11*E11</f>
        <v>0</v>
      </c>
      <c r="G11" s="764"/>
      <c r="H11" s="2213"/>
      <c r="I11" s="2213"/>
    </row>
    <row r="12" spans="1:9" s="4" customFormat="1" ht="15" customHeight="1">
      <c r="A12" s="2180"/>
      <c r="B12" s="2213"/>
      <c r="C12" s="1183" t="str">
        <f>F!C61</f>
        <v>Other conditions.</v>
      </c>
      <c r="D12" s="78">
        <f>F!D61</f>
        <v>0</v>
      </c>
      <c r="E12" s="361">
        <v>0</v>
      </c>
      <c r="F12" s="386">
        <f>D12*E12</f>
        <v>0</v>
      </c>
      <c r="G12" s="764"/>
      <c r="H12" s="2213"/>
      <c r="I12" s="2213"/>
    </row>
    <row r="13" spans="1:9" s="4" customFormat="1" ht="27" customHeight="1" thickBot="1">
      <c r="A13" s="2187"/>
      <c r="B13" s="2377"/>
      <c r="C13" s="1184" t="str">
        <f>F!C62</f>
        <v>Not applicable. Surface water (either open or obscured by emergent plants) covers all of the AA all the time.</v>
      </c>
      <c r="D13" s="193">
        <f>F!D62</f>
        <v>0</v>
      </c>
      <c r="E13" s="362"/>
      <c r="F13" s="362"/>
      <c r="G13" s="765"/>
      <c r="H13" s="2377"/>
      <c r="I13" s="2377"/>
    </row>
    <row r="14" spans="1:9" s="4" customFormat="1" ht="60" customHeight="1" thickBot="1">
      <c r="A14" s="2181" t="str">
        <f>F!A63</f>
        <v>F12</v>
      </c>
      <c r="B14" s="2212" t="str">
        <f>F!B63</f>
        <v xml:space="preserve">Ground Irregularity </v>
      </c>
      <c r="C14" s="439" t="str">
        <f>F!C63</f>
        <v>Consider the parts of the AA that lack surface water at some time of the year. The number of hummocks, small pits, raised mounds, upturned trees, animal burrows, gullies, natural levees, microdepressions, and other areas of peat or mineral soil that are raised or depressed &gt;10 cm compared to most of the area immediately surrounding them is:</v>
      </c>
      <c r="D14" s="636"/>
      <c r="E14" s="365"/>
      <c r="F14" s="366"/>
      <c r="G14" s="527">
        <f>IF((D13=1),"",MAX(F15:F17)/MAX(E15:E17))</f>
        <v>0</v>
      </c>
      <c r="H14" s="2212" t="s">
        <v>676</v>
      </c>
      <c r="I14" s="2212" t="s">
        <v>675</v>
      </c>
    </row>
    <row r="15" spans="1:9" s="4" customFormat="1" ht="15" customHeight="1">
      <c r="A15" s="2180"/>
      <c r="B15" s="2213"/>
      <c r="C15" s="440" t="str">
        <f>F!C64</f>
        <v>Few or none (minimal microtopography; &lt;1% has such features).</v>
      </c>
      <c r="D15" s="78">
        <f>F!D64</f>
        <v>0</v>
      </c>
      <c r="E15" s="361">
        <v>0</v>
      </c>
      <c r="F15" s="386">
        <f>D15*E15</f>
        <v>0</v>
      </c>
      <c r="G15" s="629"/>
      <c r="H15" s="2213"/>
      <c r="I15" s="2213"/>
    </row>
    <row r="16" spans="1:9" s="4" customFormat="1" ht="15" customHeight="1">
      <c r="A16" s="2180"/>
      <c r="B16" s="2213"/>
      <c r="C16" s="714" t="str">
        <f>F!C65</f>
        <v>Intermediate.</v>
      </c>
      <c r="D16" s="78">
        <f>F!D65</f>
        <v>0</v>
      </c>
      <c r="E16" s="361">
        <v>1</v>
      </c>
      <c r="F16" s="386">
        <f>D16*E16</f>
        <v>0</v>
      </c>
      <c r="G16" s="630"/>
      <c r="H16" s="2213"/>
      <c r="I16" s="2213"/>
    </row>
    <row r="17" spans="1:9" s="4" customFormat="1" ht="15" customHeight="1" thickBot="1">
      <c r="A17" s="2187"/>
      <c r="B17" s="2377"/>
      <c r="C17" s="441" t="str">
        <f>F!C66</f>
        <v>Several (extensive micro-topography).</v>
      </c>
      <c r="D17" s="193">
        <f>F!D66</f>
        <v>0</v>
      </c>
      <c r="E17" s="362">
        <v>2</v>
      </c>
      <c r="F17" s="390">
        <f>D17*E17</f>
        <v>0</v>
      </c>
      <c r="G17" s="631"/>
      <c r="H17" s="2377"/>
      <c r="I17" s="2377"/>
    </row>
    <row r="18" spans="1:9" s="4" customFormat="1" ht="30" customHeight="1" thickBot="1">
      <c r="A18" s="2388" t="str">
        <f>F!A99</f>
        <v>F19</v>
      </c>
      <c r="B18" s="2213" t="str">
        <f>F!B99</f>
        <v xml:space="preserve">Dominance of Most Abundant Herbaceous Species </v>
      </c>
      <c r="C18" s="448" t="str">
        <f>F!C99</f>
        <v>Determine which two native herbaceous (forb and graminoid) species comprise the greatest portion of the herbaceous cover that is unshaded by a woody canopy. Then choose one of the following:</v>
      </c>
      <c r="D18" s="636"/>
      <c r="E18" s="642"/>
      <c r="F18" s="363"/>
      <c r="G18" s="542">
        <f>IF((NoHerbCov=1),"",(MAX(F19:F20)))</f>
        <v>0</v>
      </c>
      <c r="H18" s="2208" t="s">
        <v>2337</v>
      </c>
      <c r="I18" s="2212" t="s">
        <v>672</v>
      </c>
    </row>
    <row r="19" spans="1:9" s="4" customFormat="1" ht="27" customHeight="1">
      <c r="A19" s="2388"/>
      <c r="B19" s="2213"/>
      <c r="C19" s="490" t="str">
        <f>F!C100</f>
        <v>those species together comprise &gt; 50% of the areal cover of native herbaceous plants at any time during the year.</v>
      </c>
      <c r="D19" s="78">
        <f>F!D100</f>
        <v>0</v>
      </c>
      <c r="E19" s="638">
        <v>0</v>
      </c>
      <c r="F19" s="388">
        <f>D19*E19</f>
        <v>0</v>
      </c>
      <c r="G19" s="639"/>
      <c r="H19" s="2208"/>
      <c r="I19" s="2213"/>
    </row>
    <row r="20" spans="1:9" s="4" customFormat="1" ht="27" customHeight="1" thickBot="1">
      <c r="A20" s="2388"/>
      <c r="B20" s="2213"/>
      <c r="C20" s="447" t="str">
        <f>F!C101</f>
        <v>those species together do not comprise &gt; 50% of the areal cover of native herbaceous plants at any time during the year.</v>
      </c>
      <c r="D20" s="549">
        <f>F!D101</f>
        <v>0</v>
      </c>
      <c r="E20" s="638">
        <v>1</v>
      </c>
      <c r="F20" s="364">
        <f>D20*E20</f>
        <v>0</v>
      </c>
      <c r="G20" s="639"/>
      <c r="H20" s="2208"/>
      <c r="I20" s="2377"/>
    </row>
    <row r="21" spans="1:9" s="4" customFormat="1" ht="30" customHeight="1" thickBot="1">
      <c r="A21" s="2182" t="str">
        <f>F!A102</f>
        <v>F20</v>
      </c>
      <c r="B21" s="2209" t="str">
        <f>F!B102</f>
        <v>Exotic Plant Cover</v>
      </c>
      <c r="C21" s="439" t="str">
        <f>F!C102</f>
        <v>How extensive is the cover of exotic plant species in the AA?  For species, see Plants_Exotic worksheet in the SuppInfo file accompanying this calculator.</v>
      </c>
      <c r="D21" s="636"/>
      <c r="E21" s="636"/>
      <c r="F21" s="644"/>
      <c r="G21" s="527">
        <f>MAX(F22:F26)/MAX(E22:E26)</f>
        <v>0</v>
      </c>
      <c r="H21" s="2209" t="s">
        <v>569</v>
      </c>
      <c r="I21" s="2212" t="s">
        <v>671</v>
      </c>
    </row>
    <row r="22" spans="1:9" s="4" customFormat="1" ht="27" customHeight="1">
      <c r="A22" s="2183"/>
      <c r="B22" s="2208"/>
      <c r="C22" s="440" t="str">
        <f>F!C103</f>
        <v>exotic species appear to be absent in the AA, or are present only in trace amount (a few individuals).</v>
      </c>
      <c r="D22" s="78">
        <f>F!D103</f>
        <v>0</v>
      </c>
      <c r="E22" s="637">
        <v>4</v>
      </c>
      <c r="F22" s="361">
        <f>D22*E22</f>
        <v>0</v>
      </c>
      <c r="G22" s="629"/>
      <c r="H22" s="2208"/>
      <c r="I22" s="2213"/>
    </row>
    <row r="23" spans="1:9" s="4" customFormat="1" ht="27" customHeight="1">
      <c r="A23" s="2183"/>
      <c r="B23" s="2208"/>
      <c r="C23" s="714" t="str">
        <f>F!C104</f>
        <v>exotic species are present in more than trace amounts, but comprise &lt;5% of herbaceous cover (or woody cover, if the exotics are woody).</v>
      </c>
      <c r="D23" s="78">
        <f>F!D104</f>
        <v>0</v>
      </c>
      <c r="E23" s="637">
        <v>3</v>
      </c>
      <c r="F23" s="361">
        <f>D23*E23</f>
        <v>0</v>
      </c>
      <c r="G23" s="629"/>
      <c r="H23" s="2208"/>
      <c r="I23" s="2213"/>
    </row>
    <row r="24" spans="1:9" s="4" customFormat="1" ht="15" customHeight="1">
      <c r="A24" s="2183"/>
      <c r="B24" s="2208"/>
      <c r="C24" s="714" t="str">
        <f>F!C105</f>
        <v>exotic species comprise 5-20% of the herb cover (or woody cover, if the exotics are woody).</v>
      </c>
      <c r="D24" s="78">
        <f>F!D105</f>
        <v>0</v>
      </c>
      <c r="E24" s="637">
        <v>2</v>
      </c>
      <c r="F24" s="361">
        <f>D24*E24</f>
        <v>0</v>
      </c>
      <c r="G24" s="630"/>
      <c r="H24" s="2208"/>
      <c r="I24" s="2213"/>
    </row>
    <row r="25" spans="1:9" s="4" customFormat="1" ht="15" customHeight="1">
      <c r="A25" s="2183"/>
      <c r="B25" s="2208"/>
      <c r="C25" s="714" t="str">
        <f>F!C106</f>
        <v>exotic species comprise 20-50% of the herb cover  (or woody cover, if the exotics are woody).</v>
      </c>
      <c r="D25" s="78">
        <f>F!D106</f>
        <v>0</v>
      </c>
      <c r="E25" s="637">
        <v>1</v>
      </c>
      <c r="F25" s="361">
        <f>D25*E25</f>
        <v>0</v>
      </c>
      <c r="G25" s="630"/>
      <c r="H25" s="2208"/>
      <c r="I25" s="2213"/>
    </row>
    <row r="26" spans="1:9" s="4" customFormat="1" ht="15" customHeight="1" thickBot="1">
      <c r="A26" s="2184"/>
      <c r="B26" s="2210"/>
      <c r="C26" s="441" t="str">
        <f>F!C107</f>
        <v>exotic species comprise &gt;50% of the herb cover  (or woody cover, if the exotics are woody).</v>
      </c>
      <c r="D26" s="193">
        <f>F!D107</f>
        <v>0</v>
      </c>
      <c r="E26" s="640">
        <v>0</v>
      </c>
      <c r="F26" s="362">
        <f>D26*E26</f>
        <v>0</v>
      </c>
      <c r="G26" s="631"/>
      <c r="H26" s="2210"/>
      <c r="I26" s="2377"/>
    </row>
    <row r="27" spans="1:9" s="4" customFormat="1" ht="60" customHeight="1" thickBot="1">
      <c r="A27" s="715" t="str">
        <f>F!A199</f>
        <v>F41</v>
      </c>
      <c r="B27" s="716" t="str">
        <f>F!B199</f>
        <v xml:space="preserve">Floating Algae &amp; Duckweed </v>
      </c>
      <c r="C27" s="353" t="str">
        <f>F!C199</f>
        <v>At some time of the year, mats of algae and/or duckweed are likely to cover &gt;50% of the AA's otherwise-unshaded water surface, or blanket &gt;50% of the underwater substrate. If true, enter "1" in next column. If untrue or uncertain, enter "0".</v>
      </c>
      <c r="D27" s="549">
        <f>F!D199</f>
        <v>0</v>
      </c>
      <c r="E27" s="364"/>
      <c r="F27" s="364"/>
      <c r="G27" s="948" t="str">
        <f>IF((TooSmall=1),"",IF((AllSat1&gt;0),"",IF((NoPonded=1),"",IF((D27=0),"",0))))</f>
        <v/>
      </c>
      <c r="H27" s="242" t="s">
        <v>1378</v>
      </c>
      <c r="I27" s="164" t="s">
        <v>2099</v>
      </c>
    </row>
    <row r="28" spans="1:9" s="2" customFormat="1" ht="21" customHeight="1" thickBot="1">
      <c r="A28" s="2621"/>
      <c r="B28" s="2621"/>
      <c r="C28" s="2621"/>
      <c r="D28" s="2621"/>
      <c r="E28" s="2621"/>
      <c r="F28" s="2621"/>
      <c r="G28" s="2621"/>
      <c r="H28" s="2621"/>
    </row>
    <row r="29" spans="1:9" s="23" customFormat="1" ht="30" customHeight="1" thickBot="1">
      <c r="A29" s="2622"/>
      <c r="B29" s="2622"/>
      <c r="C29" s="2900" t="s">
        <v>1765</v>
      </c>
      <c r="D29" s="2901"/>
      <c r="E29" s="2902"/>
      <c r="F29" s="1860"/>
      <c r="G29" s="1856">
        <f>IF((D13=1),"", 10*(AVERAGE(RareAll,EmSens1_C,BareGpct) + AVERAGE(HerbDom1,GirregCQ, OverRich))/2)</f>
        <v>0</v>
      </c>
      <c r="H29" s="2363" t="s">
        <v>2646</v>
      </c>
      <c r="I29" s="2364"/>
    </row>
    <row r="30" spans="1:9" s="2" customFormat="1" ht="21" customHeight="1" thickBot="1">
      <c r="A30" s="2622"/>
      <c r="B30" s="2622"/>
      <c r="D30" s="1839"/>
      <c r="E30" s="1839"/>
      <c r="F30" s="1839"/>
      <c r="G30" s="1839"/>
      <c r="H30" s="1839"/>
    </row>
    <row r="31" spans="1:9" s="2" customFormat="1" ht="21" customHeight="1" thickBot="1">
      <c r="A31" s="2899"/>
      <c r="B31" s="1861" t="s">
        <v>154</v>
      </c>
      <c r="C31" s="2903" t="s">
        <v>115</v>
      </c>
      <c r="D31" s="2904"/>
      <c r="E31" s="2905"/>
      <c r="F31" s="1840"/>
      <c r="G31" s="1840"/>
      <c r="H31" s="1840"/>
    </row>
    <row r="32" spans="1:9" s="2" customFormat="1" ht="30" customHeight="1">
      <c r="A32" s="2899"/>
      <c r="B32" s="1067" t="s">
        <v>66</v>
      </c>
      <c r="C32" s="2906" t="s">
        <v>1855</v>
      </c>
      <c r="D32" s="2906"/>
      <c r="E32" s="2907"/>
      <c r="F32" s="1840"/>
      <c r="G32" s="1840"/>
      <c r="H32" s="1840"/>
    </row>
    <row r="33" spans="1:8" s="2" customFormat="1" ht="57" customHeight="1">
      <c r="A33" s="2899"/>
      <c r="B33" s="663" t="s">
        <v>67</v>
      </c>
      <c r="C33" s="2908" t="s">
        <v>1856</v>
      </c>
      <c r="D33" s="2908"/>
      <c r="E33" s="2909"/>
      <c r="F33" s="1840"/>
      <c r="G33" s="1840"/>
      <c r="H33" s="1840"/>
    </row>
    <row r="34" spans="1:8" s="2" customFormat="1" ht="30" customHeight="1">
      <c r="A34" s="2899"/>
      <c r="B34" s="663" t="s">
        <v>68</v>
      </c>
      <c r="C34" s="2908" t="s">
        <v>2634</v>
      </c>
      <c r="D34" s="2908"/>
      <c r="E34" s="2909"/>
      <c r="F34" s="1840"/>
      <c r="G34" s="1840"/>
      <c r="H34" s="1840"/>
    </row>
    <row r="35" spans="1:8" s="2" customFormat="1" ht="21" customHeight="1">
      <c r="A35" s="2899"/>
      <c r="B35" s="663" t="s">
        <v>380</v>
      </c>
      <c r="C35" s="2908" t="s">
        <v>2635</v>
      </c>
      <c r="D35" s="2908"/>
      <c r="E35" s="2909"/>
      <c r="F35" s="1840"/>
      <c r="G35" s="1840"/>
      <c r="H35" s="1840"/>
    </row>
    <row r="36" spans="1:8" s="2" customFormat="1" ht="45" customHeight="1">
      <c r="A36" s="2899"/>
      <c r="B36" s="663" t="s">
        <v>381</v>
      </c>
      <c r="C36" s="2908" t="s">
        <v>2635</v>
      </c>
      <c r="D36" s="2908"/>
      <c r="E36" s="2909"/>
      <c r="F36" s="1840"/>
      <c r="G36" s="1840"/>
      <c r="H36" s="1840"/>
    </row>
    <row r="37" spans="1:8" s="2" customFormat="1" ht="21" customHeight="1">
      <c r="A37" s="2899"/>
      <c r="B37" s="663" t="s">
        <v>69</v>
      </c>
      <c r="C37" s="2908" t="s">
        <v>2636</v>
      </c>
      <c r="D37" s="2908"/>
      <c r="E37" s="2909"/>
      <c r="F37" s="1840"/>
      <c r="G37" s="1840"/>
      <c r="H37" s="1840"/>
    </row>
    <row r="38" spans="1:8" s="2" customFormat="1" ht="30" customHeight="1">
      <c r="A38" s="2899"/>
      <c r="B38" s="663" t="s">
        <v>563</v>
      </c>
      <c r="C38" s="2908" t="s">
        <v>1857</v>
      </c>
      <c r="D38" s="2908"/>
      <c r="E38" s="2909"/>
      <c r="F38" s="1840"/>
      <c r="G38" s="1840"/>
      <c r="H38" s="1840"/>
    </row>
    <row r="39" spans="1:8" s="2" customFormat="1" ht="45" customHeight="1">
      <c r="A39" s="2899"/>
      <c r="B39" s="663" t="s">
        <v>151</v>
      </c>
      <c r="C39" s="2908" t="s">
        <v>1858</v>
      </c>
      <c r="D39" s="2908"/>
      <c r="E39" s="2909"/>
      <c r="F39" s="1840"/>
      <c r="G39" s="1840"/>
      <c r="H39" s="1840"/>
    </row>
    <row r="40" spans="1:8" s="2" customFormat="1" ht="21" customHeight="1">
      <c r="A40" s="2899"/>
      <c r="B40" s="663" t="s">
        <v>382</v>
      </c>
      <c r="C40" s="2908" t="s">
        <v>2635</v>
      </c>
      <c r="D40" s="2908"/>
      <c r="E40" s="2909"/>
      <c r="F40" s="1840"/>
      <c r="G40" s="1840"/>
      <c r="H40" s="1840"/>
    </row>
    <row r="41" spans="1:8" s="2" customFormat="1" ht="30" customHeight="1" thickBot="1">
      <c r="A41" s="2899"/>
      <c r="B41" s="664" t="s">
        <v>565</v>
      </c>
      <c r="C41" s="2910" t="s">
        <v>566</v>
      </c>
      <c r="D41" s="2910"/>
      <c r="E41" s="2408"/>
      <c r="F41" s="1840"/>
      <c r="G41" s="1840"/>
      <c r="H41" s="1840"/>
    </row>
    <row r="42" spans="1:8" s="2" customFormat="1">
      <c r="A42" s="19"/>
      <c r="C42" s="19"/>
      <c r="D42" s="722"/>
      <c r="E42" s="722"/>
      <c r="F42" s="722"/>
      <c r="G42" s="749"/>
    </row>
    <row r="43" spans="1:8" s="2" customFormat="1">
      <c r="A43" s="19"/>
      <c r="C43" s="19"/>
      <c r="D43" s="722"/>
      <c r="E43" s="722"/>
      <c r="F43" s="722"/>
      <c r="G43" s="749"/>
    </row>
    <row r="44" spans="1:8" s="2" customFormat="1">
      <c r="A44" s="19"/>
      <c r="C44" s="19"/>
      <c r="D44" s="722"/>
      <c r="E44" s="722"/>
      <c r="F44" s="722"/>
      <c r="G44" s="749"/>
    </row>
    <row r="45" spans="1:8" s="2" customFormat="1">
      <c r="A45" s="19"/>
      <c r="C45" s="19"/>
      <c r="D45" s="722"/>
      <c r="E45" s="722"/>
      <c r="F45" s="722"/>
      <c r="G45" s="749"/>
    </row>
    <row r="46" spans="1:8" s="2" customFormat="1">
      <c r="A46" s="19"/>
      <c r="C46" s="19"/>
      <c r="D46" s="722"/>
      <c r="E46" s="722"/>
      <c r="F46" s="722"/>
      <c r="G46" s="749"/>
    </row>
    <row r="47" spans="1:8" s="2" customFormat="1">
      <c r="A47" s="19"/>
      <c r="C47" s="19"/>
      <c r="D47" s="722"/>
      <c r="E47" s="722"/>
      <c r="F47" s="722"/>
      <c r="G47" s="749"/>
    </row>
    <row r="48" spans="1:8" s="2" customFormat="1">
      <c r="A48" s="19"/>
      <c r="C48" s="19"/>
      <c r="D48" s="722"/>
      <c r="E48" s="722"/>
      <c r="F48" s="722"/>
      <c r="G48" s="749"/>
    </row>
    <row r="49" spans="1:7" s="2" customFormat="1">
      <c r="A49" s="19"/>
      <c r="C49" s="19"/>
      <c r="D49" s="722"/>
      <c r="E49" s="722"/>
      <c r="F49" s="722"/>
      <c r="G49" s="749"/>
    </row>
    <row r="50" spans="1:7" s="2" customFormat="1">
      <c r="A50" s="19"/>
      <c r="C50" s="19"/>
      <c r="D50" s="722"/>
      <c r="E50" s="722"/>
      <c r="F50" s="722"/>
      <c r="G50" s="749"/>
    </row>
    <row r="51" spans="1:7" s="2" customFormat="1">
      <c r="A51" s="19"/>
      <c r="C51" s="19"/>
      <c r="D51" s="722"/>
      <c r="E51" s="722"/>
      <c r="F51" s="722"/>
      <c r="G51" s="749"/>
    </row>
    <row r="52" spans="1:7" s="2" customFormat="1">
      <c r="A52" s="19"/>
      <c r="C52" s="19"/>
      <c r="D52" s="722"/>
      <c r="E52" s="722"/>
      <c r="F52" s="722"/>
      <c r="G52" s="749"/>
    </row>
    <row r="53" spans="1:7" s="2" customFormat="1">
      <c r="A53" s="19"/>
      <c r="C53" s="19"/>
      <c r="D53" s="722"/>
      <c r="E53" s="722"/>
      <c r="F53" s="722"/>
      <c r="G53" s="749"/>
    </row>
    <row r="54" spans="1:7" s="2" customFormat="1">
      <c r="A54" s="19"/>
      <c r="C54" s="19"/>
      <c r="D54" s="722"/>
      <c r="E54" s="722"/>
      <c r="F54" s="722"/>
      <c r="G54" s="749"/>
    </row>
    <row r="55" spans="1:7" s="2" customFormat="1">
      <c r="A55" s="19"/>
      <c r="C55" s="19"/>
      <c r="D55" s="722"/>
      <c r="E55" s="722"/>
      <c r="F55" s="722"/>
      <c r="G55" s="749"/>
    </row>
    <row r="56" spans="1:7" s="2" customFormat="1">
      <c r="A56" s="19"/>
      <c r="C56" s="19"/>
      <c r="D56" s="722"/>
      <c r="E56" s="722"/>
      <c r="F56" s="722"/>
      <c r="G56" s="749"/>
    </row>
    <row r="57" spans="1:7" s="2" customFormat="1">
      <c r="A57" s="19"/>
      <c r="C57" s="19"/>
      <c r="D57" s="722"/>
      <c r="E57" s="722"/>
      <c r="F57" s="722"/>
      <c r="G57" s="749"/>
    </row>
    <row r="58" spans="1:7" s="2" customFormat="1">
      <c r="A58" s="19"/>
      <c r="C58" s="19"/>
      <c r="D58" s="722"/>
      <c r="E58" s="722"/>
      <c r="F58" s="722"/>
      <c r="G58" s="749"/>
    </row>
    <row r="59" spans="1:7" s="2" customFormat="1">
      <c r="A59" s="19"/>
      <c r="C59" s="19"/>
      <c r="D59" s="722"/>
      <c r="E59" s="722"/>
      <c r="F59" s="722"/>
      <c r="G59" s="749"/>
    </row>
    <row r="60" spans="1:7" s="2" customFormat="1">
      <c r="A60" s="19"/>
      <c r="C60" s="19"/>
      <c r="D60" s="722"/>
      <c r="E60" s="722"/>
      <c r="F60" s="722"/>
      <c r="G60" s="749"/>
    </row>
    <row r="61" spans="1:7" s="2" customFormat="1">
      <c r="A61" s="19"/>
      <c r="C61" s="19"/>
      <c r="D61" s="722"/>
      <c r="E61" s="722"/>
      <c r="F61" s="722"/>
      <c r="G61" s="749"/>
    </row>
    <row r="62" spans="1:7" s="2" customFormat="1">
      <c r="A62" s="19"/>
      <c r="C62" s="19"/>
      <c r="D62" s="722"/>
      <c r="E62" s="722"/>
      <c r="F62" s="722"/>
      <c r="G62" s="749"/>
    </row>
    <row r="63" spans="1:7" s="2" customFormat="1">
      <c r="A63" s="19"/>
      <c r="C63" s="19"/>
      <c r="D63" s="722"/>
      <c r="E63" s="722"/>
      <c r="F63" s="722"/>
      <c r="G63" s="749"/>
    </row>
    <row r="64" spans="1:7" s="2" customFormat="1">
      <c r="A64" s="19"/>
      <c r="C64" s="19"/>
      <c r="D64" s="722"/>
      <c r="E64" s="722"/>
      <c r="F64" s="722"/>
      <c r="G64" s="749"/>
    </row>
    <row r="65" spans="1:7" s="2" customFormat="1">
      <c r="A65" s="19"/>
      <c r="C65" s="19"/>
      <c r="D65" s="722"/>
      <c r="E65" s="722"/>
      <c r="F65" s="722"/>
      <c r="G65" s="749"/>
    </row>
    <row r="66" spans="1:7" s="2" customFormat="1">
      <c r="A66" s="19"/>
      <c r="C66" s="19"/>
      <c r="D66" s="722"/>
      <c r="E66" s="722"/>
      <c r="F66" s="722"/>
      <c r="G66" s="749"/>
    </row>
    <row r="67" spans="1:7" s="2" customFormat="1">
      <c r="A67" s="19"/>
      <c r="C67" s="19"/>
      <c r="D67" s="722"/>
      <c r="E67" s="722"/>
      <c r="F67" s="722"/>
      <c r="G67" s="749"/>
    </row>
    <row r="68" spans="1:7" s="2" customFormat="1">
      <c r="A68" s="19"/>
      <c r="C68" s="19"/>
      <c r="D68" s="722"/>
      <c r="E68" s="722"/>
      <c r="F68" s="722"/>
      <c r="G68" s="749"/>
    </row>
    <row r="69" spans="1:7" s="2" customFormat="1">
      <c r="A69" s="19"/>
      <c r="C69" s="19"/>
      <c r="D69" s="722"/>
      <c r="E69" s="722"/>
      <c r="F69" s="722"/>
      <c r="G69" s="749"/>
    </row>
    <row r="70" spans="1:7" s="2" customFormat="1">
      <c r="A70" s="19"/>
      <c r="C70" s="19"/>
      <c r="D70" s="722"/>
      <c r="E70" s="722"/>
      <c r="F70" s="722"/>
      <c r="G70" s="749"/>
    </row>
    <row r="71" spans="1:7" s="2" customFormat="1">
      <c r="A71" s="19"/>
      <c r="C71" s="19"/>
      <c r="D71" s="722"/>
      <c r="E71" s="722"/>
      <c r="F71" s="722"/>
      <c r="G71" s="749"/>
    </row>
    <row r="72" spans="1:7" s="2" customFormat="1">
      <c r="A72" s="19"/>
      <c r="C72" s="19"/>
      <c r="D72" s="722"/>
      <c r="E72" s="722"/>
      <c r="F72" s="722"/>
      <c r="G72" s="749"/>
    </row>
    <row r="73" spans="1:7" s="2" customFormat="1">
      <c r="A73" s="19"/>
      <c r="C73" s="19"/>
      <c r="D73" s="722"/>
      <c r="E73" s="722"/>
      <c r="F73" s="722"/>
      <c r="G73" s="749"/>
    </row>
    <row r="74" spans="1:7" s="2" customFormat="1">
      <c r="A74" s="19"/>
      <c r="C74" s="19"/>
      <c r="D74" s="722"/>
      <c r="E74" s="722"/>
      <c r="F74" s="722"/>
      <c r="G74" s="749"/>
    </row>
    <row r="75" spans="1:7" s="2" customFormat="1">
      <c r="A75" s="19"/>
      <c r="C75" s="19"/>
      <c r="D75" s="722"/>
      <c r="E75" s="722"/>
      <c r="F75" s="722"/>
      <c r="G75" s="749"/>
    </row>
    <row r="76" spans="1:7" s="2" customFormat="1">
      <c r="A76" s="19"/>
      <c r="C76" s="19"/>
      <c r="D76" s="722"/>
      <c r="E76" s="722"/>
      <c r="F76" s="722"/>
      <c r="G76" s="749"/>
    </row>
    <row r="77" spans="1:7" s="2" customFormat="1">
      <c r="A77" s="19"/>
      <c r="C77" s="19"/>
      <c r="D77" s="722"/>
      <c r="E77" s="722"/>
      <c r="F77" s="722"/>
      <c r="G77" s="749"/>
    </row>
    <row r="78" spans="1:7" s="2" customFormat="1">
      <c r="A78" s="19"/>
      <c r="C78" s="19"/>
      <c r="D78" s="722"/>
      <c r="E78" s="722"/>
      <c r="F78" s="722"/>
      <c r="G78" s="749"/>
    </row>
    <row r="79" spans="1:7" s="2" customFormat="1">
      <c r="A79" s="19"/>
      <c r="C79" s="19"/>
      <c r="D79" s="722"/>
      <c r="E79" s="722"/>
      <c r="F79" s="722"/>
      <c r="G79" s="749"/>
    </row>
    <row r="80" spans="1:7" s="2" customFormat="1">
      <c r="A80" s="19"/>
      <c r="C80" s="19"/>
      <c r="D80" s="722"/>
      <c r="E80" s="722"/>
      <c r="F80" s="722"/>
      <c r="G80" s="749"/>
    </row>
    <row r="81" spans="1:7" s="2" customFormat="1">
      <c r="A81" s="19"/>
      <c r="C81" s="19"/>
      <c r="D81" s="722"/>
      <c r="E81" s="722"/>
      <c r="F81" s="722"/>
      <c r="G81" s="749"/>
    </row>
    <row r="82" spans="1:7" s="2" customFormat="1">
      <c r="A82" s="19"/>
      <c r="C82" s="19"/>
      <c r="D82" s="722"/>
      <c r="E82" s="722"/>
      <c r="F82" s="722"/>
      <c r="G82" s="749"/>
    </row>
    <row r="83" spans="1:7" s="2" customFormat="1">
      <c r="A83" s="19"/>
      <c r="D83" s="722"/>
      <c r="E83" s="722"/>
      <c r="F83" s="722"/>
      <c r="G83" s="749"/>
    </row>
    <row r="84" spans="1:7" s="2" customFormat="1">
      <c r="A84" s="19"/>
      <c r="D84" s="722"/>
      <c r="E84" s="722"/>
      <c r="F84" s="722"/>
      <c r="G84" s="749"/>
    </row>
    <row r="85" spans="1:7" s="2" customFormat="1">
      <c r="A85" s="19"/>
      <c r="D85" s="722"/>
      <c r="E85" s="722"/>
      <c r="F85" s="722"/>
      <c r="G85" s="749"/>
    </row>
    <row r="86" spans="1:7" s="2" customFormat="1">
      <c r="A86" s="19"/>
      <c r="D86" s="722"/>
      <c r="E86" s="722"/>
      <c r="F86" s="722"/>
      <c r="G86" s="749"/>
    </row>
    <row r="87" spans="1:7" s="2" customFormat="1">
      <c r="A87" s="19"/>
      <c r="D87" s="722"/>
      <c r="E87" s="722"/>
      <c r="F87" s="722"/>
      <c r="G87" s="749"/>
    </row>
    <row r="88" spans="1:7" s="2" customFormat="1">
      <c r="A88" s="19"/>
      <c r="D88" s="722"/>
      <c r="E88" s="722"/>
      <c r="F88" s="722"/>
      <c r="G88" s="749"/>
    </row>
    <row r="89" spans="1:7" s="2" customFormat="1">
      <c r="A89" s="19"/>
      <c r="D89" s="722"/>
      <c r="E89" s="722"/>
      <c r="F89" s="722"/>
      <c r="G89" s="749"/>
    </row>
    <row r="90" spans="1:7" s="2" customFormat="1">
      <c r="A90" s="19"/>
      <c r="D90" s="722"/>
      <c r="E90" s="722"/>
      <c r="F90" s="722"/>
      <c r="G90" s="749"/>
    </row>
    <row r="91" spans="1:7" s="2" customFormat="1">
      <c r="A91" s="19"/>
      <c r="D91" s="722"/>
      <c r="E91" s="722"/>
      <c r="F91" s="722"/>
      <c r="G91" s="749"/>
    </row>
    <row r="92" spans="1:7" s="2" customFormat="1">
      <c r="A92" s="19"/>
      <c r="D92" s="722"/>
      <c r="E92" s="722"/>
      <c r="F92" s="722"/>
      <c r="G92" s="749"/>
    </row>
    <row r="93" spans="1:7" s="2" customFormat="1">
      <c r="A93" s="19"/>
      <c r="D93" s="722"/>
      <c r="E93" s="722"/>
      <c r="F93" s="722"/>
      <c r="G93" s="749"/>
    </row>
    <row r="94" spans="1:7" s="2" customFormat="1">
      <c r="A94" s="19"/>
      <c r="D94" s="722"/>
      <c r="E94" s="722"/>
      <c r="F94" s="722"/>
      <c r="G94" s="749"/>
    </row>
    <row r="95" spans="1:7" s="2" customFormat="1">
      <c r="A95" s="19"/>
      <c r="D95" s="722"/>
      <c r="E95" s="722"/>
      <c r="F95" s="722"/>
      <c r="G95" s="749"/>
    </row>
    <row r="96" spans="1:7" s="2" customFormat="1">
      <c r="A96" s="19"/>
      <c r="D96" s="722"/>
      <c r="E96" s="722"/>
      <c r="F96" s="722"/>
      <c r="G96" s="749"/>
    </row>
    <row r="97" spans="1:7" s="2" customFormat="1">
      <c r="A97" s="19"/>
      <c r="D97" s="722"/>
      <c r="E97" s="722"/>
      <c r="F97" s="722"/>
      <c r="G97" s="749"/>
    </row>
    <row r="98" spans="1:7" s="2" customFormat="1">
      <c r="A98" s="19"/>
      <c r="D98" s="722"/>
      <c r="E98" s="722"/>
      <c r="F98" s="722"/>
      <c r="G98" s="749"/>
    </row>
    <row r="99" spans="1:7" s="2" customFormat="1">
      <c r="A99" s="19"/>
      <c r="D99" s="722"/>
      <c r="E99" s="722"/>
      <c r="F99" s="722"/>
      <c r="G99" s="749"/>
    </row>
    <row r="100" spans="1:7" s="2" customFormat="1">
      <c r="A100" s="19"/>
      <c r="D100" s="722"/>
      <c r="E100" s="722"/>
      <c r="F100" s="722"/>
      <c r="G100" s="749"/>
    </row>
    <row r="101" spans="1:7" s="2" customFormat="1">
      <c r="A101" s="19"/>
      <c r="D101" s="722"/>
      <c r="E101" s="722"/>
      <c r="F101" s="722"/>
      <c r="G101" s="749"/>
    </row>
    <row r="102" spans="1:7" s="2" customFormat="1">
      <c r="A102" s="19"/>
      <c r="D102" s="722"/>
      <c r="E102" s="722"/>
      <c r="F102" s="722"/>
      <c r="G102" s="749"/>
    </row>
    <row r="103" spans="1:7" s="2" customFormat="1">
      <c r="A103" s="19"/>
      <c r="D103" s="722"/>
      <c r="E103" s="722"/>
      <c r="F103" s="722"/>
      <c r="G103" s="749"/>
    </row>
    <row r="104" spans="1:7" s="2" customFormat="1">
      <c r="A104" s="19"/>
      <c r="D104" s="722"/>
      <c r="E104" s="722"/>
      <c r="F104" s="722"/>
      <c r="G104" s="749"/>
    </row>
    <row r="105" spans="1:7" s="2" customFormat="1">
      <c r="A105" s="19"/>
      <c r="D105" s="722"/>
      <c r="E105" s="722"/>
      <c r="F105" s="722"/>
      <c r="G105" s="749"/>
    </row>
    <row r="106" spans="1:7" s="2" customFormat="1">
      <c r="A106" s="19"/>
      <c r="D106" s="722"/>
      <c r="E106" s="722"/>
      <c r="F106" s="722"/>
      <c r="G106" s="749"/>
    </row>
    <row r="107" spans="1:7" s="2" customFormat="1">
      <c r="A107" s="19"/>
      <c r="D107" s="722"/>
      <c r="E107" s="722"/>
      <c r="F107" s="722"/>
      <c r="G107" s="749"/>
    </row>
    <row r="108" spans="1:7" s="2" customFormat="1">
      <c r="A108" s="19"/>
      <c r="D108" s="722"/>
      <c r="E108" s="722"/>
      <c r="F108" s="722"/>
      <c r="G108" s="749"/>
    </row>
    <row r="109" spans="1:7" s="2" customFormat="1">
      <c r="A109" s="19"/>
      <c r="D109" s="722"/>
      <c r="E109" s="722"/>
      <c r="F109" s="722"/>
      <c r="G109" s="749"/>
    </row>
    <row r="110" spans="1:7" s="2" customFormat="1">
      <c r="A110" s="19"/>
      <c r="D110" s="722"/>
      <c r="E110" s="722"/>
      <c r="F110" s="722"/>
      <c r="G110" s="749"/>
    </row>
    <row r="111" spans="1:7" s="2" customFormat="1">
      <c r="A111" s="19"/>
      <c r="D111" s="722"/>
      <c r="E111" s="722"/>
      <c r="F111" s="722"/>
      <c r="G111" s="749"/>
    </row>
    <row r="112" spans="1:7" s="2" customFormat="1">
      <c r="A112" s="19"/>
      <c r="D112" s="722"/>
      <c r="E112" s="722"/>
      <c r="F112" s="722"/>
      <c r="G112" s="749"/>
    </row>
    <row r="113" spans="1:7" s="2" customFormat="1">
      <c r="A113" s="19"/>
      <c r="D113" s="722"/>
      <c r="E113" s="722"/>
      <c r="F113" s="722"/>
      <c r="G113" s="749"/>
    </row>
    <row r="114" spans="1:7" s="2" customFormat="1">
      <c r="A114" s="19"/>
      <c r="D114" s="722"/>
      <c r="E114" s="722"/>
      <c r="F114" s="722"/>
      <c r="G114" s="749"/>
    </row>
    <row r="115" spans="1:7" s="2" customFormat="1">
      <c r="A115" s="19"/>
      <c r="D115" s="722"/>
      <c r="E115" s="722"/>
      <c r="F115" s="722"/>
      <c r="G115" s="749"/>
    </row>
    <row r="116" spans="1:7" s="2" customFormat="1">
      <c r="A116" s="19"/>
      <c r="D116" s="722"/>
      <c r="E116" s="722"/>
      <c r="F116" s="722"/>
      <c r="G116" s="749"/>
    </row>
    <row r="117" spans="1:7" s="2" customFormat="1">
      <c r="A117" s="19"/>
      <c r="D117" s="722"/>
      <c r="E117" s="722"/>
      <c r="F117" s="722"/>
      <c r="G117" s="749"/>
    </row>
    <row r="118" spans="1:7" s="2" customFormat="1">
      <c r="A118" s="19"/>
      <c r="D118" s="722"/>
      <c r="E118" s="722"/>
      <c r="F118" s="722"/>
      <c r="G118" s="749"/>
    </row>
    <row r="119" spans="1:7" s="2" customFormat="1">
      <c r="A119" s="19"/>
      <c r="D119" s="722"/>
      <c r="E119" s="722"/>
      <c r="F119" s="722"/>
      <c r="G119" s="749"/>
    </row>
    <row r="120" spans="1:7" s="2" customFormat="1">
      <c r="A120" s="19"/>
      <c r="D120" s="722"/>
      <c r="E120" s="722"/>
      <c r="F120" s="722"/>
      <c r="G120" s="749"/>
    </row>
    <row r="121" spans="1:7" s="2" customFormat="1">
      <c r="A121" s="19"/>
      <c r="D121" s="722"/>
      <c r="E121" s="722"/>
      <c r="F121" s="722"/>
      <c r="G121" s="749"/>
    </row>
    <row r="122" spans="1:7" s="2" customFormat="1">
      <c r="A122" s="19"/>
      <c r="D122" s="722"/>
      <c r="E122" s="722"/>
      <c r="F122" s="722"/>
      <c r="G122" s="749"/>
    </row>
    <row r="123" spans="1:7" s="2" customFormat="1">
      <c r="A123" s="19"/>
      <c r="D123" s="722"/>
      <c r="E123" s="722"/>
      <c r="F123" s="722"/>
      <c r="G123" s="749"/>
    </row>
    <row r="124" spans="1:7" s="2" customFormat="1">
      <c r="A124" s="19"/>
      <c r="D124" s="722"/>
      <c r="E124" s="722"/>
      <c r="F124" s="722"/>
      <c r="G124" s="749"/>
    </row>
    <row r="125" spans="1:7" s="2" customFormat="1">
      <c r="A125" s="19"/>
      <c r="D125" s="722"/>
      <c r="E125" s="722"/>
      <c r="F125" s="722"/>
      <c r="G125" s="749"/>
    </row>
    <row r="126" spans="1:7" s="2" customFormat="1">
      <c r="A126" s="19"/>
      <c r="D126" s="722"/>
      <c r="E126" s="722"/>
      <c r="F126" s="722"/>
      <c r="G126" s="749"/>
    </row>
    <row r="127" spans="1:7" s="2" customFormat="1">
      <c r="A127" s="19"/>
      <c r="D127" s="722"/>
      <c r="E127" s="722"/>
      <c r="F127" s="722"/>
      <c r="G127" s="749"/>
    </row>
    <row r="128" spans="1:7" s="2" customFormat="1">
      <c r="A128" s="19"/>
      <c r="D128" s="722"/>
      <c r="E128" s="722"/>
      <c r="F128" s="722"/>
      <c r="G128" s="749"/>
    </row>
    <row r="129" spans="1:7" s="2" customFormat="1">
      <c r="A129" s="19"/>
      <c r="D129" s="722"/>
      <c r="E129" s="722"/>
      <c r="F129" s="722"/>
      <c r="G129" s="749"/>
    </row>
    <row r="130" spans="1:7" s="2" customFormat="1">
      <c r="A130" s="19"/>
      <c r="D130" s="722"/>
      <c r="E130" s="722"/>
      <c r="F130" s="722"/>
      <c r="G130" s="749"/>
    </row>
    <row r="131" spans="1:7" s="2" customFormat="1">
      <c r="A131" s="19"/>
      <c r="D131" s="722"/>
      <c r="E131" s="722"/>
      <c r="F131" s="722"/>
      <c r="G131" s="749"/>
    </row>
    <row r="132" spans="1:7" s="2" customFormat="1">
      <c r="A132" s="19"/>
      <c r="D132" s="722"/>
      <c r="E132" s="722"/>
      <c r="F132" s="722"/>
      <c r="G132" s="749"/>
    </row>
    <row r="133" spans="1:7" s="2" customFormat="1">
      <c r="A133" s="19"/>
      <c r="D133" s="722"/>
      <c r="E133" s="722"/>
      <c r="F133" s="722"/>
      <c r="G133" s="749"/>
    </row>
    <row r="134" spans="1:7" s="2" customFormat="1">
      <c r="A134" s="19"/>
      <c r="D134" s="722"/>
      <c r="E134" s="722"/>
      <c r="F134" s="722"/>
      <c r="G134" s="749"/>
    </row>
    <row r="135" spans="1:7" s="2" customFormat="1">
      <c r="A135" s="19"/>
      <c r="D135" s="722"/>
      <c r="E135" s="722"/>
      <c r="F135" s="722"/>
      <c r="G135" s="749"/>
    </row>
    <row r="136" spans="1:7" s="2" customFormat="1">
      <c r="A136" s="19"/>
      <c r="D136" s="722"/>
      <c r="E136" s="722"/>
      <c r="F136" s="722"/>
      <c r="G136" s="749"/>
    </row>
    <row r="137" spans="1:7" s="2" customFormat="1">
      <c r="A137" s="19"/>
      <c r="D137" s="722"/>
      <c r="E137" s="722"/>
      <c r="F137" s="722"/>
      <c r="G137" s="749"/>
    </row>
    <row r="138" spans="1:7" s="2" customFormat="1">
      <c r="A138" s="19"/>
      <c r="D138" s="722"/>
      <c r="E138" s="722"/>
      <c r="F138" s="722"/>
      <c r="G138" s="749"/>
    </row>
    <row r="139" spans="1:7" s="2" customFormat="1">
      <c r="A139" s="19"/>
      <c r="D139" s="722"/>
      <c r="E139" s="722"/>
      <c r="F139" s="722"/>
      <c r="G139" s="749"/>
    </row>
    <row r="140" spans="1:7" s="2" customFormat="1">
      <c r="A140" s="19"/>
      <c r="D140" s="722"/>
      <c r="E140" s="722"/>
      <c r="F140" s="722"/>
      <c r="G140" s="749"/>
    </row>
    <row r="141" spans="1:7" s="2" customFormat="1">
      <c r="A141" s="19"/>
      <c r="D141" s="722"/>
      <c r="E141" s="722"/>
      <c r="F141" s="722"/>
      <c r="G141" s="749"/>
    </row>
    <row r="142" spans="1:7" s="2" customFormat="1">
      <c r="A142" s="19"/>
      <c r="D142" s="722"/>
      <c r="E142" s="722"/>
      <c r="F142" s="722"/>
      <c r="G142" s="749"/>
    </row>
    <row r="143" spans="1:7" s="2" customFormat="1">
      <c r="A143" s="19"/>
      <c r="D143" s="722"/>
      <c r="E143" s="722"/>
      <c r="F143" s="722"/>
      <c r="G143" s="749"/>
    </row>
    <row r="144" spans="1:7" s="2" customFormat="1">
      <c r="A144" s="19"/>
      <c r="D144" s="722"/>
      <c r="E144" s="722"/>
      <c r="F144" s="722"/>
      <c r="G144" s="749"/>
    </row>
    <row r="145" spans="1:7" s="2" customFormat="1">
      <c r="A145" s="19"/>
      <c r="D145" s="722"/>
      <c r="E145" s="722"/>
      <c r="F145" s="722"/>
      <c r="G145" s="749"/>
    </row>
    <row r="146" spans="1:7" s="2" customFormat="1">
      <c r="A146" s="19"/>
      <c r="D146" s="722"/>
      <c r="E146" s="722"/>
      <c r="F146" s="722"/>
      <c r="G146" s="749"/>
    </row>
    <row r="147" spans="1:7" s="2" customFormat="1">
      <c r="A147" s="19"/>
      <c r="D147" s="722"/>
      <c r="E147" s="722"/>
      <c r="F147" s="722"/>
      <c r="G147" s="749"/>
    </row>
    <row r="148" spans="1:7" s="2" customFormat="1">
      <c r="A148" s="19"/>
      <c r="D148" s="722"/>
      <c r="E148" s="722"/>
      <c r="F148" s="722"/>
      <c r="G148" s="749"/>
    </row>
    <row r="149" spans="1:7" s="2" customFormat="1">
      <c r="A149" s="19"/>
      <c r="D149" s="722"/>
      <c r="E149" s="722"/>
      <c r="F149" s="722"/>
      <c r="G149" s="749"/>
    </row>
    <row r="150" spans="1:7" s="2" customFormat="1">
      <c r="A150" s="19"/>
      <c r="D150" s="722"/>
      <c r="E150" s="722"/>
      <c r="F150" s="722"/>
      <c r="G150" s="749"/>
    </row>
    <row r="151" spans="1:7" s="2" customFormat="1">
      <c r="A151" s="19"/>
      <c r="D151" s="722"/>
      <c r="E151" s="722"/>
      <c r="F151" s="722"/>
      <c r="G151" s="749"/>
    </row>
    <row r="152" spans="1:7" s="2" customFormat="1">
      <c r="A152" s="19"/>
      <c r="D152" s="722"/>
      <c r="E152" s="722"/>
      <c r="F152" s="722"/>
      <c r="G152" s="749"/>
    </row>
    <row r="153" spans="1:7" s="2" customFormat="1">
      <c r="A153" s="19"/>
      <c r="D153" s="722"/>
      <c r="E153" s="722"/>
      <c r="F153" s="722"/>
      <c r="G153" s="749"/>
    </row>
    <row r="154" spans="1:7" s="2" customFormat="1">
      <c r="A154" s="19"/>
      <c r="D154" s="722"/>
      <c r="E154" s="722"/>
      <c r="F154" s="722"/>
      <c r="G154" s="749"/>
    </row>
    <row r="155" spans="1:7" s="2" customFormat="1">
      <c r="A155" s="19"/>
      <c r="D155" s="722"/>
      <c r="E155" s="722"/>
      <c r="F155" s="722"/>
      <c r="G155" s="749"/>
    </row>
    <row r="156" spans="1:7" s="2" customFormat="1">
      <c r="A156" s="19"/>
      <c r="D156" s="722"/>
      <c r="E156" s="722"/>
      <c r="F156" s="722"/>
      <c r="G156" s="749"/>
    </row>
    <row r="157" spans="1:7" s="2" customFormat="1">
      <c r="A157" s="19"/>
      <c r="D157" s="722"/>
      <c r="E157" s="722"/>
      <c r="F157" s="722"/>
      <c r="G157" s="749"/>
    </row>
    <row r="158" spans="1:7" s="2" customFormat="1">
      <c r="A158" s="19"/>
      <c r="D158" s="722"/>
      <c r="E158" s="722"/>
      <c r="F158" s="722"/>
      <c r="G158" s="749"/>
    </row>
    <row r="159" spans="1:7" s="2" customFormat="1">
      <c r="A159" s="19"/>
      <c r="D159" s="722"/>
      <c r="E159" s="722"/>
      <c r="F159" s="722"/>
      <c r="G159" s="749"/>
    </row>
    <row r="160" spans="1:7" s="2" customFormat="1">
      <c r="A160" s="19"/>
      <c r="D160" s="722"/>
      <c r="E160" s="722"/>
      <c r="F160" s="722"/>
      <c r="G160" s="749"/>
    </row>
    <row r="161" spans="1:7" s="2" customFormat="1">
      <c r="A161" s="19"/>
      <c r="D161" s="722"/>
      <c r="E161" s="722"/>
      <c r="F161" s="722"/>
      <c r="G161" s="749"/>
    </row>
    <row r="162" spans="1:7" s="2" customFormat="1">
      <c r="A162" s="19"/>
      <c r="D162" s="722"/>
      <c r="E162" s="722"/>
      <c r="F162" s="722"/>
      <c r="G162" s="749"/>
    </row>
    <row r="163" spans="1:7" s="2" customFormat="1">
      <c r="A163" s="19"/>
      <c r="D163" s="722"/>
      <c r="E163" s="722"/>
      <c r="F163" s="722"/>
      <c r="G163" s="749"/>
    </row>
    <row r="164" spans="1:7" s="2" customFormat="1">
      <c r="A164" s="19"/>
      <c r="D164" s="722"/>
      <c r="E164" s="722"/>
      <c r="F164" s="722"/>
      <c r="G164" s="749"/>
    </row>
    <row r="165" spans="1:7" s="2" customFormat="1">
      <c r="A165" s="19"/>
      <c r="D165" s="722"/>
      <c r="E165" s="722"/>
      <c r="F165" s="722"/>
      <c r="G165" s="749"/>
    </row>
    <row r="166" spans="1:7" s="2" customFormat="1">
      <c r="A166" s="19"/>
      <c r="D166" s="722"/>
      <c r="E166" s="722"/>
      <c r="F166" s="722"/>
      <c r="G166" s="749"/>
    </row>
    <row r="167" spans="1:7" s="2" customFormat="1">
      <c r="A167" s="19"/>
      <c r="D167" s="722"/>
      <c r="E167" s="722"/>
      <c r="F167" s="722"/>
      <c r="G167" s="749"/>
    </row>
    <row r="168" spans="1:7" s="2" customFormat="1">
      <c r="A168" s="19"/>
      <c r="D168" s="722"/>
      <c r="E168" s="722"/>
      <c r="F168" s="722"/>
      <c r="G168" s="749"/>
    </row>
    <row r="169" spans="1:7" s="2" customFormat="1">
      <c r="A169" s="19"/>
      <c r="D169" s="722"/>
      <c r="E169" s="722"/>
      <c r="F169" s="722"/>
      <c r="G169" s="749"/>
    </row>
    <row r="170" spans="1:7" s="2" customFormat="1">
      <c r="A170" s="19"/>
      <c r="D170" s="722"/>
      <c r="E170" s="722"/>
      <c r="F170" s="722"/>
      <c r="G170" s="749"/>
    </row>
    <row r="171" spans="1:7" s="2" customFormat="1">
      <c r="A171" s="19"/>
      <c r="D171" s="722"/>
      <c r="E171" s="722"/>
      <c r="F171" s="722"/>
      <c r="G171" s="749"/>
    </row>
    <row r="172" spans="1:7" s="2" customFormat="1">
      <c r="A172" s="19"/>
      <c r="D172" s="722"/>
      <c r="E172" s="722"/>
      <c r="F172" s="722"/>
      <c r="G172" s="749"/>
    </row>
    <row r="173" spans="1:7" s="2" customFormat="1">
      <c r="A173" s="19"/>
      <c r="D173" s="722"/>
      <c r="E173" s="722"/>
      <c r="F173" s="722"/>
      <c r="G173" s="749"/>
    </row>
    <row r="174" spans="1:7" s="2" customFormat="1">
      <c r="A174" s="19"/>
      <c r="D174" s="722"/>
      <c r="E174" s="722"/>
      <c r="F174" s="722"/>
      <c r="G174" s="749"/>
    </row>
    <row r="175" spans="1:7" s="2" customFormat="1">
      <c r="A175" s="19"/>
      <c r="D175" s="722"/>
      <c r="E175" s="722"/>
      <c r="F175" s="722"/>
      <c r="G175" s="749"/>
    </row>
    <row r="176" spans="1:7" s="2" customFormat="1">
      <c r="A176" s="19"/>
      <c r="D176" s="722"/>
      <c r="E176" s="722"/>
      <c r="F176" s="722"/>
      <c r="G176" s="749"/>
    </row>
    <row r="177" spans="1:7" s="2" customFormat="1">
      <c r="A177" s="19"/>
      <c r="D177" s="722"/>
      <c r="E177" s="722"/>
      <c r="F177" s="722"/>
      <c r="G177" s="749"/>
    </row>
    <row r="178" spans="1:7" s="2" customFormat="1">
      <c r="A178" s="19"/>
      <c r="D178" s="722"/>
      <c r="E178" s="722"/>
      <c r="F178" s="722"/>
      <c r="G178" s="749"/>
    </row>
    <row r="179" spans="1:7" s="2" customFormat="1">
      <c r="A179" s="19"/>
      <c r="D179" s="722"/>
      <c r="E179" s="722"/>
      <c r="F179" s="722"/>
      <c r="G179" s="749"/>
    </row>
    <row r="180" spans="1:7" s="2" customFormat="1">
      <c r="A180" s="19"/>
      <c r="D180" s="722"/>
      <c r="E180" s="722"/>
      <c r="F180" s="722"/>
      <c r="G180" s="749"/>
    </row>
    <row r="181" spans="1:7" s="2" customFormat="1">
      <c r="A181" s="19"/>
      <c r="D181" s="722"/>
      <c r="E181" s="722"/>
      <c r="F181" s="722"/>
      <c r="G181" s="749"/>
    </row>
    <row r="182" spans="1:7" s="2" customFormat="1">
      <c r="A182" s="19"/>
      <c r="D182" s="722"/>
      <c r="E182" s="722"/>
      <c r="F182" s="722"/>
      <c r="G182" s="749"/>
    </row>
    <row r="183" spans="1:7" s="2" customFormat="1">
      <c r="A183" s="19"/>
      <c r="D183" s="722"/>
      <c r="E183" s="722"/>
      <c r="F183" s="722"/>
      <c r="G183" s="749"/>
    </row>
    <row r="184" spans="1:7" s="2" customFormat="1">
      <c r="A184" s="19"/>
      <c r="D184" s="722"/>
      <c r="E184" s="722"/>
      <c r="F184" s="722"/>
      <c r="G184" s="749"/>
    </row>
    <row r="185" spans="1:7" s="2" customFormat="1">
      <c r="A185" s="19"/>
      <c r="D185" s="722"/>
      <c r="E185" s="722"/>
      <c r="F185" s="722"/>
      <c r="G185" s="749"/>
    </row>
    <row r="186" spans="1:7" s="2" customFormat="1">
      <c r="A186" s="19"/>
      <c r="D186" s="722"/>
      <c r="E186" s="722"/>
      <c r="F186" s="722"/>
      <c r="G186" s="749"/>
    </row>
    <row r="187" spans="1:7" s="2" customFormat="1">
      <c r="A187" s="19"/>
      <c r="D187" s="722"/>
      <c r="E187" s="722"/>
      <c r="F187" s="722"/>
      <c r="G187" s="749"/>
    </row>
    <row r="188" spans="1:7" s="2" customFormat="1">
      <c r="A188" s="19"/>
      <c r="D188" s="722"/>
      <c r="E188" s="722"/>
      <c r="F188" s="722"/>
      <c r="G188" s="749"/>
    </row>
    <row r="189" spans="1:7" s="2" customFormat="1">
      <c r="A189" s="19"/>
      <c r="D189" s="722"/>
      <c r="E189" s="722"/>
      <c r="F189" s="722"/>
      <c r="G189" s="749"/>
    </row>
    <row r="190" spans="1:7" s="2" customFormat="1">
      <c r="A190" s="19"/>
      <c r="D190" s="722"/>
      <c r="E190" s="722"/>
      <c r="F190" s="722"/>
      <c r="G190" s="749"/>
    </row>
    <row r="191" spans="1:7" s="2" customFormat="1">
      <c r="A191" s="19"/>
      <c r="D191" s="722"/>
      <c r="E191" s="722"/>
      <c r="F191" s="722"/>
      <c r="G191" s="749"/>
    </row>
    <row r="192" spans="1:7" s="2" customFormat="1">
      <c r="A192" s="19"/>
      <c r="D192" s="722"/>
      <c r="E192" s="722"/>
      <c r="F192" s="722"/>
      <c r="G192" s="749"/>
    </row>
    <row r="193" spans="1:7" s="2" customFormat="1">
      <c r="A193" s="19"/>
      <c r="D193" s="722"/>
      <c r="E193" s="722"/>
      <c r="F193" s="722"/>
      <c r="G193" s="749"/>
    </row>
    <row r="194" spans="1:7" s="2" customFormat="1">
      <c r="A194" s="19"/>
      <c r="D194" s="722"/>
      <c r="E194" s="722"/>
      <c r="F194" s="722"/>
      <c r="G194" s="749"/>
    </row>
    <row r="195" spans="1:7" s="2" customFormat="1">
      <c r="A195" s="19"/>
      <c r="D195" s="722"/>
      <c r="E195" s="722"/>
      <c r="F195" s="722"/>
      <c r="G195" s="749"/>
    </row>
    <row r="196" spans="1:7" s="2" customFormat="1">
      <c r="A196" s="19"/>
      <c r="D196" s="722"/>
      <c r="E196" s="722"/>
      <c r="F196" s="722"/>
      <c r="G196" s="749"/>
    </row>
    <row r="197" spans="1:7" s="2" customFormat="1">
      <c r="A197" s="19"/>
      <c r="D197" s="722"/>
      <c r="E197" s="722"/>
      <c r="F197" s="722"/>
      <c r="G197" s="749"/>
    </row>
    <row r="198" spans="1:7" s="2" customFormat="1">
      <c r="A198" s="19"/>
      <c r="D198" s="722"/>
      <c r="E198" s="722"/>
      <c r="F198" s="722"/>
      <c r="G198" s="749"/>
    </row>
    <row r="199" spans="1:7" s="2" customFormat="1">
      <c r="A199" s="19"/>
      <c r="D199" s="722"/>
      <c r="E199" s="722"/>
      <c r="F199" s="722"/>
      <c r="G199" s="749"/>
    </row>
    <row r="200" spans="1:7" s="2" customFormat="1">
      <c r="A200" s="19"/>
      <c r="D200" s="722"/>
      <c r="E200" s="722"/>
      <c r="F200" s="722"/>
      <c r="G200" s="749"/>
    </row>
    <row r="201" spans="1:7" s="2" customFormat="1">
      <c r="A201" s="19"/>
      <c r="D201" s="722"/>
      <c r="E201" s="722"/>
      <c r="F201" s="722"/>
      <c r="G201" s="749"/>
    </row>
    <row r="202" spans="1:7" s="2" customFormat="1">
      <c r="A202" s="19"/>
      <c r="D202" s="722"/>
      <c r="E202" s="722"/>
      <c r="F202" s="722"/>
      <c r="G202" s="749"/>
    </row>
    <row r="203" spans="1:7" s="2" customFormat="1">
      <c r="A203" s="19"/>
      <c r="D203" s="722"/>
      <c r="E203" s="722"/>
      <c r="F203" s="722"/>
      <c r="G203" s="749"/>
    </row>
    <row r="204" spans="1:7" s="2" customFormat="1">
      <c r="A204" s="19"/>
      <c r="D204" s="722"/>
      <c r="E204" s="722"/>
      <c r="F204" s="722"/>
      <c r="G204" s="749"/>
    </row>
    <row r="205" spans="1:7" s="2" customFormat="1">
      <c r="A205" s="19"/>
      <c r="D205" s="722"/>
      <c r="E205" s="722"/>
      <c r="F205" s="722"/>
      <c r="G205" s="749"/>
    </row>
    <row r="206" spans="1:7" s="2" customFormat="1">
      <c r="A206" s="19"/>
      <c r="D206" s="722"/>
      <c r="E206" s="722"/>
      <c r="F206" s="722"/>
      <c r="G206" s="749"/>
    </row>
    <row r="207" spans="1:7" s="2" customFormat="1">
      <c r="A207" s="19"/>
      <c r="D207" s="722"/>
      <c r="E207" s="722"/>
      <c r="F207" s="722"/>
      <c r="G207" s="749"/>
    </row>
    <row r="208" spans="1:7" s="2" customFormat="1">
      <c r="A208" s="19"/>
      <c r="D208" s="722"/>
      <c r="E208" s="722"/>
      <c r="F208" s="722"/>
      <c r="G208" s="749"/>
    </row>
    <row r="209" spans="1:7" s="2" customFormat="1">
      <c r="A209" s="19"/>
      <c r="D209" s="722"/>
      <c r="E209" s="722"/>
      <c r="F209" s="722"/>
      <c r="G209" s="749"/>
    </row>
    <row r="210" spans="1:7" s="2" customFormat="1">
      <c r="A210" s="19"/>
      <c r="D210" s="722"/>
      <c r="E210" s="722"/>
      <c r="F210" s="722"/>
      <c r="G210" s="749"/>
    </row>
    <row r="211" spans="1:7" s="2" customFormat="1">
      <c r="A211" s="19"/>
      <c r="D211" s="722"/>
      <c r="E211" s="722"/>
      <c r="F211" s="722"/>
      <c r="G211" s="749"/>
    </row>
    <row r="212" spans="1:7" s="2" customFormat="1">
      <c r="A212" s="19"/>
      <c r="D212" s="722"/>
      <c r="E212" s="722"/>
      <c r="F212" s="722"/>
      <c r="G212" s="749"/>
    </row>
    <row r="213" spans="1:7" s="2" customFormat="1">
      <c r="A213" s="19"/>
      <c r="D213" s="722"/>
      <c r="E213" s="722"/>
      <c r="F213" s="722"/>
      <c r="G213" s="749"/>
    </row>
    <row r="214" spans="1:7" s="2" customFormat="1">
      <c r="A214" s="19"/>
      <c r="D214" s="722"/>
      <c r="E214" s="722"/>
      <c r="F214" s="722"/>
      <c r="G214" s="749"/>
    </row>
    <row r="215" spans="1:7" s="2" customFormat="1">
      <c r="A215" s="19"/>
      <c r="D215" s="722"/>
      <c r="E215" s="722"/>
      <c r="F215" s="722"/>
      <c r="G215" s="749"/>
    </row>
    <row r="216" spans="1:7" s="2" customFormat="1">
      <c r="A216" s="19"/>
      <c r="D216" s="722"/>
      <c r="E216" s="722"/>
      <c r="F216" s="722"/>
      <c r="G216" s="749"/>
    </row>
    <row r="217" spans="1:7" s="2" customFormat="1">
      <c r="A217" s="19"/>
      <c r="D217" s="722"/>
      <c r="E217" s="722"/>
      <c r="F217" s="722"/>
      <c r="G217" s="749"/>
    </row>
    <row r="218" spans="1:7" s="2" customFormat="1">
      <c r="A218" s="19"/>
      <c r="D218" s="722"/>
      <c r="E218" s="722"/>
      <c r="F218" s="722"/>
      <c r="G218" s="749"/>
    </row>
    <row r="219" spans="1:7" s="2" customFormat="1">
      <c r="A219" s="19"/>
      <c r="D219" s="722"/>
      <c r="E219" s="722"/>
      <c r="F219" s="722"/>
      <c r="G219" s="749"/>
    </row>
    <row r="220" spans="1:7" s="2" customFormat="1">
      <c r="A220" s="19"/>
      <c r="D220" s="722"/>
      <c r="E220" s="722"/>
      <c r="F220" s="722"/>
      <c r="G220" s="749"/>
    </row>
    <row r="221" spans="1:7" s="2" customFormat="1">
      <c r="A221" s="19"/>
      <c r="D221" s="722"/>
      <c r="E221" s="722"/>
      <c r="F221" s="722"/>
      <c r="G221" s="749"/>
    </row>
    <row r="222" spans="1:7" s="2" customFormat="1">
      <c r="A222" s="19"/>
      <c r="D222" s="722"/>
      <c r="E222" s="722"/>
      <c r="F222" s="722"/>
      <c r="G222" s="749"/>
    </row>
    <row r="223" spans="1:7" s="2" customFormat="1">
      <c r="A223" s="19"/>
      <c r="D223" s="722"/>
      <c r="E223" s="722"/>
      <c r="F223" s="722"/>
      <c r="G223" s="749"/>
    </row>
    <row r="224" spans="1:7" s="2" customFormat="1">
      <c r="A224" s="19"/>
      <c r="D224" s="722"/>
      <c r="E224" s="722"/>
      <c r="F224" s="722"/>
      <c r="G224" s="749"/>
    </row>
    <row r="225" spans="1:7" s="2" customFormat="1">
      <c r="A225" s="19"/>
      <c r="D225" s="722"/>
      <c r="E225" s="722"/>
      <c r="F225" s="722"/>
      <c r="G225" s="749"/>
    </row>
    <row r="226" spans="1:7" s="2" customFormat="1">
      <c r="A226" s="19"/>
      <c r="D226" s="722"/>
      <c r="E226" s="722"/>
      <c r="F226" s="722"/>
      <c r="G226" s="749"/>
    </row>
    <row r="227" spans="1:7" s="2" customFormat="1">
      <c r="A227" s="19"/>
      <c r="D227" s="722"/>
      <c r="E227" s="722"/>
      <c r="F227" s="722"/>
      <c r="G227" s="749"/>
    </row>
    <row r="228" spans="1:7" s="2" customFormat="1">
      <c r="A228" s="19"/>
      <c r="D228" s="722"/>
      <c r="E228" s="722"/>
      <c r="F228" s="722"/>
      <c r="G228" s="749"/>
    </row>
    <row r="229" spans="1:7" s="2" customFormat="1">
      <c r="A229" s="19"/>
      <c r="D229" s="722"/>
      <c r="E229" s="722"/>
      <c r="F229" s="722"/>
      <c r="G229" s="749"/>
    </row>
    <row r="230" spans="1:7" s="2" customFormat="1">
      <c r="A230" s="19"/>
      <c r="D230" s="722"/>
      <c r="E230" s="722"/>
      <c r="F230" s="722"/>
      <c r="G230" s="749"/>
    </row>
    <row r="231" spans="1:7" s="2" customFormat="1">
      <c r="A231" s="19"/>
      <c r="D231" s="722"/>
      <c r="E231" s="722"/>
      <c r="F231" s="722"/>
      <c r="G231" s="749"/>
    </row>
    <row r="232" spans="1:7" s="2" customFormat="1">
      <c r="A232" s="19"/>
      <c r="D232" s="722"/>
      <c r="E232" s="722"/>
      <c r="F232" s="722"/>
      <c r="G232" s="749"/>
    </row>
    <row r="233" spans="1:7" s="2" customFormat="1">
      <c r="A233" s="19"/>
      <c r="D233" s="722"/>
      <c r="E233" s="722"/>
      <c r="F233" s="722"/>
      <c r="G233" s="749"/>
    </row>
    <row r="234" spans="1:7" s="2" customFormat="1">
      <c r="A234" s="19"/>
      <c r="D234" s="722"/>
      <c r="E234" s="722"/>
      <c r="F234" s="722"/>
      <c r="G234" s="749"/>
    </row>
    <row r="235" spans="1:7" s="2" customFormat="1">
      <c r="A235" s="19"/>
      <c r="D235" s="722"/>
      <c r="E235" s="722"/>
      <c r="F235" s="722"/>
      <c r="G235" s="749"/>
    </row>
    <row r="236" spans="1:7" s="2" customFormat="1">
      <c r="A236" s="19"/>
      <c r="D236" s="722"/>
      <c r="E236" s="722"/>
      <c r="F236" s="722"/>
      <c r="G236" s="749"/>
    </row>
    <row r="237" spans="1:7" s="2" customFormat="1">
      <c r="A237" s="19"/>
      <c r="D237" s="722"/>
      <c r="E237" s="722"/>
      <c r="F237" s="722"/>
      <c r="G237" s="749"/>
    </row>
    <row r="238" spans="1:7" s="2" customFormat="1">
      <c r="A238" s="19"/>
      <c r="D238" s="722"/>
      <c r="E238" s="722"/>
      <c r="F238" s="722"/>
      <c r="G238" s="749"/>
    </row>
    <row r="239" spans="1:7" s="2" customFormat="1">
      <c r="A239" s="19"/>
      <c r="D239" s="722"/>
      <c r="E239" s="722"/>
      <c r="F239" s="722"/>
      <c r="G239" s="749"/>
    </row>
    <row r="240" spans="1:7" s="2" customFormat="1">
      <c r="A240" s="19"/>
      <c r="D240" s="722"/>
      <c r="E240" s="722"/>
      <c r="F240" s="722"/>
      <c r="G240" s="749"/>
    </row>
    <row r="241" spans="1:7" s="2" customFormat="1">
      <c r="A241" s="19"/>
      <c r="D241" s="722"/>
      <c r="E241" s="722"/>
      <c r="F241" s="722"/>
      <c r="G241" s="749"/>
    </row>
    <row r="242" spans="1:7" s="2" customFormat="1">
      <c r="A242" s="19"/>
      <c r="D242" s="722"/>
      <c r="E242" s="722"/>
      <c r="F242" s="722"/>
      <c r="G242" s="749"/>
    </row>
    <row r="243" spans="1:7" s="2" customFormat="1">
      <c r="A243" s="19"/>
      <c r="D243" s="722"/>
      <c r="E243" s="722"/>
      <c r="F243" s="722"/>
      <c r="G243" s="749"/>
    </row>
    <row r="244" spans="1:7" s="2" customFormat="1">
      <c r="A244" s="19"/>
      <c r="D244" s="722"/>
      <c r="E244" s="722"/>
      <c r="F244" s="722"/>
      <c r="G244" s="749"/>
    </row>
    <row r="245" spans="1:7" s="2" customFormat="1">
      <c r="A245" s="19"/>
      <c r="D245" s="722"/>
      <c r="E245" s="722"/>
      <c r="F245" s="722"/>
      <c r="G245" s="749"/>
    </row>
    <row r="246" spans="1:7" s="2" customFormat="1">
      <c r="A246" s="19"/>
      <c r="D246" s="722"/>
      <c r="E246" s="722"/>
      <c r="F246" s="722"/>
      <c r="G246" s="749"/>
    </row>
    <row r="247" spans="1:7" s="2" customFormat="1">
      <c r="A247" s="19"/>
      <c r="D247" s="722"/>
      <c r="E247" s="722"/>
      <c r="F247" s="722"/>
      <c r="G247" s="749"/>
    </row>
    <row r="248" spans="1:7" s="2" customFormat="1">
      <c r="A248" s="19"/>
      <c r="D248" s="722"/>
      <c r="E248" s="722"/>
      <c r="F248" s="722"/>
      <c r="G248" s="749"/>
    </row>
    <row r="249" spans="1:7" s="2" customFormat="1">
      <c r="A249" s="19"/>
      <c r="D249" s="722"/>
      <c r="E249" s="722"/>
      <c r="F249" s="722"/>
      <c r="G249" s="749"/>
    </row>
    <row r="250" spans="1:7" s="2" customFormat="1">
      <c r="A250" s="19"/>
      <c r="D250" s="722"/>
      <c r="E250" s="722"/>
      <c r="F250" s="722"/>
      <c r="G250" s="749"/>
    </row>
    <row r="251" spans="1:7" s="2" customFormat="1">
      <c r="A251" s="19"/>
      <c r="D251" s="722"/>
      <c r="E251" s="722"/>
      <c r="F251" s="722"/>
      <c r="G251" s="749"/>
    </row>
    <row r="252" spans="1:7" s="2" customFormat="1">
      <c r="A252" s="19"/>
      <c r="D252" s="722"/>
      <c r="E252" s="722"/>
      <c r="F252" s="722"/>
      <c r="G252" s="749"/>
    </row>
    <row r="253" spans="1:7" s="2" customFormat="1">
      <c r="A253" s="19"/>
      <c r="D253" s="722"/>
      <c r="E253" s="722"/>
      <c r="F253" s="722"/>
      <c r="G253" s="749"/>
    </row>
    <row r="254" spans="1:7" s="2" customFormat="1">
      <c r="A254" s="19"/>
      <c r="D254" s="722"/>
      <c r="E254" s="722"/>
      <c r="F254" s="722"/>
      <c r="G254" s="749"/>
    </row>
    <row r="255" spans="1:7" s="2" customFormat="1">
      <c r="A255" s="19"/>
      <c r="D255" s="722"/>
      <c r="E255" s="722"/>
      <c r="F255" s="722"/>
      <c r="G255" s="749"/>
    </row>
    <row r="256" spans="1:7" s="2" customFormat="1">
      <c r="A256" s="19"/>
      <c r="D256" s="722"/>
      <c r="E256" s="722"/>
      <c r="F256" s="722"/>
      <c r="G256" s="749"/>
    </row>
    <row r="257" spans="1:7" s="2" customFormat="1">
      <c r="A257" s="19"/>
      <c r="D257" s="722"/>
      <c r="E257" s="722"/>
      <c r="F257" s="722"/>
      <c r="G257" s="749"/>
    </row>
    <row r="258" spans="1:7" s="2" customFormat="1">
      <c r="A258" s="19"/>
      <c r="D258" s="722"/>
      <c r="E258" s="722"/>
      <c r="F258" s="722"/>
      <c r="G258" s="749"/>
    </row>
    <row r="259" spans="1:7" s="2" customFormat="1">
      <c r="A259" s="19"/>
      <c r="D259" s="722"/>
      <c r="E259" s="722"/>
      <c r="F259" s="722"/>
      <c r="G259" s="749"/>
    </row>
    <row r="260" spans="1:7" s="2" customFormat="1">
      <c r="A260" s="19"/>
      <c r="D260" s="722"/>
      <c r="E260" s="722"/>
      <c r="F260" s="722"/>
      <c r="G260" s="749"/>
    </row>
    <row r="261" spans="1:7" s="2" customFormat="1">
      <c r="A261" s="19"/>
      <c r="D261" s="722"/>
      <c r="E261" s="722"/>
      <c r="F261" s="722"/>
      <c r="G261" s="749"/>
    </row>
    <row r="262" spans="1:7" s="2" customFormat="1">
      <c r="A262" s="19"/>
      <c r="D262" s="722"/>
      <c r="E262" s="722"/>
      <c r="F262" s="722"/>
      <c r="G262" s="749"/>
    </row>
    <row r="263" spans="1:7" s="2" customFormat="1">
      <c r="A263" s="19"/>
      <c r="D263" s="722"/>
      <c r="E263" s="722"/>
      <c r="F263" s="722"/>
      <c r="G263" s="749"/>
    </row>
    <row r="264" spans="1:7" s="2" customFormat="1">
      <c r="A264" s="19"/>
      <c r="D264" s="722"/>
      <c r="E264" s="722"/>
      <c r="F264" s="722"/>
      <c r="G264" s="749"/>
    </row>
    <row r="265" spans="1:7" s="2" customFormat="1">
      <c r="A265" s="19"/>
      <c r="D265" s="722"/>
      <c r="E265" s="722"/>
      <c r="F265" s="722"/>
      <c r="G265" s="749"/>
    </row>
    <row r="266" spans="1:7" s="2" customFormat="1">
      <c r="A266" s="19"/>
      <c r="D266" s="722"/>
      <c r="E266" s="722"/>
      <c r="F266" s="722"/>
      <c r="G266" s="749"/>
    </row>
    <row r="267" spans="1:7" s="2" customFormat="1">
      <c r="A267" s="19"/>
      <c r="D267" s="722"/>
      <c r="E267" s="722"/>
      <c r="F267" s="722"/>
      <c r="G267" s="749"/>
    </row>
    <row r="268" spans="1:7" s="2" customFormat="1">
      <c r="A268" s="19"/>
      <c r="D268" s="722"/>
      <c r="E268" s="722"/>
      <c r="F268" s="722"/>
      <c r="G268" s="749"/>
    </row>
    <row r="269" spans="1:7" s="2" customFormat="1">
      <c r="A269" s="19"/>
      <c r="D269" s="722"/>
      <c r="E269" s="722"/>
      <c r="F269" s="722"/>
      <c r="G269" s="749"/>
    </row>
    <row r="270" spans="1:7" s="2" customFormat="1">
      <c r="A270" s="19"/>
      <c r="D270" s="722"/>
      <c r="E270" s="722"/>
      <c r="F270" s="722"/>
      <c r="G270" s="749"/>
    </row>
    <row r="271" spans="1:7" s="2" customFormat="1">
      <c r="A271" s="19"/>
      <c r="D271" s="722"/>
      <c r="E271" s="722"/>
      <c r="F271" s="722"/>
      <c r="G271" s="749"/>
    </row>
    <row r="272" spans="1:7" s="2" customFormat="1">
      <c r="A272" s="19"/>
      <c r="D272" s="722"/>
      <c r="E272" s="722"/>
      <c r="F272" s="722"/>
      <c r="G272" s="749"/>
    </row>
    <row r="273" spans="1:7" s="2" customFormat="1">
      <c r="A273" s="19"/>
      <c r="D273" s="722"/>
      <c r="E273" s="722"/>
      <c r="F273" s="722"/>
      <c r="G273" s="749"/>
    </row>
    <row r="274" spans="1:7" s="2" customFormat="1">
      <c r="A274" s="19"/>
      <c r="D274" s="722"/>
      <c r="E274" s="722"/>
      <c r="F274" s="722"/>
      <c r="G274" s="749"/>
    </row>
    <row r="275" spans="1:7" s="2" customFormat="1">
      <c r="A275" s="19"/>
      <c r="D275" s="722"/>
      <c r="E275" s="722"/>
      <c r="F275" s="722"/>
      <c r="G275" s="749"/>
    </row>
    <row r="276" spans="1:7" s="2" customFormat="1">
      <c r="A276" s="19"/>
      <c r="D276" s="722"/>
      <c r="E276" s="722"/>
      <c r="F276" s="722"/>
      <c r="G276" s="749"/>
    </row>
    <row r="277" spans="1:7" s="2" customFormat="1">
      <c r="A277" s="19"/>
      <c r="D277" s="722"/>
      <c r="E277" s="722"/>
      <c r="F277" s="722"/>
      <c r="G277" s="749"/>
    </row>
    <row r="278" spans="1:7" s="2" customFormat="1">
      <c r="A278" s="19"/>
      <c r="D278" s="722"/>
      <c r="E278" s="722"/>
      <c r="F278" s="722"/>
      <c r="G278" s="749"/>
    </row>
    <row r="279" spans="1:7" s="2" customFormat="1">
      <c r="A279" s="19"/>
      <c r="D279" s="722"/>
      <c r="E279" s="722"/>
      <c r="F279" s="722"/>
      <c r="G279" s="749"/>
    </row>
    <row r="280" spans="1:7" s="2" customFormat="1">
      <c r="A280" s="19"/>
      <c r="D280" s="722"/>
      <c r="E280" s="722"/>
      <c r="F280" s="722"/>
      <c r="G280" s="749"/>
    </row>
    <row r="281" spans="1:7" s="2" customFormat="1">
      <c r="A281" s="19"/>
      <c r="D281" s="722"/>
      <c r="E281" s="722"/>
      <c r="F281" s="722"/>
      <c r="G281" s="749"/>
    </row>
    <row r="282" spans="1:7" s="2" customFormat="1">
      <c r="A282" s="19"/>
      <c r="D282" s="722"/>
      <c r="E282" s="722"/>
      <c r="F282" s="722"/>
      <c r="G282" s="749"/>
    </row>
    <row r="283" spans="1:7" s="2" customFormat="1">
      <c r="A283" s="19"/>
      <c r="D283" s="722"/>
      <c r="E283" s="722"/>
      <c r="F283" s="722"/>
      <c r="G283" s="749"/>
    </row>
    <row r="284" spans="1:7" s="2" customFormat="1">
      <c r="A284" s="19"/>
      <c r="D284" s="722"/>
      <c r="E284" s="722"/>
      <c r="F284" s="722"/>
      <c r="G284" s="749"/>
    </row>
    <row r="285" spans="1:7" s="2" customFormat="1">
      <c r="A285" s="19"/>
      <c r="D285" s="722"/>
      <c r="E285" s="722"/>
      <c r="F285" s="722"/>
      <c r="G285" s="749"/>
    </row>
    <row r="286" spans="1:7" s="2" customFormat="1">
      <c r="A286" s="19"/>
      <c r="D286" s="722"/>
      <c r="E286" s="722"/>
      <c r="F286" s="722"/>
      <c r="G286" s="749"/>
    </row>
    <row r="287" spans="1:7" s="2" customFormat="1">
      <c r="A287" s="19"/>
      <c r="D287" s="722"/>
      <c r="E287" s="722"/>
      <c r="F287" s="722"/>
      <c r="G287" s="749"/>
    </row>
    <row r="288" spans="1:7" s="2" customFormat="1">
      <c r="A288" s="19"/>
      <c r="D288" s="722"/>
      <c r="E288" s="722"/>
      <c r="F288" s="722"/>
      <c r="G288" s="749"/>
    </row>
    <row r="289" spans="1:7" s="2" customFormat="1">
      <c r="A289" s="19"/>
      <c r="D289" s="722"/>
      <c r="E289" s="722"/>
      <c r="F289" s="722"/>
      <c r="G289" s="749"/>
    </row>
    <row r="290" spans="1:7" s="2" customFormat="1">
      <c r="A290" s="19"/>
      <c r="D290" s="722"/>
      <c r="E290" s="722"/>
      <c r="F290" s="722"/>
      <c r="G290" s="749"/>
    </row>
    <row r="291" spans="1:7" s="2" customFormat="1">
      <c r="A291" s="19"/>
      <c r="D291" s="722"/>
      <c r="E291" s="722"/>
      <c r="F291" s="722"/>
      <c r="G291" s="749"/>
    </row>
    <row r="292" spans="1:7" s="2" customFormat="1">
      <c r="A292" s="19"/>
      <c r="D292" s="722"/>
      <c r="E292" s="722"/>
      <c r="F292" s="722"/>
      <c r="G292" s="749"/>
    </row>
    <row r="293" spans="1:7" s="2" customFormat="1">
      <c r="A293" s="19"/>
      <c r="D293" s="722"/>
      <c r="E293" s="722"/>
      <c r="F293" s="722"/>
      <c r="G293" s="749"/>
    </row>
    <row r="294" spans="1:7" s="2" customFormat="1">
      <c r="A294" s="19"/>
      <c r="D294" s="722"/>
      <c r="E294" s="722"/>
      <c r="F294" s="722"/>
      <c r="G294" s="749"/>
    </row>
    <row r="295" spans="1:7" s="2" customFormat="1">
      <c r="A295" s="19"/>
      <c r="D295" s="722"/>
      <c r="E295" s="722"/>
      <c r="F295" s="722"/>
      <c r="G295" s="749"/>
    </row>
    <row r="296" spans="1:7" s="2" customFormat="1">
      <c r="A296" s="19"/>
      <c r="D296" s="722"/>
      <c r="E296" s="722"/>
      <c r="F296" s="722"/>
      <c r="G296" s="749"/>
    </row>
    <row r="297" spans="1:7" s="2" customFormat="1">
      <c r="A297" s="19"/>
      <c r="D297" s="722"/>
      <c r="E297" s="722"/>
      <c r="F297" s="722"/>
      <c r="G297" s="749"/>
    </row>
    <row r="298" spans="1:7" s="2" customFormat="1">
      <c r="A298" s="19"/>
      <c r="D298" s="722"/>
      <c r="E298" s="722"/>
      <c r="F298" s="722"/>
      <c r="G298" s="749"/>
    </row>
    <row r="299" spans="1:7" s="2" customFormat="1">
      <c r="A299" s="19"/>
      <c r="D299" s="722"/>
      <c r="E299" s="722"/>
      <c r="F299" s="722"/>
      <c r="G299" s="749"/>
    </row>
    <row r="300" spans="1:7" s="2" customFormat="1">
      <c r="A300" s="19"/>
      <c r="D300" s="722"/>
      <c r="E300" s="722"/>
      <c r="F300" s="722"/>
      <c r="G300" s="749"/>
    </row>
    <row r="301" spans="1:7" s="2" customFormat="1">
      <c r="A301" s="19"/>
      <c r="D301" s="722"/>
      <c r="E301" s="722"/>
      <c r="F301" s="722"/>
      <c r="G301" s="749"/>
    </row>
    <row r="302" spans="1:7" s="2" customFormat="1">
      <c r="A302" s="19"/>
      <c r="D302" s="722"/>
      <c r="E302" s="722"/>
      <c r="F302" s="722"/>
      <c r="G302" s="749"/>
    </row>
    <row r="303" spans="1:7" s="2" customFormat="1">
      <c r="A303" s="19"/>
      <c r="D303" s="722"/>
      <c r="E303" s="722"/>
      <c r="F303" s="722"/>
      <c r="G303" s="749"/>
    </row>
    <row r="304" spans="1:7" s="2" customFormat="1">
      <c r="A304" s="19"/>
      <c r="D304" s="722"/>
      <c r="E304" s="722"/>
      <c r="F304" s="722"/>
      <c r="G304" s="749"/>
    </row>
    <row r="305" spans="1:7" s="2" customFormat="1">
      <c r="A305" s="19"/>
      <c r="D305" s="722"/>
      <c r="E305" s="722"/>
      <c r="F305" s="722"/>
      <c r="G305" s="749"/>
    </row>
    <row r="306" spans="1:7" s="2" customFormat="1">
      <c r="A306" s="19"/>
      <c r="D306" s="722"/>
      <c r="E306" s="722"/>
      <c r="F306" s="722"/>
      <c r="G306" s="749"/>
    </row>
    <row r="307" spans="1:7" s="2" customFormat="1">
      <c r="A307" s="19"/>
      <c r="D307" s="722"/>
      <c r="E307" s="722"/>
      <c r="F307" s="722"/>
      <c r="G307" s="749"/>
    </row>
    <row r="308" spans="1:7" s="2" customFormat="1">
      <c r="A308" s="19"/>
      <c r="D308" s="722"/>
      <c r="E308" s="722"/>
      <c r="F308" s="722"/>
      <c r="G308" s="749"/>
    </row>
    <row r="309" spans="1:7" s="2" customFormat="1">
      <c r="A309" s="19"/>
      <c r="D309" s="722"/>
      <c r="E309" s="722"/>
      <c r="F309" s="722"/>
      <c r="G309" s="749"/>
    </row>
    <row r="310" spans="1:7" s="2" customFormat="1">
      <c r="A310" s="19"/>
      <c r="D310" s="722"/>
      <c r="E310" s="722"/>
      <c r="F310" s="722"/>
      <c r="G310" s="749"/>
    </row>
    <row r="311" spans="1:7" s="4" customFormat="1">
      <c r="A311" s="15"/>
      <c r="D311" s="757"/>
      <c r="E311" s="757"/>
      <c r="F311" s="757"/>
      <c r="G311" s="750"/>
    </row>
    <row r="312" spans="1:7" s="4" customFormat="1">
      <c r="A312" s="15"/>
      <c r="D312" s="757"/>
      <c r="E312" s="757"/>
      <c r="F312" s="757"/>
      <c r="G312" s="750"/>
    </row>
    <row r="313" spans="1:7" s="4" customFormat="1">
      <c r="A313" s="15"/>
      <c r="D313" s="757"/>
      <c r="E313" s="757"/>
      <c r="F313" s="757"/>
      <c r="G313" s="750"/>
    </row>
    <row r="314" spans="1:7" s="4" customFormat="1">
      <c r="A314" s="15"/>
      <c r="D314" s="757"/>
      <c r="E314" s="757"/>
      <c r="F314" s="757"/>
      <c r="G314" s="750"/>
    </row>
    <row r="315" spans="1:7" s="4" customFormat="1">
      <c r="A315" s="15"/>
      <c r="D315" s="757"/>
      <c r="E315" s="757"/>
      <c r="F315" s="757"/>
      <c r="G315" s="750"/>
    </row>
    <row r="316" spans="1:7" s="4" customFormat="1">
      <c r="A316" s="15"/>
      <c r="D316" s="757"/>
      <c r="E316" s="757"/>
      <c r="F316" s="757"/>
      <c r="G316" s="750"/>
    </row>
    <row r="317" spans="1:7" s="4" customFormat="1">
      <c r="A317" s="15"/>
      <c r="D317" s="757"/>
      <c r="E317" s="757"/>
      <c r="F317" s="757"/>
      <c r="G317" s="750"/>
    </row>
    <row r="318" spans="1:7" s="4" customFormat="1">
      <c r="A318" s="15"/>
      <c r="D318" s="757"/>
      <c r="E318" s="757"/>
      <c r="F318" s="757"/>
      <c r="G318" s="750"/>
    </row>
    <row r="319" spans="1:7" s="4" customFormat="1">
      <c r="A319" s="15"/>
      <c r="D319" s="757"/>
      <c r="E319" s="757"/>
      <c r="F319" s="757"/>
      <c r="G319" s="750"/>
    </row>
    <row r="320" spans="1:7" s="4" customFormat="1">
      <c r="A320" s="15"/>
      <c r="D320" s="757"/>
      <c r="E320" s="757"/>
      <c r="F320" s="757"/>
      <c r="G320" s="750"/>
    </row>
    <row r="321" spans="1:7" s="4" customFormat="1">
      <c r="A321" s="15"/>
      <c r="D321" s="757"/>
      <c r="E321" s="757"/>
      <c r="F321" s="757"/>
      <c r="G321" s="750"/>
    </row>
    <row r="322" spans="1:7" s="4" customFormat="1">
      <c r="A322" s="15"/>
      <c r="D322" s="757"/>
      <c r="E322" s="757"/>
      <c r="F322" s="757"/>
      <c r="G322" s="750"/>
    </row>
    <row r="323" spans="1:7" s="4" customFormat="1">
      <c r="A323" s="15"/>
      <c r="D323" s="757"/>
      <c r="E323" s="757"/>
      <c r="F323" s="757"/>
      <c r="G323" s="750"/>
    </row>
    <row r="324" spans="1:7" s="4" customFormat="1">
      <c r="A324" s="15"/>
      <c r="D324" s="757"/>
      <c r="E324" s="757"/>
      <c r="F324" s="757"/>
      <c r="G324" s="750"/>
    </row>
    <row r="325" spans="1:7" s="4" customFormat="1">
      <c r="A325" s="15"/>
      <c r="D325" s="757"/>
      <c r="E325" s="757"/>
      <c r="F325" s="757"/>
      <c r="G325" s="750"/>
    </row>
    <row r="326" spans="1:7" s="4" customFormat="1">
      <c r="A326" s="15"/>
      <c r="D326" s="757"/>
      <c r="E326" s="757"/>
      <c r="F326" s="757"/>
      <c r="G326" s="750"/>
    </row>
    <row r="327" spans="1:7" s="4" customFormat="1">
      <c r="A327" s="15"/>
      <c r="D327" s="757"/>
      <c r="E327" s="757"/>
      <c r="F327" s="757"/>
      <c r="G327" s="750"/>
    </row>
    <row r="328" spans="1:7" s="4" customFormat="1">
      <c r="A328" s="15"/>
      <c r="D328" s="757"/>
      <c r="E328" s="757"/>
      <c r="F328" s="757"/>
      <c r="G328" s="750"/>
    </row>
    <row r="329" spans="1:7" s="4" customFormat="1">
      <c r="A329" s="15"/>
      <c r="D329" s="757"/>
      <c r="E329" s="757"/>
      <c r="F329" s="757"/>
      <c r="G329" s="750"/>
    </row>
    <row r="330" spans="1:7" s="4" customFormat="1">
      <c r="A330" s="15"/>
      <c r="D330" s="757"/>
      <c r="E330" s="757"/>
      <c r="F330" s="757"/>
      <c r="G330" s="750"/>
    </row>
    <row r="331" spans="1:7" s="4" customFormat="1">
      <c r="A331" s="15"/>
      <c r="D331" s="757"/>
      <c r="E331" s="757"/>
      <c r="F331" s="757"/>
      <c r="G331" s="750"/>
    </row>
    <row r="332" spans="1:7" s="4" customFormat="1">
      <c r="A332" s="15"/>
      <c r="D332" s="757"/>
      <c r="E332" s="757"/>
      <c r="F332" s="757"/>
      <c r="G332" s="750"/>
    </row>
    <row r="333" spans="1:7" s="4" customFormat="1">
      <c r="A333" s="15"/>
      <c r="D333" s="757"/>
      <c r="E333" s="757"/>
      <c r="F333" s="757"/>
      <c r="G333" s="750"/>
    </row>
    <row r="334" spans="1:7" s="4" customFormat="1">
      <c r="A334" s="15"/>
      <c r="D334" s="757"/>
      <c r="E334" s="757"/>
      <c r="F334" s="757"/>
      <c r="G334" s="750"/>
    </row>
    <row r="335" spans="1:7" s="4" customFormat="1">
      <c r="A335" s="15"/>
      <c r="D335" s="757"/>
      <c r="E335" s="757"/>
      <c r="F335" s="757"/>
      <c r="G335" s="750"/>
    </row>
    <row r="336" spans="1:7" s="4" customFormat="1">
      <c r="A336" s="15"/>
      <c r="D336" s="757"/>
      <c r="E336" s="757"/>
      <c r="F336" s="757"/>
      <c r="G336" s="750"/>
    </row>
    <row r="337" spans="1:7" s="4" customFormat="1">
      <c r="A337" s="15"/>
      <c r="D337" s="757"/>
      <c r="E337" s="757"/>
      <c r="F337" s="757"/>
      <c r="G337" s="750"/>
    </row>
    <row r="338" spans="1:7" s="4" customFormat="1">
      <c r="A338" s="15"/>
      <c r="D338" s="757"/>
      <c r="E338" s="757"/>
      <c r="F338" s="757"/>
      <c r="G338" s="750"/>
    </row>
    <row r="339" spans="1:7" s="4" customFormat="1">
      <c r="A339" s="15"/>
      <c r="D339" s="757"/>
      <c r="E339" s="757"/>
      <c r="F339" s="757"/>
      <c r="G339" s="750"/>
    </row>
    <row r="340" spans="1:7" s="4" customFormat="1">
      <c r="A340" s="15"/>
      <c r="D340" s="757"/>
      <c r="E340" s="757"/>
      <c r="F340" s="757"/>
      <c r="G340" s="750"/>
    </row>
    <row r="341" spans="1:7" s="4" customFormat="1">
      <c r="A341" s="15"/>
      <c r="D341" s="757"/>
      <c r="E341" s="757"/>
      <c r="F341" s="757"/>
      <c r="G341" s="750"/>
    </row>
    <row r="342" spans="1:7" s="4" customFormat="1">
      <c r="A342" s="15"/>
      <c r="D342" s="757"/>
      <c r="E342" s="757"/>
      <c r="F342" s="757"/>
      <c r="G342" s="750"/>
    </row>
    <row r="343" spans="1:7" s="4" customFormat="1">
      <c r="A343" s="15"/>
      <c r="D343" s="757"/>
      <c r="E343" s="757"/>
      <c r="F343" s="757"/>
      <c r="G343" s="750"/>
    </row>
    <row r="344" spans="1:7" s="4" customFormat="1">
      <c r="A344" s="15"/>
      <c r="D344" s="757"/>
      <c r="E344" s="757"/>
      <c r="F344" s="757"/>
      <c r="G344" s="750"/>
    </row>
    <row r="345" spans="1:7" s="4" customFormat="1">
      <c r="A345" s="15"/>
      <c r="D345" s="757"/>
      <c r="E345" s="757"/>
      <c r="F345" s="757"/>
      <c r="G345" s="750"/>
    </row>
    <row r="346" spans="1:7" s="4" customFormat="1">
      <c r="A346" s="15"/>
      <c r="D346" s="757"/>
      <c r="E346" s="757"/>
      <c r="F346" s="757"/>
      <c r="G346" s="750"/>
    </row>
    <row r="347" spans="1:7" s="4" customFormat="1">
      <c r="A347" s="15"/>
      <c r="D347" s="757"/>
      <c r="E347" s="757"/>
      <c r="F347" s="757"/>
      <c r="G347" s="750"/>
    </row>
    <row r="348" spans="1:7" s="4" customFormat="1">
      <c r="A348" s="15"/>
      <c r="D348" s="757"/>
      <c r="E348" s="757"/>
      <c r="F348" s="757"/>
      <c r="G348" s="750"/>
    </row>
    <row r="349" spans="1:7" s="4" customFormat="1">
      <c r="A349" s="15"/>
      <c r="D349" s="757"/>
      <c r="E349" s="757"/>
      <c r="F349" s="757"/>
      <c r="G349" s="750"/>
    </row>
    <row r="350" spans="1:7" s="4" customFormat="1">
      <c r="A350" s="15"/>
      <c r="D350" s="757"/>
      <c r="E350" s="757"/>
      <c r="F350" s="757"/>
      <c r="G350" s="750"/>
    </row>
    <row r="351" spans="1:7" s="4" customFormat="1">
      <c r="A351" s="15"/>
      <c r="D351" s="757"/>
      <c r="E351" s="757"/>
      <c r="F351" s="757"/>
      <c r="G351" s="750"/>
    </row>
    <row r="352" spans="1:7" s="4" customFormat="1">
      <c r="A352" s="15"/>
      <c r="D352" s="757"/>
      <c r="E352" s="757"/>
      <c r="F352" s="757"/>
      <c r="G352" s="750"/>
    </row>
    <row r="353" spans="1:7" s="4" customFormat="1">
      <c r="A353" s="15"/>
      <c r="D353" s="757"/>
      <c r="E353" s="757"/>
      <c r="F353" s="757"/>
      <c r="G353" s="750"/>
    </row>
    <row r="354" spans="1:7" s="4" customFormat="1">
      <c r="A354" s="15"/>
      <c r="D354" s="757"/>
      <c r="E354" s="757"/>
      <c r="F354" s="757"/>
      <c r="G354" s="750"/>
    </row>
    <row r="355" spans="1:7" s="4" customFormat="1">
      <c r="A355" s="15"/>
      <c r="D355" s="757"/>
      <c r="E355" s="757"/>
      <c r="F355" s="757"/>
      <c r="G355" s="750"/>
    </row>
    <row r="356" spans="1:7" s="4" customFormat="1">
      <c r="A356" s="15"/>
      <c r="D356" s="757"/>
      <c r="E356" s="757"/>
      <c r="F356" s="757"/>
      <c r="G356" s="750"/>
    </row>
    <row r="357" spans="1:7" s="4" customFormat="1">
      <c r="A357" s="15"/>
      <c r="D357" s="757"/>
      <c r="E357" s="757"/>
      <c r="F357" s="757"/>
      <c r="G357" s="750"/>
    </row>
    <row r="358" spans="1:7" s="4" customFormat="1">
      <c r="A358" s="15"/>
      <c r="D358" s="757"/>
      <c r="E358" s="757"/>
      <c r="F358" s="757"/>
      <c r="G358" s="750"/>
    </row>
    <row r="359" spans="1:7" s="4" customFormat="1">
      <c r="A359" s="15"/>
      <c r="D359" s="757"/>
      <c r="E359" s="757"/>
      <c r="F359" s="757"/>
      <c r="G359" s="750"/>
    </row>
    <row r="360" spans="1:7" s="4" customFormat="1">
      <c r="A360" s="15"/>
      <c r="D360" s="757"/>
      <c r="E360" s="757"/>
      <c r="F360" s="757"/>
      <c r="G360" s="750"/>
    </row>
    <row r="361" spans="1:7" s="4" customFormat="1">
      <c r="A361" s="15"/>
      <c r="D361" s="757"/>
      <c r="E361" s="757"/>
      <c r="F361" s="757"/>
      <c r="G361" s="750"/>
    </row>
    <row r="362" spans="1:7" s="4" customFormat="1">
      <c r="A362" s="15"/>
      <c r="D362" s="757"/>
      <c r="E362" s="757"/>
      <c r="F362" s="757"/>
      <c r="G362" s="750"/>
    </row>
    <row r="363" spans="1:7" s="4" customFormat="1">
      <c r="A363" s="15"/>
      <c r="D363" s="757"/>
      <c r="E363" s="757"/>
      <c r="F363" s="757"/>
      <c r="G363" s="750"/>
    </row>
    <row r="364" spans="1:7" s="4" customFormat="1">
      <c r="A364" s="15"/>
      <c r="D364" s="757"/>
      <c r="E364" s="757"/>
      <c r="F364" s="757"/>
      <c r="G364" s="750"/>
    </row>
    <row r="365" spans="1:7" s="4" customFormat="1">
      <c r="A365" s="15"/>
      <c r="D365" s="757"/>
      <c r="E365" s="757"/>
      <c r="F365" s="757"/>
      <c r="G365" s="750"/>
    </row>
    <row r="366" spans="1:7" s="4" customFormat="1">
      <c r="A366" s="15"/>
      <c r="D366" s="757"/>
      <c r="E366" s="757"/>
      <c r="F366" s="757"/>
      <c r="G366" s="750"/>
    </row>
    <row r="367" spans="1:7" s="4" customFormat="1">
      <c r="A367" s="15"/>
      <c r="D367" s="757"/>
      <c r="E367" s="757"/>
      <c r="F367" s="757"/>
      <c r="G367" s="750"/>
    </row>
    <row r="368" spans="1:7" s="4" customFormat="1">
      <c r="A368" s="15"/>
      <c r="D368" s="757"/>
      <c r="E368" s="757"/>
      <c r="F368" s="757"/>
      <c r="G368" s="750"/>
    </row>
    <row r="369" spans="1:7" s="4" customFormat="1">
      <c r="A369" s="15"/>
      <c r="D369" s="757"/>
      <c r="E369" s="757"/>
      <c r="F369" s="757"/>
      <c r="G369" s="750"/>
    </row>
    <row r="370" spans="1:7" s="4" customFormat="1">
      <c r="A370" s="15"/>
      <c r="D370" s="757"/>
      <c r="E370" s="757"/>
      <c r="F370" s="757"/>
      <c r="G370" s="750"/>
    </row>
    <row r="371" spans="1:7" s="4" customFormat="1">
      <c r="A371" s="15"/>
      <c r="D371" s="757"/>
      <c r="E371" s="757"/>
      <c r="F371" s="757"/>
      <c r="G371" s="750"/>
    </row>
    <row r="372" spans="1:7" s="4" customFormat="1">
      <c r="A372" s="15"/>
      <c r="D372" s="757"/>
      <c r="E372" s="757"/>
      <c r="F372" s="757"/>
      <c r="G372" s="750"/>
    </row>
    <row r="373" spans="1:7" s="4" customFormat="1">
      <c r="A373" s="15"/>
      <c r="D373" s="757"/>
      <c r="E373" s="757"/>
      <c r="F373" s="757"/>
      <c r="G373" s="750"/>
    </row>
    <row r="374" spans="1:7" s="4" customFormat="1">
      <c r="A374" s="15"/>
      <c r="D374" s="757"/>
      <c r="E374" s="757"/>
      <c r="F374" s="757"/>
      <c r="G374" s="750"/>
    </row>
    <row r="375" spans="1:7" s="4" customFormat="1">
      <c r="A375" s="15"/>
      <c r="D375" s="757"/>
      <c r="E375" s="757"/>
      <c r="F375" s="757"/>
      <c r="G375" s="750"/>
    </row>
    <row r="376" spans="1:7" s="4" customFormat="1">
      <c r="A376" s="15"/>
      <c r="D376" s="757"/>
      <c r="E376" s="757"/>
      <c r="F376" s="757"/>
      <c r="G376" s="750"/>
    </row>
    <row r="377" spans="1:7" s="4" customFormat="1">
      <c r="A377" s="15"/>
      <c r="D377" s="757"/>
      <c r="E377" s="757"/>
      <c r="F377" s="757"/>
      <c r="G377" s="750"/>
    </row>
    <row r="378" spans="1:7" s="4" customFormat="1">
      <c r="A378" s="15"/>
      <c r="D378" s="757"/>
      <c r="E378" s="757"/>
      <c r="F378" s="757"/>
      <c r="G378" s="750"/>
    </row>
    <row r="379" spans="1:7" s="4" customFormat="1">
      <c r="A379" s="15"/>
      <c r="D379" s="757"/>
      <c r="E379" s="757"/>
      <c r="F379" s="757"/>
      <c r="G379" s="750"/>
    </row>
    <row r="380" spans="1:7" s="4" customFormat="1">
      <c r="A380" s="15"/>
      <c r="D380" s="757"/>
      <c r="E380" s="757"/>
      <c r="F380" s="757"/>
      <c r="G380" s="750"/>
    </row>
    <row r="381" spans="1:7" s="4" customFormat="1">
      <c r="A381" s="15"/>
      <c r="D381" s="757"/>
      <c r="E381" s="757"/>
      <c r="F381" s="757"/>
      <c r="G381" s="750"/>
    </row>
  </sheetData>
  <sheetProtection password="C74A" sheet="1" objects="1" scenarios="1" formatCells="0" formatColumns="0" formatRows="0"/>
  <customSheetViews>
    <customSheetView guid="{B8E02330-2419-4DE6-AD01-7ACC7A5D18DD}" scale="75">
      <pageMargins left="0.75" right="0.75" top="1" bottom="1" header="0.5" footer="0.5"/>
      <pageSetup orientation="portrait" horizontalDpi="300" verticalDpi="300" r:id="rId1"/>
      <headerFooter alignWithMargins="0"/>
    </customSheetView>
  </customSheetViews>
  <mergeCells count="38">
    <mergeCell ref="I21:I26"/>
    <mergeCell ref="H29:I29"/>
    <mergeCell ref="E1:I1"/>
    <mergeCell ref="I3:I7"/>
    <mergeCell ref="I8:I13"/>
    <mergeCell ref="I14:I17"/>
    <mergeCell ref="I18:I20"/>
    <mergeCell ref="C28:H28"/>
    <mergeCell ref="H18:H20"/>
    <mergeCell ref="H21:H26"/>
    <mergeCell ref="H8:H13"/>
    <mergeCell ref="H14:H17"/>
    <mergeCell ref="H3:H7"/>
    <mergeCell ref="A31:A41"/>
    <mergeCell ref="A21:A26"/>
    <mergeCell ref="A28:B30"/>
    <mergeCell ref="C29:E29"/>
    <mergeCell ref="C31:E31"/>
    <mergeCell ref="C32:E32"/>
    <mergeCell ref="C33:E33"/>
    <mergeCell ref="C34:E34"/>
    <mergeCell ref="C35:E35"/>
    <mergeCell ref="C36:E36"/>
    <mergeCell ref="C37:E37"/>
    <mergeCell ref="C38:E38"/>
    <mergeCell ref="C39:E39"/>
    <mergeCell ref="C40:E40"/>
    <mergeCell ref="C41:E41"/>
    <mergeCell ref="B21:B26"/>
    <mergeCell ref="A18:A20"/>
    <mergeCell ref="A14:A17"/>
    <mergeCell ref="A8:A13"/>
    <mergeCell ref="B8:B13"/>
    <mergeCell ref="A1:B1"/>
    <mergeCell ref="B14:B17"/>
    <mergeCell ref="B18:B20"/>
    <mergeCell ref="B3:B7"/>
    <mergeCell ref="A3:A7"/>
  </mergeCells>
  <phoneticPr fontId="2" type="noConversion"/>
  <pageMargins left="0.75" right="0.75" top="1" bottom="1" header="0.5" footer="0.5"/>
  <pageSetup orientation="portrait" horizontalDpi="300" verticalDpi="300" r:id="rId2"/>
  <headerFooter alignWithMargins="0"/>
</worksheet>
</file>

<file path=xl/worksheets/sheet25.xml><?xml version="1.0" encoding="utf-8"?>
<worksheet xmlns="http://schemas.openxmlformats.org/spreadsheetml/2006/main" xmlns:r="http://schemas.openxmlformats.org/officeDocument/2006/relationships">
  <sheetPr codeName="Sheet21">
    <tabColor indexed="51"/>
  </sheetPr>
  <dimension ref="A1:O356"/>
  <sheetViews>
    <sheetView zoomScaleNormal="100" workbookViewId="0">
      <selection sqref="A1:B1"/>
    </sheetView>
  </sheetViews>
  <sheetFormatPr defaultColWidth="9.33203125" defaultRowHeight="13.8"/>
  <cols>
    <col min="1" max="1" width="5.77734375" style="33" customWidth="1"/>
    <col min="2" max="2" width="18.77734375" style="7" customWidth="1"/>
    <col min="3" max="3" width="69.77734375" style="12" customWidth="1"/>
    <col min="4" max="6" width="6.77734375" style="359" customWidth="1"/>
    <col min="7" max="7" width="9.77734375" style="1016" customWidth="1"/>
    <col min="8" max="8" width="69.77734375" style="33" customWidth="1"/>
    <col min="9" max="9" width="11.77734375" style="3" customWidth="1"/>
    <col min="10" max="16384" width="9.33203125" style="3"/>
  </cols>
  <sheetData>
    <row r="1" spans="1:9" s="133" customFormat="1" ht="51" customHeight="1" thickBot="1">
      <c r="A1" s="2418" t="s">
        <v>1766</v>
      </c>
      <c r="B1" s="2419"/>
      <c r="C1" s="127" t="s">
        <v>1247</v>
      </c>
      <c r="D1" s="1017" t="s">
        <v>1248</v>
      </c>
      <c r="E1" s="2961"/>
      <c r="F1" s="2962"/>
      <c r="G1" s="2962"/>
      <c r="H1" s="2962"/>
      <c r="I1" s="2962"/>
    </row>
    <row r="2" spans="1:9" s="143" customFormat="1" ht="36" customHeight="1" thickBot="1">
      <c r="A2" s="1582" t="s">
        <v>168</v>
      </c>
      <c r="B2" s="1582" t="s">
        <v>1117</v>
      </c>
      <c r="C2" s="1584" t="s">
        <v>1354</v>
      </c>
      <c r="D2" s="1583" t="s">
        <v>64</v>
      </c>
      <c r="E2" s="1746" t="s">
        <v>1383</v>
      </c>
      <c r="F2" s="1706" t="s">
        <v>1384</v>
      </c>
      <c r="G2" s="1747" t="s">
        <v>1293</v>
      </c>
      <c r="H2" s="1582" t="s">
        <v>1294</v>
      </c>
      <c r="I2" s="1710" t="s">
        <v>2622</v>
      </c>
    </row>
    <row r="3" spans="1:9" s="71" customFormat="1" ht="21" customHeight="1" thickBot="1">
      <c r="A3" s="2911" t="str">
        <f>OF!A11</f>
        <v>OF2</v>
      </c>
      <c r="B3" s="2911" t="str">
        <f>OF!B11</f>
        <v>Wetland + Water Total Area</v>
      </c>
      <c r="C3" s="949" t="str">
        <f>OF!C11</f>
        <v>The total area of the AA including ponded water within or adjoining it is:</v>
      </c>
      <c r="D3" s="1307"/>
      <c r="E3" s="965"/>
      <c r="F3" s="966"/>
      <c r="G3" s="746">
        <f>MAX(F4:F9)/MAX(E4:E9)</f>
        <v>0</v>
      </c>
      <c r="H3" s="2212" t="s">
        <v>1860</v>
      </c>
      <c r="I3" s="2611" t="s">
        <v>1595</v>
      </c>
    </row>
    <row r="4" spans="1:9" s="71" customFormat="1" ht="15" customHeight="1">
      <c r="A4" s="2912"/>
      <c r="B4" s="2912"/>
      <c r="C4" s="950" t="str">
        <f>OF!C12</f>
        <v>&lt;0.01 hectare (about 10 m x 10 m)</v>
      </c>
      <c r="D4" s="328">
        <f>OF!D12</f>
        <v>0</v>
      </c>
      <c r="E4" s="1004">
        <v>5</v>
      </c>
      <c r="F4" s="892">
        <f t="shared" ref="F4:F9" si="0">D4*E4</f>
        <v>0</v>
      </c>
      <c r="G4" s="968"/>
      <c r="H4" s="2213"/>
      <c r="I4" s="2612"/>
    </row>
    <row r="5" spans="1:9" s="71" customFormat="1" ht="15" customHeight="1">
      <c r="A5" s="2912"/>
      <c r="B5" s="2912"/>
      <c r="C5" s="951" t="str">
        <f>OF!C13</f>
        <v>0.01 - 0.1 hectare</v>
      </c>
      <c r="D5" s="328">
        <f>OF!D13</f>
        <v>0</v>
      </c>
      <c r="E5" s="1004">
        <v>4</v>
      </c>
      <c r="F5" s="892">
        <f t="shared" si="0"/>
        <v>0</v>
      </c>
      <c r="G5" s="969"/>
      <c r="H5" s="2213"/>
      <c r="I5" s="2612"/>
    </row>
    <row r="6" spans="1:9" s="71" customFormat="1" ht="15" customHeight="1">
      <c r="A6" s="2912"/>
      <c r="B6" s="2912"/>
      <c r="C6" s="951" t="str">
        <f>OF!C14</f>
        <v>0.1 - 1 hectare</v>
      </c>
      <c r="D6" s="1317">
        <f>OF!D14</f>
        <v>0</v>
      </c>
      <c r="E6" s="1004">
        <v>3</v>
      </c>
      <c r="F6" s="892">
        <f t="shared" si="0"/>
        <v>0</v>
      </c>
      <c r="G6" s="969"/>
      <c r="H6" s="2213"/>
      <c r="I6" s="2612"/>
    </row>
    <row r="7" spans="1:9" s="71" customFormat="1" ht="15" customHeight="1">
      <c r="A7" s="2912"/>
      <c r="B7" s="2912"/>
      <c r="C7" s="951" t="str">
        <f>OF!C15</f>
        <v>1 to 10 hectares</v>
      </c>
      <c r="D7" s="330">
        <f>OF!D15</f>
        <v>0</v>
      </c>
      <c r="E7" s="1004">
        <v>3</v>
      </c>
      <c r="F7" s="892">
        <f t="shared" si="0"/>
        <v>0</v>
      </c>
      <c r="G7" s="969"/>
      <c r="H7" s="2213"/>
      <c r="I7" s="2612"/>
    </row>
    <row r="8" spans="1:9" s="71" customFormat="1" ht="15" customHeight="1">
      <c r="A8" s="2912"/>
      <c r="B8" s="2912"/>
      <c r="C8" s="951" t="str">
        <f>OF!C16</f>
        <v>10 to 100 hectares</v>
      </c>
      <c r="D8" s="328">
        <f>OF!D16</f>
        <v>0</v>
      </c>
      <c r="E8" s="1004">
        <v>2</v>
      </c>
      <c r="F8" s="892">
        <f t="shared" si="0"/>
        <v>0</v>
      </c>
      <c r="G8" s="969"/>
      <c r="H8" s="2213"/>
      <c r="I8" s="2612"/>
    </row>
    <row r="9" spans="1:9" s="71" customFormat="1" ht="15" customHeight="1" thickBot="1">
      <c r="A9" s="2912"/>
      <c r="B9" s="2932"/>
      <c r="C9" s="1146" t="str">
        <f>OF!C17</f>
        <v>&gt;100 hectares</v>
      </c>
      <c r="D9" s="329">
        <f>OF!D17</f>
        <v>0</v>
      </c>
      <c r="E9" s="1005">
        <v>1</v>
      </c>
      <c r="F9" s="977">
        <f t="shared" si="0"/>
        <v>0</v>
      </c>
      <c r="G9" s="978"/>
      <c r="H9" s="2213"/>
      <c r="I9" s="2613"/>
    </row>
    <row r="10" spans="1:9" s="71" customFormat="1" ht="60" customHeight="1" thickBot="1">
      <c r="A10" s="2920" t="str">
        <f>OF!A18</f>
        <v>OF3</v>
      </c>
      <c r="B10" s="2911" t="str">
        <f>OF!B18</f>
        <v xml:space="preserve">Size of Largest Nearby Vegetated Tract or Corridor </v>
      </c>
      <c r="C10" s="949" t="str">
        <f>OF!C18</f>
        <v>Including the AA's vegetated area, the largest patch or corridor that is unmanaged vegetation cover (excluding lawn, row crops, heavily grazed lands, conifer plantation) and is contiguous with vegetation in the AA (i.e., not completely separated by highways or channels that are uniformly wider than 50 m), occupies:</v>
      </c>
      <c r="D10" s="965"/>
      <c r="E10" s="965"/>
      <c r="F10" s="966"/>
      <c r="G10" s="746">
        <f>MAX(F11:F15)/MAX(E11:E15)</f>
        <v>0</v>
      </c>
      <c r="H10" s="2148" t="s">
        <v>166</v>
      </c>
      <c r="I10" s="2936" t="s">
        <v>698</v>
      </c>
    </row>
    <row r="11" spans="1:9" s="71" customFormat="1" ht="15" customHeight="1">
      <c r="A11" s="2921"/>
      <c r="B11" s="2912"/>
      <c r="C11" s="950" t="str">
        <f>OF!C19</f>
        <v>&lt;0.01 hectare (about 10 m x 10 m)</v>
      </c>
      <c r="D11" s="327">
        <f>OF!D19</f>
        <v>0</v>
      </c>
      <c r="E11" s="967">
        <v>4</v>
      </c>
      <c r="F11" s="892">
        <f>D11*E11</f>
        <v>0</v>
      </c>
      <c r="G11" s="968"/>
      <c r="H11" s="2146"/>
      <c r="I11" s="2937"/>
    </row>
    <row r="12" spans="1:9" s="71" customFormat="1" ht="15" customHeight="1">
      <c r="A12" s="2921"/>
      <c r="B12" s="2912"/>
      <c r="C12" s="951" t="str">
        <f>OF!C20</f>
        <v>0.01 - 0.1 hectare</v>
      </c>
      <c r="D12" s="328">
        <f>OF!D20</f>
        <v>0</v>
      </c>
      <c r="E12" s="967">
        <v>3</v>
      </c>
      <c r="F12" s="892">
        <f>D12*E12</f>
        <v>0</v>
      </c>
      <c r="G12" s="969"/>
      <c r="H12" s="2146"/>
      <c r="I12" s="2937"/>
    </row>
    <row r="13" spans="1:9" s="71" customFormat="1" ht="15" customHeight="1">
      <c r="A13" s="2921"/>
      <c r="B13" s="2912"/>
      <c r="C13" s="951" t="str">
        <f>OF!C21</f>
        <v>0.1 - 1 hectare</v>
      </c>
      <c r="D13" s="328">
        <f>OF!D21</f>
        <v>0</v>
      </c>
      <c r="E13" s="967">
        <v>2</v>
      </c>
      <c r="F13" s="892">
        <f>D13*E13</f>
        <v>0</v>
      </c>
      <c r="G13" s="969"/>
      <c r="H13" s="2146"/>
      <c r="I13" s="2937"/>
    </row>
    <row r="14" spans="1:9" s="71" customFormat="1" ht="15" customHeight="1">
      <c r="A14" s="2921"/>
      <c r="B14" s="2912"/>
      <c r="C14" s="951" t="str">
        <f>OF!C24</f>
        <v>100 to 1000 hectares</v>
      </c>
      <c r="D14" s="328">
        <f>OF!D24</f>
        <v>0</v>
      </c>
      <c r="E14" s="967">
        <v>1</v>
      </c>
      <c r="F14" s="892">
        <f>D14*E14</f>
        <v>0</v>
      </c>
      <c r="G14" s="969"/>
      <c r="H14" s="2146"/>
      <c r="I14" s="2937"/>
    </row>
    <row r="15" spans="1:9" s="71" customFormat="1" ht="15" customHeight="1" thickBot="1">
      <c r="A15" s="2922"/>
      <c r="B15" s="2932"/>
      <c r="C15" s="952" t="str">
        <f>OF!C25</f>
        <v>&gt;1000 hectares [This is nearly always the answer in relatively undeveloped landscapes.]</v>
      </c>
      <c r="D15" s="329">
        <f>OF!D25</f>
        <v>0</v>
      </c>
      <c r="E15" s="984">
        <v>0</v>
      </c>
      <c r="F15" s="971">
        <f>D15*E15</f>
        <v>0</v>
      </c>
      <c r="G15" s="972"/>
      <c r="H15" s="2149"/>
      <c r="I15" s="2938"/>
    </row>
    <row r="16" spans="1:9" s="71" customFormat="1" ht="30" customHeight="1" thickBot="1">
      <c r="A16" s="2917" t="str">
        <f>OF!A26</f>
        <v>OF4</v>
      </c>
      <c r="B16" s="2911" t="str">
        <f>OF!B26</f>
        <v>Distance to Large Vegetated Tract</v>
      </c>
      <c r="C16" s="949" t="str">
        <f>OF!C26</f>
        <v>The minimum distance from the AA edge to the edge of the closest patch or corridor of unmanaged vegetated land (excluding row crops, lawn, conifer plantation) larger than 375 hectares, is:</v>
      </c>
      <c r="D16" s="1307"/>
      <c r="E16" s="965"/>
      <c r="F16" s="966"/>
      <c r="G16" s="746">
        <f>MAX(F17:F23)/MAX(E17:E23)</f>
        <v>0</v>
      </c>
      <c r="H16" s="2148" t="s">
        <v>1859</v>
      </c>
      <c r="I16" s="2936" t="s">
        <v>697</v>
      </c>
    </row>
    <row r="17" spans="1:15" s="71" customFormat="1" ht="42" customHeight="1">
      <c r="A17" s="2918"/>
      <c r="B17" s="2923"/>
      <c r="C17" s="1333" t="str">
        <f>OF!C27</f>
        <v>&lt;50 m, and not separated from the 375-ha vegetated area by any width of roads, stretches of open water, row crops, bare ground, lawn, or impervious surface. Or the AA itself contains &gt;375 ha of vegetation. [This is often the answer in relatively undeveloped landscapes].</v>
      </c>
      <c r="D17" s="328">
        <f>OF!D27</f>
        <v>0</v>
      </c>
      <c r="E17" s="1004">
        <v>0</v>
      </c>
      <c r="F17" s="892">
        <f t="shared" ref="F17:F23" si="1">D17*E17</f>
        <v>0</v>
      </c>
      <c r="G17" s="968"/>
      <c r="H17" s="2146"/>
      <c r="I17" s="2937"/>
    </row>
    <row r="18" spans="1:15" s="71" customFormat="1" ht="27" customHeight="1">
      <c r="A18" s="2918"/>
      <c r="B18" s="2923"/>
      <c r="C18" s="1330" t="str">
        <f>OF!C28</f>
        <v>&lt;50 m, but completely separated from the 375-ha vegetated area by those features, and AA does not contain &gt;375 ha of vegetation.</v>
      </c>
      <c r="D18" s="1306">
        <f>OF!D28</f>
        <v>0</v>
      </c>
      <c r="E18" s="1004">
        <v>1</v>
      </c>
      <c r="F18" s="892">
        <f t="shared" si="1"/>
        <v>0</v>
      </c>
      <c r="G18" s="969"/>
      <c r="H18" s="2146"/>
      <c r="I18" s="2937"/>
    </row>
    <row r="19" spans="1:15" s="71" customFormat="1" ht="15" customHeight="1">
      <c r="A19" s="2918"/>
      <c r="B19" s="2923"/>
      <c r="C19" s="1332" t="str">
        <f>OF!C29</f>
        <v>50-500 m, and not separated.</v>
      </c>
      <c r="D19" s="328">
        <f>OF!D29</f>
        <v>0</v>
      </c>
      <c r="E19" s="1004">
        <v>2</v>
      </c>
      <c r="F19" s="892">
        <f t="shared" si="1"/>
        <v>0</v>
      </c>
      <c r="G19" s="969"/>
      <c r="H19" s="2146"/>
      <c r="I19" s="2937"/>
    </row>
    <row r="20" spans="1:15" s="71" customFormat="1" ht="15" customHeight="1">
      <c r="A20" s="2918"/>
      <c r="B20" s="2923"/>
      <c r="C20" s="1330" t="str">
        <f>OF!C30</f>
        <v>50-500 m, but separated by those features.</v>
      </c>
      <c r="D20" s="328">
        <f>OF!D30</f>
        <v>0</v>
      </c>
      <c r="E20" s="1004">
        <v>3</v>
      </c>
      <c r="F20" s="892">
        <f t="shared" si="1"/>
        <v>0</v>
      </c>
      <c r="G20" s="969"/>
      <c r="H20" s="2146"/>
      <c r="I20" s="2937"/>
    </row>
    <row r="21" spans="1:15" s="71" customFormat="1" ht="15" customHeight="1">
      <c r="A21" s="2918"/>
      <c r="B21" s="2923"/>
      <c r="C21" s="1332" t="str">
        <f>OF!C31</f>
        <v>0.5 - 5 km, and not separated.</v>
      </c>
      <c r="D21" s="328">
        <f>OF!D31</f>
        <v>0</v>
      </c>
      <c r="E21" s="1004">
        <v>4</v>
      </c>
      <c r="F21" s="892">
        <f t="shared" si="1"/>
        <v>0</v>
      </c>
      <c r="G21" s="969"/>
      <c r="H21" s="2146"/>
      <c r="I21" s="2937"/>
    </row>
    <row r="22" spans="1:15" s="71" customFormat="1" ht="15" customHeight="1">
      <c r="A22" s="2918"/>
      <c r="B22" s="2923"/>
      <c r="C22" s="1332" t="str">
        <f>OF!C32</f>
        <v>0.5 - 5 km, but separated by those features.</v>
      </c>
      <c r="D22" s="328">
        <f>OF!D32</f>
        <v>0</v>
      </c>
      <c r="E22" s="1004">
        <v>5</v>
      </c>
      <c r="F22" s="892">
        <f t="shared" si="1"/>
        <v>0</v>
      </c>
      <c r="G22" s="969"/>
      <c r="H22" s="2146"/>
      <c r="I22" s="2937"/>
    </row>
    <row r="23" spans="1:15" s="71" customFormat="1" ht="15" customHeight="1" thickBot="1">
      <c r="A23" s="2919"/>
      <c r="B23" s="2924"/>
      <c r="C23" s="1331" t="str">
        <f>OF!C33</f>
        <v>none of the above (the closest patches or corridors which are that large are &gt;5 km away).</v>
      </c>
      <c r="D23" s="329">
        <f>OF!D33</f>
        <v>0</v>
      </c>
      <c r="E23" s="1012">
        <v>6</v>
      </c>
      <c r="F23" s="971">
        <f t="shared" si="1"/>
        <v>0</v>
      </c>
      <c r="G23" s="972"/>
      <c r="H23" s="2149"/>
      <c r="I23" s="2938"/>
    </row>
    <row r="24" spans="1:15" s="71" customFormat="1" ht="45" customHeight="1" thickBot="1">
      <c r="A24" s="2917" t="str">
        <f>OF!A36</f>
        <v>OF7</v>
      </c>
      <c r="B24" s="2917" t="str">
        <f>OF!B36</f>
        <v>Local Vegetated Cover Percentage</v>
      </c>
      <c r="C24" s="1328" t="str">
        <f>OF!C36</f>
        <v>Draw a 5-km radius circle measured from the center of the AA.  Ignoring all permanent water in the circle, the percent of the remaining area that is NOT lawn, row crops, heavily grazed land, clearcuts, or conifer plantations is:</v>
      </c>
      <c r="D24" s="1323"/>
      <c r="E24" s="987"/>
      <c r="F24" s="1001"/>
      <c r="G24" s="746">
        <f>MAX(F25:F29)/MAX(E25:E29)</f>
        <v>0</v>
      </c>
      <c r="H24" s="2212"/>
      <c r="I24" s="2611" t="s">
        <v>1594</v>
      </c>
    </row>
    <row r="25" spans="1:15" s="71" customFormat="1" ht="15" customHeight="1">
      <c r="A25" s="2918"/>
      <c r="B25" s="2918"/>
      <c r="C25" s="1327" t="str">
        <f>OF!C37</f>
        <v xml:space="preserve">&lt;5% of the land. </v>
      </c>
      <c r="D25" s="328">
        <f>OF!D37</f>
        <v>0</v>
      </c>
      <c r="E25" s="967">
        <v>5</v>
      </c>
      <c r="F25" s="892">
        <f>D25*E25</f>
        <v>0</v>
      </c>
      <c r="G25" s="969"/>
      <c r="H25" s="2213"/>
      <c r="I25" s="2612"/>
    </row>
    <row r="26" spans="1:15" s="71" customFormat="1" ht="15" customHeight="1">
      <c r="A26" s="2918"/>
      <c r="B26" s="2918"/>
      <c r="C26" s="1868" t="str">
        <f>OF!C38</f>
        <v>5 to 20% of the land.</v>
      </c>
      <c r="D26" s="328">
        <f>OF!D38</f>
        <v>0</v>
      </c>
      <c r="E26" s="967">
        <v>4</v>
      </c>
      <c r="F26" s="892">
        <f>D26*E26</f>
        <v>0</v>
      </c>
      <c r="G26" s="969"/>
      <c r="H26" s="2213"/>
      <c r="I26" s="2612"/>
    </row>
    <row r="27" spans="1:15" s="71" customFormat="1" ht="15" customHeight="1">
      <c r="A27" s="2918"/>
      <c r="B27" s="2918"/>
      <c r="C27" s="1332" t="str">
        <f>OF!C39</f>
        <v>20 to 60% of the land.</v>
      </c>
      <c r="D27" s="328">
        <f>OF!D39</f>
        <v>0</v>
      </c>
      <c r="E27" s="967">
        <v>3</v>
      </c>
      <c r="F27" s="892">
        <f>D27*E27</f>
        <v>0</v>
      </c>
      <c r="G27" s="969"/>
      <c r="H27" s="2213"/>
      <c r="I27" s="2612"/>
    </row>
    <row r="28" spans="1:15" s="71" customFormat="1" ht="15" customHeight="1">
      <c r="A28" s="2918"/>
      <c r="B28" s="2918"/>
      <c r="C28" s="1332" t="str">
        <f>OF!C40</f>
        <v>60 to 90% of the land.</v>
      </c>
      <c r="D28" s="328">
        <f>OF!D40</f>
        <v>0</v>
      </c>
      <c r="E28" s="967">
        <v>2</v>
      </c>
      <c r="F28" s="892">
        <f>D28*E28</f>
        <v>0</v>
      </c>
      <c r="G28" s="969"/>
      <c r="H28" s="2213"/>
      <c r="I28" s="2612"/>
    </row>
    <row r="29" spans="1:15" s="71" customFormat="1" ht="15" customHeight="1" thickBot="1">
      <c r="A29" s="2918"/>
      <c r="B29" s="2918"/>
      <c r="C29" s="1327" t="str">
        <f>OF!C41</f>
        <v>&gt;90% of the land. SKIP to OF9.</v>
      </c>
      <c r="D29" s="330">
        <f>OF!D41</f>
        <v>0</v>
      </c>
      <c r="E29" s="976">
        <v>0</v>
      </c>
      <c r="F29" s="977">
        <f>D29*E29</f>
        <v>0</v>
      </c>
      <c r="G29" s="978"/>
      <c r="H29" s="2377"/>
      <c r="I29" s="2613"/>
    </row>
    <row r="30" spans="1:15" s="71" customFormat="1" ht="21" customHeight="1" thickBot="1">
      <c r="A30" s="2958" t="str">
        <f>OF!A59</f>
        <v>OF12</v>
      </c>
      <c r="B30" s="2940" t="str">
        <f>OF!B59</f>
        <v>Distance to Ponded Water</v>
      </c>
      <c r="C30" s="949" t="str">
        <f>OF!C59</f>
        <v>The distance from the AA edge to the closest (but separate) pond or lake is:</v>
      </c>
      <c r="D30" s="965"/>
      <c r="E30" s="965"/>
      <c r="F30" s="966"/>
      <c r="G30" s="746">
        <f>MAX(F31:F37)/MAX(E31:E37)</f>
        <v>0</v>
      </c>
      <c r="H30" s="2212" t="s">
        <v>166</v>
      </c>
      <c r="I30" s="2936" t="s">
        <v>699</v>
      </c>
      <c r="O30" s="72"/>
    </row>
    <row r="31" spans="1:15" s="71" customFormat="1" ht="27" customHeight="1">
      <c r="A31" s="2959"/>
      <c r="B31" s="2939"/>
      <c r="C31" s="1333" t="str">
        <f>OF!C60</f>
        <v xml:space="preserve">&lt;50 m, and not separated by any width of roads, stretches of open water, row crops, lawn, bare ground, or impervious surface. </v>
      </c>
      <c r="D31" s="1185">
        <f>OF!D60</f>
        <v>0</v>
      </c>
      <c r="E31" s="967">
        <v>0</v>
      </c>
      <c r="F31" s="892">
        <f t="shared" ref="F31:F37" si="2">D31*E31</f>
        <v>0</v>
      </c>
      <c r="G31" s="968"/>
      <c r="H31" s="2213"/>
      <c r="I31" s="2937"/>
    </row>
    <row r="32" spans="1:15" s="71" customFormat="1" ht="15" customHeight="1">
      <c r="A32" s="2959"/>
      <c r="B32" s="2939"/>
      <c r="C32" s="1334" t="str">
        <f>OF!C61</f>
        <v>&lt;50 m, but completely separated by those features.</v>
      </c>
      <c r="D32" s="1329">
        <f>OF!D61</f>
        <v>0</v>
      </c>
      <c r="E32" s="967">
        <v>1</v>
      </c>
      <c r="F32" s="892">
        <f t="shared" si="2"/>
        <v>0</v>
      </c>
      <c r="G32" s="969"/>
      <c r="H32" s="2213"/>
      <c r="I32" s="2937"/>
    </row>
    <row r="33" spans="1:9" s="71" customFormat="1" ht="15" customHeight="1">
      <c r="A33" s="2959"/>
      <c r="B33" s="2939"/>
      <c r="C33" s="1330" t="str">
        <f>OF!C62</f>
        <v>50-500 m, and not separated.</v>
      </c>
      <c r="D33" s="1329">
        <f>OF!D62</f>
        <v>0</v>
      </c>
      <c r="E33" s="967">
        <v>2</v>
      </c>
      <c r="F33" s="892">
        <f t="shared" si="2"/>
        <v>0</v>
      </c>
      <c r="G33" s="969"/>
      <c r="H33" s="2213"/>
      <c r="I33" s="2937"/>
    </row>
    <row r="34" spans="1:9" s="71" customFormat="1" ht="15" customHeight="1">
      <c r="A34" s="2959"/>
      <c r="B34" s="2939"/>
      <c r="C34" s="1332" t="str">
        <f>OF!C63</f>
        <v>50-500 m, but separated by those features.</v>
      </c>
      <c r="D34" s="1329">
        <f>OF!D64</f>
        <v>0</v>
      </c>
      <c r="E34" s="967">
        <v>3</v>
      </c>
      <c r="F34" s="892">
        <f t="shared" si="2"/>
        <v>0</v>
      </c>
      <c r="G34" s="969"/>
      <c r="H34" s="2213"/>
      <c r="I34" s="2937"/>
    </row>
    <row r="35" spans="1:9" s="71" customFormat="1" ht="15" customHeight="1">
      <c r="A35" s="2959"/>
      <c r="B35" s="2939"/>
      <c r="C35" s="1330" t="str">
        <f>OF!C64</f>
        <v>0.5 - 1 km, and not separated.</v>
      </c>
      <c r="D35" s="1329">
        <f>OF!D65</f>
        <v>0</v>
      </c>
      <c r="E35" s="967">
        <v>4</v>
      </c>
      <c r="F35" s="892">
        <f t="shared" si="2"/>
        <v>0</v>
      </c>
      <c r="G35" s="969"/>
      <c r="H35" s="2213"/>
      <c r="I35" s="2937"/>
    </row>
    <row r="36" spans="1:9" s="71" customFormat="1" ht="15" customHeight="1">
      <c r="A36" s="2959"/>
      <c r="B36" s="2939"/>
      <c r="C36" s="1332" t="str">
        <f>OF!C65</f>
        <v>0.5 - 1 km, but separated by those features.</v>
      </c>
      <c r="D36" s="328">
        <f>OF!D65</f>
        <v>0</v>
      </c>
      <c r="E36" s="1005">
        <v>5</v>
      </c>
      <c r="F36" s="977">
        <f t="shared" si="2"/>
        <v>0</v>
      </c>
      <c r="G36" s="978"/>
      <c r="H36" s="2213"/>
      <c r="I36" s="2937"/>
    </row>
    <row r="37" spans="1:9" s="71" customFormat="1" ht="15" customHeight="1" thickBot="1">
      <c r="A37" s="2960"/>
      <c r="B37" s="2941"/>
      <c r="C37" s="1331" t="str">
        <f>OF!C66</f>
        <v>none of the above (the closest patches or corridors that large are &gt;1 km away).</v>
      </c>
      <c r="D37" s="331">
        <f>OF!D66</f>
        <v>0</v>
      </c>
      <c r="E37" s="1316">
        <v>6</v>
      </c>
      <c r="F37" s="971">
        <f t="shared" si="2"/>
        <v>0</v>
      </c>
      <c r="G37" s="972"/>
      <c r="H37" s="2377"/>
      <c r="I37" s="2938"/>
    </row>
    <row r="38" spans="1:9" s="71" customFormat="1" ht="30" customHeight="1" thickBot="1">
      <c r="A38" s="2952" t="str">
        <f>OF!A67</f>
        <v>OF13</v>
      </c>
      <c r="B38" s="2911" t="str">
        <f>OF!B67</f>
        <v>Distance to Lake</v>
      </c>
      <c r="C38" s="949" t="str">
        <f>OF!C67</f>
        <v>The distance from the AA edge to the closest (but separate) lake (a non-tidal body of water that is ponded during most of the year and is larger than 8 hectares) during most of a normal year is:</v>
      </c>
      <c r="D38" s="965"/>
      <c r="E38" s="965"/>
      <c r="F38" s="966"/>
      <c r="G38" s="746">
        <f>MAX(F39:F44)/MAX(E39:E44)</f>
        <v>0</v>
      </c>
      <c r="H38" s="2212" t="s">
        <v>1283</v>
      </c>
      <c r="I38" s="2936" t="s">
        <v>700</v>
      </c>
    </row>
    <row r="39" spans="1:9" s="71" customFormat="1" ht="15" customHeight="1">
      <c r="A39" s="2921"/>
      <c r="B39" s="2912"/>
      <c r="C39" s="950" t="str">
        <f>OF!C68</f>
        <v>&lt;100 m</v>
      </c>
      <c r="D39" s="327">
        <f>OF!D68</f>
        <v>0</v>
      </c>
      <c r="E39" s="967">
        <v>0</v>
      </c>
      <c r="F39" s="892">
        <f t="shared" ref="F39:F44" si="3">D39*E39</f>
        <v>0</v>
      </c>
      <c r="G39" s="968"/>
      <c r="H39" s="2213"/>
      <c r="I39" s="2937"/>
    </row>
    <row r="40" spans="1:9" s="71" customFormat="1" ht="15" customHeight="1">
      <c r="A40" s="2921"/>
      <c r="B40" s="2912"/>
      <c r="C40" s="950" t="str">
        <f>OF!C69</f>
        <v>100 m - 1 km</v>
      </c>
      <c r="D40" s="327">
        <f>OF!D69</f>
        <v>0</v>
      </c>
      <c r="E40" s="967">
        <v>1</v>
      </c>
      <c r="F40" s="892">
        <f t="shared" si="3"/>
        <v>0</v>
      </c>
      <c r="G40" s="969"/>
      <c r="H40" s="2213"/>
      <c r="I40" s="2937"/>
    </row>
    <row r="41" spans="1:9" s="71" customFormat="1" ht="15" customHeight="1">
      <c r="A41" s="2921"/>
      <c r="B41" s="2912"/>
      <c r="C41" s="950" t="str">
        <f>OF!C70</f>
        <v>1 -2 km</v>
      </c>
      <c r="D41" s="327">
        <f>OF!D70</f>
        <v>0</v>
      </c>
      <c r="E41" s="976">
        <v>2</v>
      </c>
      <c r="F41" s="977">
        <f t="shared" si="3"/>
        <v>0</v>
      </c>
      <c r="G41" s="978"/>
      <c r="H41" s="2213"/>
      <c r="I41" s="2937"/>
    </row>
    <row r="42" spans="1:9" s="71" customFormat="1" ht="15" customHeight="1">
      <c r="A42" s="2921"/>
      <c r="B42" s="2912"/>
      <c r="C42" s="950" t="str">
        <f>OF!C71</f>
        <v>2-5 km</v>
      </c>
      <c r="D42" s="327">
        <f>OF!D71</f>
        <v>0</v>
      </c>
      <c r="E42" s="976">
        <v>3</v>
      </c>
      <c r="F42" s="977">
        <f t="shared" si="3"/>
        <v>0</v>
      </c>
      <c r="G42" s="978"/>
      <c r="H42" s="2213"/>
      <c r="I42" s="2937"/>
    </row>
    <row r="43" spans="1:9" s="71" customFormat="1" ht="15" customHeight="1">
      <c r="A43" s="2921"/>
      <c r="B43" s="2912"/>
      <c r="C43" s="950" t="str">
        <f>OF!C72</f>
        <v>5-10 km</v>
      </c>
      <c r="D43" s="327">
        <f>OF!D72</f>
        <v>0</v>
      </c>
      <c r="E43" s="976">
        <v>4</v>
      </c>
      <c r="F43" s="977">
        <f t="shared" si="3"/>
        <v>0</v>
      </c>
      <c r="G43" s="978"/>
      <c r="H43" s="2213"/>
      <c r="I43" s="2937"/>
    </row>
    <row r="44" spans="1:9" s="71" customFormat="1" ht="15" customHeight="1" thickBot="1">
      <c r="A44" s="2922"/>
      <c r="B44" s="2932"/>
      <c r="C44" s="950" t="str">
        <f>OF!C73</f>
        <v>&gt;10 km</v>
      </c>
      <c r="D44" s="327">
        <f>OF!D73</f>
        <v>0</v>
      </c>
      <c r="E44" s="984">
        <v>5</v>
      </c>
      <c r="F44" s="971">
        <f t="shared" si="3"/>
        <v>0</v>
      </c>
      <c r="G44" s="972"/>
      <c r="H44" s="2377"/>
      <c r="I44" s="2938"/>
    </row>
    <row r="45" spans="1:9" s="71" customFormat="1" ht="21" customHeight="1" thickBot="1">
      <c r="A45" s="2920" t="str">
        <f>OF!A81</f>
        <v>OF15</v>
      </c>
      <c r="B45" s="2917" t="str">
        <f>OF!B81</f>
        <v>Upland Edge Contact</v>
      </c>
      <c r="C45" s="955" t="str">
        <f>OF!C81</f>
        <v>Select one:</v>
      </c>
      <c r="D45" s="965"/>
      <c r="E45" s="987"/>
      <c r="F45" s="966"/>
      <c r="G45" s="746">
        <f>MAX(F46:F48)/MAX(E46:E48)</f>
        <v>0</v>
      </c>
      <c r="H45" s="2212" t="s">
        <v>680</v>
      </c>
      <c r="I45" s="2936" t="s">
        <v>701</v>
      </c>
    </row>
    <row r="46" spans="1:9" s="71" customFormat="1" ht="27" customHeight="1">
      <c r="A46" s="2921"/>
      <c r="B46" s="2918"/>
      <c r="C46" s="956" t="str">
        <f>OF!C82</f>
        <v>The AA has no upland edge (or upland is &lt;1% of perimeter). The AA is entirely contiguous with other wetlands or water.</v>
      </c>
      <c r="D46" s="327">
        <f>OF!D82</f>
        <v>0</v>
      </c>
      <c r="E46" s="985">
        <v>0</v>
      </c>
      <c r="F46" s="892">
        <f>D46*E46</f>
        <v>0</v>
      </c>
      <c r="G46" s="968"/>
      <c r="H46" s="2213"/>
      <c r="I46" s="2937"/>
    </row>
    <row r="47" spans="1:9" s="71" customFormat="1" ht="27" customHeight="1">
      <c r="A47" s="2921"/>
      <c r="B47" s="2918"/>
      <c r="C47" s="956" t="str">
        <f>OF!C85</f>
        <v>50-75% of the AA's perimeter abuts upland. The rest adjoins other wetlands or water that is mostly wider than the AA.</v>
      </c>
      <c r="D47" s="327">
        <f>OF!D85</f>
        <v>0</v>
      </c>
      <c r="E47" s="985">
        <v>2</v>
      </c>
      <c r="F47" s="892">
        <f>D47*E47</f>
        <v>0</v>
      </c>
      <c r="G47" s="969"/>
      <c r="H47" s="2213"/>
      <c r="I47" s="2937"/>
    </row>
    <row r="48" spans="1:9" s="71" customFormat="1" ht="27" customHeight="1" thickBot="1">
      <c r="A48" s="2922"/>
      <c r="B48" s="2919"/>
      <c r="C48" s="957" t="str">
        <f>OF!C86</f>
        <v>More than 75% of the AA's perimeter abuts upland. Any remainder adjoins other wetlands or water that is mostly wider than the AA.  This will be true for most assessments done with WESP-AC.</v>
      </c>
      <c r="D48" s="331">
        <f>OF!D86</f>
        <v>0</v>
      </c>
      <c r="E48" s="988">
        <v>1</v>
      </c>
      <c r="F48" s="971">
        <f>D48*E48</f>
        <v>0</v>
      </c>
      <c r="G48" s="972"/>
      <c r="H48" s="2377"/>
      <c r="I48" s="2938"/>
    </row>
    <row r="49" spans="1:9" s="71" customFormat="1" ht="102" customHeight="1" thickBot="1">
      <c r="A49" s="2313" t="str">
        <f>OF!A89</f>
        <v>OF18</v>
      </c>
      <c r="B49" s="2323" t="str">
        <f>OF!B89</f>
        <v>Relative Elevation in Watershed</v>
      </c>
      <c r="C49" s="1451" t="str">
        <f>OF!C89</f>
        <v>To view watersheds, open Google Earth and then the NB_Watersheds.kmz file that accompanies this calculator. Determine the AA's position in its watershed as follows: 
1) If the AA is on a channel wider than 10 m, or has both inlet &amp; outlet and is closer to the watershed's outlet than to its upper end, check "lower 1/3.” 
2) If the AA is the source of a headwater stream, or lacks an outlet and is close to the watershed's outer margin, then check "upper 1/3.”  For all other conditions, check "middle 1/3".</v>
      </c>
      <c r="D49" s="1626"/>
      <c r="E49" s="576"/>
      <c r="F49" s="587"/>
      <c r="G49" s="979">
        <f>MAX(F50:F52)/MAX(E50:E52)</f>
        <v>0</v>
      </c>
      <c r="H49" s="2212" t="s">
        <v>1599</v>
      </c>
      <c r="I49" s="2611" t="s">
        <v>1598</v>
      </c>
    </row>
    <row r="50" spans="1:9" s="71" customFormat="1" ht="15" customHeight="1">
      <c r="A50" s="2314"/>
      <c r="B50" s="2336"/>
      <c r="C50" s="170" t="str">
        <f>OF!C90</f>
        <v>in the upper one-third of its watershed.</v>
      </c>
      <c r="D50" s="245">
        <f>OF!D90</f>
        <v>0</v>
      </c>
      <c r="E50" s="369">
        <v>3</v>
      </c>
      <c r="F50" s="370">
        <f>D50*E50</f>
        <v>0</v>
      </c>
      <c r="G50" s="579"/>
      <c r="H50" s="2213"/>
      <c r="I50" s="2612"/>
    </row>
    <row r="51" spans="1:9" s="71" customFormat="1" ht="15" customHeight="1">
      <c r="A51" s="2314"/>
      <c r="B51" s="2336"/>
      <c r="C51" s="82" t="str">
        <f>OF!C91</f>
        <v>in the middle one-third of its watershed.</v>
      </c>
      <c r="D51" s="245">
        <f>OF!D91</f>
        <v>0</v>
      </c>
      <c r="E51" s="369">
        <v>2</v>
      </c>
      <c r="F51" s="370">
        <f>D51*E51</f>
        <v>0</v>
      </c>
      <c r="G51" s="579"/>
      <c r="H51" s="2213"/>
      <c r="I51" s="2612"/>
    </row>
    <row r="52" spans="1:9" s="71" customFormat="1" ht="15" customHeight="1" thickBot="1">
      <c r="A52" s="2314"/>
      <c r="B52" s="2336"/>
      <c r="C52" s="186" t="str">
        <f>OF!C92</f>
        <v>in the lower one-third of its watershed.</v>
      </c>
      <c r="D52" s="275">
        <f>OF!D92</f>
        <v>0</v>
      </c>
      <c r="E52" s="371">
        <v>1</v>
      </c>
      <c r="F52" s="372">
        <f>D52*E52</f>
        <v>0</v>
      </c>
      <c r="G52" s="585"/>
      <c r="H52" s="2377"/>
      <c r="I52" s="2612"/>
    </row>
    <row r="53" spans="1:9" s="71" customFormat="1" ht="87" customHeight="1" thickBot="1">
      <c r="A53" s="1864" t="str">
        <f>OF!A94</f>
        <v>OF20</v>
      </c>
      <c r="B53" s="1865" t="str">
        <f>OF!B94</f>
        <v>Erosion Potential Upslope</v>
      </c>
      <c r="C53" s="1867" t="str">
        <f>OF!C94</f>
        <v xml:space="preserve">Within 100 m upstream or upslope from the AA, a stream channel, riverbank, or upland area is likely to have high potential for mass movement (slides or slumping) due to soil composition, slope, and exposure. Enter 1= yes, 0= no. </v>
      </c>
      <c r="D53" s="1869"/>
      <c r="E53" s="1828"/>
      <c r="F53" s="1866"/>
      <c r="G53" s="746">
        <f>IF((NoCA=1),"",D53)</f>
        <v>0</v>
      </c>
      <c r="H53" s="164" t="s">
        <v>1861</v>
      </c>
      <c r="I53" s="1863" t="s">
        <v>702</v>
      </c>
    </row>
    <row r="54" spans="1:9" s="74" customFormat="1" ht="30" customHeight="1" thickBot="1">
      <c r="A54" s="2443" t="str">
        <f>OF!A105</f>
        <v>OF23</v>
      </c>
      <c r="B54" s="2442" t="str">
        <f>OF!B105</f>
        <v>Contributing Area (CA) Percentage</v>
      </c>
      <c r="C54" s="561" t="str">
        <f>OF!C105</f>
        <v>Determine the approximate bounds of this AA's contributing area (follow the detailed directions in the Manual). Relative to the extent of that contributing area (CA), the AA comprises:</v>
      </c>
      <c r="D54" s="973"/>
      <c r="E54" s="588"/>
      <c r="F54" s="991"/>
      <c r="G54" s="992">
        <f>MAX(F55:F58)/MAX(E55:E58)</f>
        <v>0</v>
      </c>
      <c r="H54" s="2213" t="s">
        <v>1173</v>
      </c>
      <c r="I54" s="2612" t="s">
        <v>390</v>
      </c>
    </row>
    <row r="55" spans="1:9" s="74" customFormat="1" ht="27" customHeight="1">
      <c r="A55" s="2927"/>
      <c r="B55" s="2452"/>
      <c r="C55" s="170" t="str">
        <f>OF!C106</f>
        <v>&lt;1% of its CA  (includes most wetlands, especially those located low in watersheds, such as ones on major river floodplains or the marine shoreline).</v>
      </c>
      <c r="D55" s="261">
        <f>OF!D106</f>
        <v>0</v>
      </c>
      <c r="E55" s="601">
        <v>0</v>
      </c>
      <c r="F55" s="993">
        <f>D55*E55</f>
        <v>0</v>
      </c>
      <c r="G55" s="994"/>
      <c r="H55" s="2213"/>
      <c r="I55" s="2612"/>
    </row>
    <row r="56" spans="1:9" s="74" customFormat="1" ht="15" customHeight="1">
      <c r="A56" s="2927"/>
      <c r="B56" s="2452"/>
      <c r="C56" s="82" t="str">
        <f>OF!C107</f>
        <v>1 to 10% of its CA.</v>
      </c>
      <c r="D56" s="245">
        <f>OF!D107</f>
        <v>0</v>
      </c>
      <c r="E56" s="601">
        <v>1</v>
      </c>
      <c r="F56" s="993">
        <f>D56*E56</f>
        <v>0</v>
      </c>
      <c r="G56" s="995"/>
      <c r="H56" s="2213"/>
      <c r="I56" s="2612"/>
    </row>
    <row r="57" spans="1:9" s="74" customFormat="1" ht="15" customHeight="1">
      <c r="A57" s="2927"/>
      <c r="B57" s="2452"/>
      <c r="C57" s="82" t="str">
        <f>OF!C108</f>
        <v>10 to 100% of its CA.</v>
      </c>
      <c r="D57" s="245">
        <f>OF!D108</f>
        <v>0</v>
      </c>
      <c r="E57" s="601">
        <v>2</v>
      </c>
      <c r="F57" s="993">
        <f>D57*E57</f>
        <v>0</v>
      </c>
      <c r="G57" s="995"/>
      <c r="H57" s="2213"/>
      <c r="I57" s="2612"/>
    </row>
    <row r="58" spans="1:9" s="74" customFormat="1" ht="27" customHeight="1" thickBot="1">
      <c r="A58" s="2927"/>
      <c r="B58" s="2452"/>
      <c r="C58" s="186" t="str">
        <f>OF!C109</f>
        <v>Wetland has essentially no CA, e.g., isolated by dikes with no input channels, or is in terrain so flat that a CA can't be delineated. SKIP TO OF27 (Internal Gradient).</v>
      </c>
      <c r="D58" s="275">
        <f>OF!D109</f>
        <v>0</v>
      </c>
      <c r="E58" s="996">
        <v>3</v>
      </c>
      <c r="F58" s="989">
        <f>D58*E58</f>
        <v>0</v>
      </c>
      <c r="G58" s="990"/>
      <c r="H58" s="2213"/>
      <c r="I58" s="2613"/>
    </row>
    <row r="59" spans="1:9" s="73" customFormat="1" ht="30" customHeight="1" thickBot="1">
      <c r="A59" s="2343" t="str">
        <f>OF!A129</f>
        <v>OF28</v>
      </c>
      <c r="B59" s="2340" t="str">
        <f>OF!B129</f>
        <v>Growing Degree Days</v>
      </c>
      <c r="C59" s="411" t="str">
        <f>OF!C129</f>
        <v>According to Figure A-1 in Appendix A of the Manual, the mean annual Growing Degree Days (GDD) in the vicinity of the AA is approximately:</v>
      </c>
      <c r="D59" s="965"/>
      <c r="E59" s="576"/>
      <c r="F59" s="583"/>
      <c r="G59" s="979">
        <f>IF((D65=1),"",MAX(F60:F64)/MAX(E60:E64))</f>
        <v>0</v>
      </c>
      <c r="H59" s="2212" t="s">
        <v>1133</v>
      </c>
      <c r="I59" s="2611" t="s">
        <v>389</v>
      </c>
    </row>
    <row r="60" spans="1:9" s="74" customFormat="1" ht="15" customHeight="1">
      <c r="A60" s="2329"/>
      <c r="B60" s="2341"/>
      <c r="C60" s="170" t="str">
        <f>OF!C130</f>
        <v>800-1000 days</v>
      </c>
      <c r="D60" s="261">
        <f>OF!D130</f>
        <v>0</v>
      </c>
      <c r="E60" s="369">
        <v>4</v>
      </c>
      <c r="F60" s="370">
        <f>D60*E60</f>
        <v>0</v>
      </c>
      <c r="G60" s="578"/>
      <c r="H60" s="2213"/>
      <c r="I60" s="2612"/>
    </row>
    <row r="61" spans="1:9" ht="15" customHeight="1">
      <c r="A61" s="2329"/>
      <c r="B61" s="2341"/>
      <c r="C61" s="82" t="str">
        <f>OF!C131</f>
        <v>1000-1200</v>
      </c>
      <c r="D61" s="245">
        <f>OF!D131</f>
        <v>0</v>
      </c>
      <c r="E61" s="369">
        <v>3</v>
      </c>
      <c r="F61" s="370">
        <f>D61*E61</f>
        <v>0</v>
      </c>
      <c r="G61" s="578"/>
      <c r="H61" s="2213"/>
      <c r="I61" s="2612"/>
    </row>
    <row r="62" spans="1:9" s="73" customFormat="1" ht="15" customHeight="1">
      <c r="A62" s="2329"/>
      <c r="B62" s="2341"/>
      <c r="C62" s="82" t="str">
        <f>OF!C132</f>
        <v>1200-1400</v>
      </c>
      <c r="D62" s="245">
        <f>OF!D132</f>
        <v>0</v>
      </c>
      <c r="E62" s="369">
        <v>2</v>
      </c>
      <c r="F62" s="370">
        <f>D62*E62</f>
        <v>0</v>
      </c>
      <c r="G62" s="578"/>
      <c r="H62" s="2213"/>
      <c r="I62" s="2612"/>
    </row>
    <row r="63" spans="1:9" s="74" customFormat="1" ht="15" customHeight="1">
      <c r="A63" s="2329"/>
      <c r="B63" s="2341"/>
      <c r="C63" s="82" t="str">
        <f>OF!C133</f>
        <v>1400-1600</v>
      </c>
      <c r="D63" s="245">
        <f>OF!D133</f>
        <v>0</v>
      </c>
      <c r="E63" s="369">
        <v>1</v>
      </c>
      <c r="F63" s="370">
        <f>D63*E63</f>
        <v>0</v>
      </c>
      <c r="G63" s="578"/>
      <c r="H63" s="2213"/>
      <c r="I63" s="2612"/>
    </row>
    <row r="64" spans="1:9" s="71" customFormat="1" ht="15" customHeight="1">
      <c r="A64" s="2329"/>
      <c r="B64" s="2341"/>
      <c r="C64" s="82" t="str">
        <f>OF!C134</f>
        <v>1600-1800</v>
      </c>
      <c r="D64" s="245">
        <f>OF!D134</f>
        <v>0</v>
      </c>
      <c r="E64" s="369">
        <v>0</v>
      </c>
      <c r="F64" s="370">
        <f>D64*E64</f>
        <v>0</v>
      </c>
      <c r="G64" s="579"/>
      <c r="H64" s="2213"/>
      <c r="I64" s="2612"/>
    </row>
    <row r="65" spans="1:9" s="71" customFormat="1" ht="15" customHeight="1" thickBot="1">
      <c r="A65" s="2329"/>
      <c r="B65" s="2341"/>
      <c r="C65" s="186" t="str">
        <f>OF!C135</f>
        <v>&gt;1800 days</v>
      </c>
      <c r="D65" s="275">
        <f>OF!D135</f>
        <v>0</v>
      </c>
      <c r="E65" s="371"/>
      <c r="F65" s="372"/>
      <c r="G65" s="585"/>
      <c r="H65" s="2213"/>
      <c r="I65" s="2613"/>
    </row>
    <row r="66" spans="1:9" s="71" customFormat="1" ht="30" customHeight="1" thickBot="1">
      <c r="A66" s="2917" t="str">
        <f>OF!A141</f>
        <v>OF30</v>
      </c>
      <c r="B66" s="2917" t="str">
        <f>OF!B141</f>
        <v>Species of Conservation Concern</v>
      </c>
      <c r="C66" s="1328" t="str">
        <f>OF!C141</f>
        <v>Within the past 10 years, in the AA (or in its adjoining waters or wetland), qualified observers have documented [mark all applicable]:</v>
      </c>
      <c r="D66" s="1307"/>
      <c r="E66" s="998"/>
      <c r="F66" s="999"/>
      <c r="G66" s="979">
        <f>IF((D70=1),"",MAX(F67:F69)/MAX(E67:E69))</f>
        <v>0</v>
      </c>
      <c r="H66" s="2212" t="s">
        <v>742</v>
      </c>
      <c r="I66" s="2611" t="s">
        <v>1596</v>
      </c>
    </row>
    <row r="67" spans="1:9" s="71" customFormat="1" ht="42" customHeight="1">
      <c r="A67" s="2918"/>
      <c r="B67" s="2918"/>
      <c r="C67" s="950" t="str">
        <f>OF!C142</f>
        <v xml:space="preserve">Presence of one or more of the plant species listed in the Plants_Rare worksheet of the accompanying SuppInfo file, or (in NS only) the AA is within a mapped Atlantic Coastal Plain Flora Buffer as shown in Special Management Practice Zones at: https://nsgi.novascotia.ca/plv/ </v>
      </c>
      <c r="D67" s="328">
        <f>OF!D142</f>
        <v>0</v>
      </c>
      <c r="E67" s="997">
        <v>1</v>
      </c>
      <c r="F67" s="892">
        <f>D67*E67</f>
        <v>0</v>
      </c>
      <c r="G67" s="980"/>
      <c r="H67" s="2213"/>
      <c r="I67" s="2612"/>
    </row>
    <row r="68" spans="1:9" s="71" customFormat="1" ht="27" customHeight="1">
      <c r="A68" s="2918"/>
      <c r="B68" s="2918"/>
      <c r="C68" s="951" t="str">
        <f>OF!C143</f>
        <v>Presence of one or more of the amphibian or reptile species of conservation concern (AM) as listed in the Wildlife_Rare worksheet of the accompanying SuppInfo file</v>
      </c>
      <c r="D68" s="1306">
        <f>OF!D143</f>
        <v>0</v>
      </c>
      <c r="E68" s="997">
        <v>1</v>
      </c>
      <c r="F68" s="892">
        <f>D68*E68</f>
        <v>0</v>
      </c>
      <c r="G68" s="981"/>
      <c r="H68" s="2213"/>
      <c r="I68" s="2612"/>
    </row>
    <row r="69" spans="1:9" s="71" customFormat="1" ht="27" customHeight="1">
      <c r="A69" s="2918"/>
      <c r="B69" s="2918"/>
      <c r="C69" s="951" t="str">
        <f>OF!C145</f>
        <v>Presence of one or more of the nesting songbird or raptor species of conservation concern (SBM) as listed in the Wildlife_Rare worksheet of the accompanying SuppInfo file, during their nesting season (May-July for most species).</v>
      </c>
      <c r="D69" s="328">
        <f>OF!D145</f>
        <v>0</v>
      </c>
      <c r="E69" s="997">
        <v>1</v>
      </c>
      <c r="F69" s="892">
        <f>D69*E69</f>
        <v>0</v>
      </c>
      <c r="G69" s="981"/>
      <c r="H69" s="2213"/>
      <c r="I69" s="2612"/>
    </row>
    <row r="70" spans="1:9" s="71" customFormat="1" ht="15" customHeight="1" thickBot="1">
      <c r="A70" s="2919"/>
      <c r="B70" s="2919"/>
      <c r="C70" s="1146" t="str">
        <f>OF!C146</f>
        <v>none of the above, or no data.</v>
      </c>
      <c r="D70" s="329">
        <f>OF!D146</f>
        <v>0</v>
      </c>
      <c r="E70" s="1000"/>
      <c r="F70" s="971"/>
      <c r="G70" s="982"/>
      <c r="H70" s="2377"/>
      <c r="I70" s="2613"/>
    </row>
    <row r="71" spans="1:9" s="9" customFormat="1" ht="21" customHeight="1" thickBot="1">
      <c r="A71" s="2150" t="str">
        <f>F!A4</f>
        <v>F1</v>
      </c>
      <c r="B71" s="2148" t="str">
        <f>F!B4</f>
        <v>Wetland Type</v>
      </c>
      <c r="C71" s="436" t="str">
        <f>F!C4</f>
        <v>The vegetated part of the Assessment Area (AA) is mostly a (select ONE):</v>
      </c>
      <c r="D71" s="965"/>
      <c r="E71" s="1001"/>
      <c r="F71" s="966"/>
      <c r="G71" s="746">
        <f>MAX(F72:F75)/MAX(E72:E75)</f>
        <v>0</v>
      </c>
      <c r="H71" s="2148" t="s">
        <v>2915</v>
      </c>
      <c r="I71" s="2411" t="s">
        <v>679</v>
      </c>
    </row>
    <row r="72" spans="1:9" s="9" customFormat="1" ht="57.6" customHeight="1">
      <c r="A72" s="2151"/>
      <c r="B72" s="2146"/>
      <c r="C72" s="30" t="str">
        <f>F!C5</f>
        <v>Swamp (Shrub or Forested Wetland). Soil is usually mineral, not organic, and &lt;25% covered by moss. More than 25% cover of trees and shrubs taller than 1 m. Surface water is mostly absent or inundates the vegetation only seasonally (e.g., vernal pools or floodplain). Woody cover often dominated by alder, willow, red maple.</v>
      </c>
      <c r="D72" s="256">
        <f>F!D5</f>
        <v>0</v>
      </c>
      <c r="E72" s="892">
        <v>3</v>
      </c>
      <c r="F72" s="892">
        <f>D72*E72</f>
        <v>0</v>
      </c>
      <c r="G72" s="968"/>
      <c r="H72" s="2146"/>
      <c r="I72" s="2412"/>
    </row>
    <row r="73" spans="1:9" s="9" customFormat="1" ht="57.6" customHeight="1">
      <c r="A73" s="2151"/>
      <c r="B73" s="2146"/>
      <c r="C73" s="6" t="str">
        <f>F!C6</f>
        <v>Open Peatland Flat (Bog). More than 50% of the ground is covered with moss and/or lichen and undecomposed peat substrate predominates (mineral soil or bedrock often not predominating until soil depth exceeds 40 cm). Often with ericaceous shrubs (e.g., Labrador tea), pitcher plant, sundew. Tree &amp; tall shrub cover usually &lt;25%, often black spruce. Seldom with inlet &amp; outlet. Surface water is absent or, if present, pH is usually &lt;4.5.</v>
      </c>
      <c r="D73" s="247">
        <f>F!D6</f>
        <v>0</v>
      </c>
      <c r="E73" s="892">
        <v>4</v>
      </c>
      <c r="F73" s="892">
        <f>D73*E73</f>
        <v>0</v>
      </c>
      <c r="G73" s="969"/>
      <c r="H73" s="2146"/>
      <c r="I73" s="2412"/>
    </row>
    <row r="74" spans="1:9" s="9" customFormat="1" ht="69" customHeight="1">
      <c r="A74" s="2151"/>
      <c r="B74" s="2146"/>
      <c r="C74" s="6" t="str">
        <f>F!C7</f>
        <v>Fen: More than 25% of the ground is covered with moss.  Tree &amp; tall shrub cover may exceed 25% or sedges may dominate. Undecomposed peat layer is usually shallower than in bogs. Often at toe of slope or edge of water body. An exit channel is usually present. Wetter than other peatlands, often with many pools, but some fens have no persistent surface water. Less acidic than Peatland Flats; if surface water is present, pH usually &gt;4.5.</v>
      </c>
      <c r="D74" s="247">
        <f>F!D7</f>
        <v>0</v>
      </c>
      <c r="E74" s="892">
        <v>2</v>
      </c>
      <c r="F74" s="892">
        <f>D74*E74</f>
        <v>0</v>
      </c>
      <c r="G74" s="969"/>
      <c r="H74" s="2146"/>
      <c r="I74" s="2412"/>
    </row>
    <row r="75" spans="1:9" s="9" customFormat="1" ht="69" customHeight="1" thickBot="1">
      <c r="A75" s="2152"/>
      <c r="B75" s="2149"/>
      <c r="C75" s="194" t="str">
        <f>F!C8</f>
        <v>Marsh: Little or no moss, and &lt;25% woody cover. Soil is mineral or decomposed organic (muck). Mostly emergents, e.g., cattail, bulrush, burreed, pond lily, horsetail. Surface water extensive and fluctuates seasonally but some usually remains in deepest part through most of growing season. If surface water is present, pH is usually &gt;5.5 but may be less in wetlands strongly influenced by acid rain.</v>
      </c>
      <c r="D75" s="248">
        <f>F!D8</f>
        <v>0</v>
      </c>
      <c r="E75" s="971">
        <v>1</v>
      </c>
      <c r="F75" s="971">
        <f>D75*E75</f>
        <v>0</v>
      </c>
      <c r="G75" s="972"/>
      <c r="H75" s="2149"/>
      <c r="I75" s="2413"/>
    </row>
    <row r="76" spans="1:9" s="71" customFormat="1" ht="45" customHeight="1" thickBot="1">
      <c r="A76" s="1120" t="str">
        <f>F!A14</f>
        <v>F3</v>
      </c>
      <c r="B76" s="1228" t="str">
        <f>F!B14</f>
        <v>Woody Height &amp; Form Diversity</v>
      </c>
      <c r="C76" s="1325" t="str">
        <f>F!C14</f>
        <v xml:space="preserve">Following EACH row below, indicate with a number code (6 if &gt;95%, 5 if 75-95%, 4 if 50-75%, 3 if 25-50%, 2 if 5-25%, 1 if &lt;5%, 0 if none) the percentage of the vegetated AA occupied by that feature. If ALL are marked 0 or 1, SKIP to F9 (N fixers). </v>
      </c>
      <c r="D76" s="1326">
        <f>MAX(F!D15:D16)</f>
        <v>0</v>
      </c>
      <c r="E76" s="1010"/>
      <c r="F76" s="974"/>
      <c r="G76" s="975">
        <f>D76/6</f>
        <v>0</v>
      </c>
      <c r="H76" s="1446" t="s">
        <v>2338</v>
      </c>
      <c r="I76" s="1863" t="s">
        <v>391</v>
      </c>
    </row>
    <row r="77" spans="1:9" s="71" customFormat="1" ht="45" customHeight="1" thickBot="1">
      <c r="A77" s="2916" t="str">
        <f>F!A21</f>
        <v>F4</v>
      </c>
      <c r="B77" s="2911" t="str">
        <f>F!B21</f>
        <v>Woody Diameter Classes</v>
      </c>
      <c r="C77" s="949" t="str">
        <f>F!C21</f>
        <v>Mark ALL the types that comprise &gt;5% of the woody canopy cover in the AA or &gt;5% of the wooded areas (if any) along its upland edge (perimeter).  The edge should include only the trees whose canopies extend into the AA.</v>
      </c>
      <c r="D77" s="965"/>
      <c r="E77" s="965"/>
      <c r="F77" s="966"/>
      <c r="G77" s="746" t="str">
        <f>IF((SUM(F!D15:D18)=0),"",(MAX(F78:F85))/MAX(E78:E85))</f>
        <v/>
      </c>
      <c r="H77" s="2318" t="s">
        <v>2339</v>
      </c>
      <c r="I77" s="2611" t="s">
        <v>690</v>
      </c>
    </row>
    <row r="78" spans="1:9" s="71" customFormat="1" ht="15" customHeight="1">
      <c r="A78" s="2950"/>
      <c r="B78" s="2923"/>
      <c r="C78" s="950" t="str">
        <f>F!C22</f>
        <v>coniferous, 1-9 cm diameter and &gt;1 m tall.</v>
      </c>
      <c r="D78" s="327">
        <f>F!D22</f>
        <v>0</v>
      </c>
      <c r="E78" s="1007">
        <v>0</v>
      </c>
      <c r="F78" s="892">
        <f t="shared" ref="F78:F85" si="4">D78*E78</f>
        <v>0</v>
      </c>
      <c r="G78" s="968"/>
      <c r="H78" s="2319"/>
      <c r="I78" s="2612"/>
    </row>
    <row r="79" spans="1:9" s="71" customFormat="1" ht="15" customHeight="1">
      <c r="A79" s="2950"/>
      <c r="B79" s="2923"/>
      <c r="C79" s="951" t="str">
        <f>F!C23</f>
        <v>broad-leaved deciduous 1-9 cm diameter and &gt;1 m tall.</v>
      </c>
      <c r="D79" s="328">
        <f>F!D23</f>
        <v>0</v>
      </c>
      <c r="E79" s="1007">
        <v>0</v>
      </c>
      <c r="F79" s="892">
        <f t="shared" si="4"/>
        <v>0</v>
      </c>
      <c r="G79" s="969"/>
      <c r="H79" s="2319"/>
      <c r="I79" s="2612"/>
    </row>
    <row r="80" spans="1:9" s="71" customFormat="1" ht="15" customHeight="1">
      <c r="A80" s="2950"/>
      <c r="B80" s="2923"/>
      <c r="C80" s="951" t="str">
        <f>F!C24</f>
        <v>coniferous, 10-19 cm diameter.</v>
      </c>
      <c r="D80" s="328">
        <f>F!D24</f>
        <v>0</v>
      </c>
      <c r="E80" s="1007">
        <v>1</v>
      </c>
      <c r="F80" s="892">
        <f t="shared" si="4"/>
        <v>0</v>
      </c>
      <c r="G80" s="969"/>
      <c r="H80" s="2319"/>
      <c r="I80" s="2612"/>
    </row>
    <row r="81" spans="1:9" s="71" customFormat="1" ht="15" customHeight="1">
      <c r="A81" s="2950"/>
      <c r="B81" s="2923"/>
      <c r="C81" s="951" t="str">
        <f>F!C25</f>
        <v>broad-leaved deciduous 10-19 cm diameter.</v>
      </c>
      <c r="D81" s="328">
        <f>F!D25</f>
        <v>0</v>
      </c>
      <c r="E81" s="1007">
        <v>1</v>
      </c>
      <c r="F81" s="892">
        <f t="shared" si="4"/>
        <v>0</v>
      </c>
      <c r="G81" s="969"/>
      <c r="H81" s="2319"/>
      <c r="I81" s="2612"/>
    </row>
    <row r="82" spans="1:9" s="71" customFormat="1" ht="15" customHeight="1">
      <c r="A82" s="2950"/>
      <c r="B82" s="2923"/>
      <c r="C82" s="951" t="str">
        <f>F!C26</f>
        <v>coniferous, 20-40 cm diameter.</v>
      </c>
      <c r="D82" s="328">
        <f>F!D26</f>
        <v>0</v>
      </c>
      <c r="E82" s="1007">
        <v>2</v>
      </c>
      <c r="F82" s="892">
        <f t="shared" si="4"/>
        <v>0</v>
      </c>
      <c r="G82" s="969"/>
      <c r="H82" s="2319"/>
      <c r="I82" s="2612"/>
    </row>
    <row r="83" spans="1:9" s="71" customFormat="1" ht="15" customHeight="1">
      <c r="A83" s="2950"/>
      <c r="B83" s="2923"/>
      <c r="C83" s="951" t="str">
        <f>F!C27</f>
        <v>broad-leaved deciduous 20-40 cm diameter.</v>
      </c>
      <c r="D83" s="328">
        <f>F!D27</f>
        <v>0</v>
      </c>
      <c r="E83" s="1007">
        <v>2</v>
      </c>
      <c r="F83" s="892">
        <f t="shared" si="4"/>
        <v>0</v>
      </c>
      <c r="G83" s="969"/>
      <c r="H83" s="2319"/>
      <c r="I83" s="2612"/>
    </row>
    <row r="84" spans="1:9" s="71" customFormat="1" ht="15" customHeight="1">
      <c r="A84" s="2950"/>
      <c r="B84" s="2923"/>
      <c r="C84" s="951" t="str">
        <f>F!C28</f>
        <v>coniferous, &gt;40 cm diameter.</v>
      </c>
      <c r="D84" s="328">
        <f>F!D28</f>
        <v>0</v>
      </c>
      <c r="E84" s="1007">
        <v>3</v>
      </c>
      <c r="F84" s="892">
        <f t="shared" si="4"/>
        <v>0</v>
      </c>
      <c r="G84" s="969"/>
      <c r="H84" s="2319"/>
      <c r="I84" s="2612"/>
    </row>
    <row r="85" spans="1:9" s="71" customFormat="1" ht="15" customHeight="1" thickBot="1">
      <c r="A85" s="2951"/>
      <c r="B85" s="2924"/>
      <c r="C85" s="952" t="str">
        <f>F!C29</f>
        <v>broad-leaved deciduous &gt;40 cm diameter.</v>
      </c>
      <c r="D85" s="329">
        <f>F!D29</f>
        <v>0</v>
      </c>
      <c r="E85" s="1008">
        <v>3</v>
      </c>
      <c r="F85" s="971">
        <f t="shared" si="4"/>
        <v>0</v>
      </c>
      <c r="G85" s="972"/>
      <c r="H85" s="2322"/>
      <c r="I85" s="2613"/>
    </row>
    <row r="86" spans="1:9" s="71" customFormat="1" ht="30" customHeight="1" thickBot="1">
      <c r="A86" s="2916" t="str">
        <f>F!A30</f>
        <v>F5</v>
      </c>
      <c r="B86" s="2911" t="str">
        <f>F!B30</f>
        <v>Height Class Interspersion</v>
      </c>
      <c r="C86" s="959" t="str">
        <f>F!C30</f>
        <v>In aerial ("duck's eye") view, the following best represents the distribution pattern of vegetation taller than 1 m  VS. shorter than 1 m:</v>
      </c>
      <c r="D86" s="965"/>
      <c r="E86" s="1009"/>
      <c r="F86" s="1001"/>
      <c r="G86" s="746" t="str">
        <f>IF((SUM(F!D15:D18)=0),"",(MAX(F87:F90))/MAX(E87:E90))</f>
        <v/>
      </c>
      <c r="H86" s="2212" t="s">
        <v>1379</v>
      </c>
      <c r="I86" s="2611" t="s">
        <v>688</v>
      </c>
    </row>
    <row r="87" spans="1:9" s="71" customFormat="1" ht="42" customHeight="1">
      <c r="A87" s="2950"/>
      <c r="B87" s="2923"/>
      <c r="C87" s="960" t="str">
        <f>F!C31</f>
        <v xml:space="preserve">Taller vegetation (&gt;1m height) comprises 30-70% of the vegetated part of the AA and shorter vegetation (&lt;1m height) is scattered widely amid the taller. OR Shorter vegetation comprises 30-70% of the vegetated part of the AA, AND taller vegetation is scattered widely amid the shorter. </v>
      </c>
      <c r="D87" s="332">
        <f>F!D31</f>
        <v>0</v>
      </c>
      <c r="E87" s="1010">
        <v>0</v>
      </c>
      <c r="F87" s="892">
        <f>D87*E87</f>
        <v>0</v>
      </c>
      <c r="G87" s="969"/>
      <c r="H87" s="2213"/>
      <c r="I87" s="2612"/>
    </row>
    <row r="88" spans="1:9" s="71" customFormat="1" ht="57" customHeight="1">
      <c r="A88" s="2950"/>
      <c r="B88" s="2923"/>
      <c r="C88" s="960" t="str">
        <f>F!C32</f>
        <v xml:space="preserve">Taller vegetation comprises 30-70% of the vegetated part of the AA and shorter vegetation is mainly segregated in zones or proportionately large clumps, not scattered widely amid the taller. OR Shorter vegetation comprises 30-70% of the vegetated part of the AA and taller vegetation is mainly in zones or proportionately large clumps, not scattered widely amid the taller. </v>
      </c>
      <c r="D88" s="332">
        <f>F!D32</f>
        <v>0</v>
      </c>
      <c r="E88" s="1011">
        <v>1</v>
      </c>
      <c r="F88" s="892">
        <f>D88*E88</f>
        <v>0</v>
      </c>
      <c r="G88" s="969"/>
      <c r="H88" s="2213"/>
      <c r="I88" s="2612"/>
    </row>
    <row r="89" spans="1:9" s="71" customFormat="1" ht="42" customHeight="1">
      <c r="A89" s="2950"/>
      <c r="B89" s="2923"/>
      <c r="C89" s="960" t="str">
        <f>F!C33</f>
        <v xml:space="preserve">Taller vegetation comprises &gt;70% of the vegetated part of the AA and shorter vegetation is scattered widely amid the taller. OR Shorter vegetation comprises &gt;70% of the vegetated part of the AA, AND taller vegetation (if any) is scattered widely amid the shorter. </v>
      </c>
      <c r="D89" s="332">
        <f>F!D33</f>
        <v>0</v>
      </c>
      <c r="E89" s="1011">
        <v>2</v>
      </c>
      <c r="F89" s="892">
        <f>D89*E89</f>
        <v>0</v>
      </c>
      <c r="G89" s="969"/>
      <c r="H89" s="2213"/>
      <c r="I89" s="2612"/>
    </row>
    <row r="90" spans="1:9" s="71" customFormat="1" ht="57" customHeight="1" thickBot="1">
      <c r="A90" s="2951"/>
      <c r="B90" s="2924"/>
      <c r="C90" s="961" t="str">
        <f>F!C34</f>
        <v xml:space="preserve">Taller vegetation comprises &gt;70% of the vegetated part of the AA and shorter vegetation is absent or is mainly segregated in zones or proportionately large clumps, not scattered widely amid the taller. OR Shorter vegetation comprises &gt;70% of the vegetated part of the AA and taller vegetation is absent or is mainly in zones or proportionately large clumps, not scattered widely amid the taller. </v>
      </c>
      <c r="D90" s="333">
        <f>F!D34</f>
        <v>0</v>
      </c>
      <c r="E90" s="1012">
        <v>3</v>
      </c>
      <c r="F90" s="971">
        <f>D90*E90</f>
        <v>0</v>
      </c>
      <c r="G90" s="972"/>
      <c r="H90" s="2377"/>
      <c r="I90" s="2613"/>
    </row>
    <row r="91" spans="1:9" s="71" customFormat="1" ht="30" customHeight="1" thickBot="1">
      <c r="A91" s="2913" t="str">
        <f>F!A42</f>
        <v>F8</v>
      </c>
      <c r="B91" s="2942" t="str">
        <f>F!B42</f>
        <v xml:space="preserve">Dominance of Most Abundant Shrub Species </v>
      </c>
      <c r="C91" s="949" t="str">
        <f>F!C42</f>
        <v>Determine which two native shrub species comprise the greatest portion of the native shrub cover. Then choose one:</v>
      </c>
      <c r="D91" s="965"/>
      <c r="E91" s="965"/>
      <c r="F91" s="966"/>
      <c r="G91" s="746" t="str">
        <f>IF((SUM(F!D17:D18)=0),"", MAX(F92:F93))</f>
        <v/>
      </c>
      <c r="H91" s="2318" t="s">
        <v>1418</v>
      </c>
      <c r="I91" s="2611" t="s">
        <v>689</v>
      </c>
    </row>
    <row r="92" spans="1:9" s="71" customFormat="1" ht="15" customHeight="1">
      <c r="A92" s="2914"/>
      <c r="B92" s="2912"/>
      <c r="C92" s="950" t="str">
        <f>F!C43</f>
        <v>those species together comprise &gt; 50% of the areal cover of native shrub species.</v>
      </c>
      <c r="D92" s="327">
        <f>F!D43</f>
        <v>0</v>
      </c>
      <c r="E92" s="891">
        <v>0</v>
      </c>
      <c r="F92" s="892">
        <f>D92*E92</f>
        <v>0</v>
      </c>
      <c r="G92" s="968"/>
      <c r="H92" s="2319"/>
      <c r="I92" s="2612"/>
    </row>
    <row r="93" spans="1:9" s="71" customFormat="1" ht="15" customHeight="1" thickBot="1">
      <c r="A93" s="2915"/>
      <c r="B93" s="2932"/>
      <c r="C93" s="952" t="str">
        <f>F!C44</f>
        <v>those species together do not comprise &gt; 50% of the areal cover of native shrub species.</v>
      </c>
      <c r="D93" s="329">
        <f>F!D44</f>
        <v>0</v>
      </c>
      <c r="E93" s="970">
        <v>1</v>
      </c>
      <c r="F93" s="971">
        <f>D93*E93</f>
        <v>0</v>
      </c>
      <c r="G93" s="972"/>
      <c r="H93" s="2322"/>
      <c r="I93" s="2613"/>
    </row>
    <row r="94" spans="1:9" s="71" customFormat="1" ht="30" customHeight="1" thickBot="1">
      <c r="A94" s="2949" t="str">
        <f>F!A45</f>
        <v>F9</v>
      </c>
      <c r="B94" s="2939" t="str">
        <f>F!B45</f>
        <v>N Fixers</v>
      </c>
      <c r="C94" s="962" t="str">
        <f>F!C45</f>
        <v>The percentage of the AA's shrub plus ground cover that contains nitrogen-fixing plants (e.g., alder, bayberry, clover, lupine, alfalfa, other legumes) is:</v>
      </c>
      <c r="D94" s="973"/>
      <c r="E94" s="1013"/>
      <c r="F94" s="974"/>
      <c r="G94" s="975">
        <f>MAX(F95:F99)/MAX(E95:E99)</f>
        <v>0</v>
      </c>
      <c r="H94" s="2321" t="s">
        <v>1864</v>
      </c>
      <c r="I94" s="2611" t="s">
        <v>691</v>
      </c>
    </row>
    <row r="95" spans="1:9" s="71" customFormat="1" ht="15" customHeight="1">
      <c r="A95" s="2949"/>
      <c r="B95" s="2939"/>
      <c r="C95" s="960" t="str">
        <f>F!C46</f>
        <v>&lt;1% or none</v>
      </c>
      <c r="D95" s="332">
        <f>F!D46</f>
        <v>0</v>
      </c>
      <c r="E95" s="1007">
        <v>0</v>
      </c>
      <c r="F95" s="892">
        <f>D95*E95</f>
        <v>0</v>
      </c>
      <c r="G95" s="968"/>
      <c r="H95" s="2319"/>
      <c r="I95" s="2612"/>
    </row>
    <row r="96" spans="1:9" s="71" customFormat="1" ht="15" customHeight="1">
      <c r="A96" s="2949"/>
      <c r="B96" s="2939"/>
      <c r="C96" s="963" t="str">
        <f>F!C47</f>
        <v>1-25% of the shrub plus ground cover, in the AA or along its water edge (whichever has more).</v>
      </c>
      <c r="D96" s="334">
        <f>F!D47</f>
        <v>0</v>
      </c>
      <c r="E96" s="1007">
        <v>2</v>
      </c>
      <c r="F96" s="892">
        <f>D96*E96</f>
        <v>0</v>
      </c>
      <c r="G96" s="969"/>
      <c r="H96" s="2319"/>
      <c r="I96" s="2612"/>
    </row>
    <row r="97" spans="1:9" s="71" customFormat="1" ht="15" customHeight="1">
      <c r="A97" s="2949"/>
      <c r="B97" s="2939"/>
      <c r="C97" s="963" t="str">
        <f>F!C48</f>
        <v>25-50% of the shrub plus ground cover, in the AA or along its water edge (whichever has more).</v>
      </c>
      <c r="D97" s="334">
        <f>F!D48</f>
        <v>0</v>
      </c>
      <c r="E97" s="1007">
        <v>3</v>
      </c>
      <c r="F97" s="892">
        <f>D97*E97</f>
        <v>0</v>
      </c>
      <c r="G97" s="969"/>
      <c r="H97" s="2319"/>
      <c r="I97" s="2612"/>
    </row>
    <row r="98" spans="1:9" s="71" customFormat="1" ht="15" customHeight="1">
      <c r="A98" s="2949"/>
      <c r="B98" s="2939"/>
      <c r="C98" s="963" t="str">
        <f>F!C49</f>
        <v>50-75% of the shrub plus ground cover, in the AA or along its water edge (whichever has more).</v>
      </c>
      <c r="D98" s="334">
        <f>F!D49</f>
        <v>0</v>
      </c>
      <c r="E98" s="1007">
        <v>4</v>
      </c>
      <c r="F98" s="892">
        <f>D98*E98</f>
        <v>0</v>
      </c>
      <c r="G98" s="969"/>
      <c r="H98" s="2319"/>
      <c r="I98" s="2612"/>
    </row>
    <row r="99" spans="1:9" s="71" customFormat="1" ht="15" customHeight="1" thickBot="1">
      <c r="A99" s="2949"/>
      <c r="B99" s="2939"/>
      <c r="C99" s="964" t="str">
        <f>F!C50</f>
        <v>&gt;75% of the shrub plus ground cover, in the AA or along its water edge (whichever has more).</v>
      </c>
      <c r="D99" s="335">
        <f>F!D50</f>
        <v>0</v>
      </c>
      <c r="E99" s="1014">
        <v>5</v>
      </c>
      <c r="F99" s="977">
        <f>D99*E99</f>
        <v>0</v>
      </c>
      <c r="G99" s="978"/>
      <c r="H99" s="2320"/>
      <c r="I99" s="2613"/>
    </row>
    <row r="100" spans="1:9" s="71" customFormat="1" ht="30" customHeight="1" thickBot="1">
      <c r="A100" s="2916" t="str">
        <f>F!A57</f>
        <v>F11</v>
      </c>
      <c r="B100" s="2911" t="str">
        <f>F!B57</f>
        <v>% Bare Ground &amp; Thatch</v>
      </c>
      <c r="C100" s="949" t="str">
        <f>F!C57</f>
        <v>Consider the parts of the AA that lack surface water at the driest time of the growing season. Viewed from directly above the ground layer, the predominant condition in those areas at that time is:</v>
      </c>
      <c r="D100" s="965"/>
      <c r="E100" s="965"/>
      <c r="F100" s="966"/>
      <c r="G100" s="746">
        <f>MAX(F101:F104)/MAX(E101:E104)</f>
        <v>0</v>
      </c>
      <c r="H100" s="2212" t="s">
        <v>609</v>
      </c>
      <c r="I100" s="2611" t="s">
        <v>692</v>
      </c>
    </row>
    <row r="101" spans="1:9" s="71" customFormat="1" ht="42" customHeight="1">
      <c r="A101" s="2950"/>
      <c r="B101" s="2923"/>
      <c r="C101" s="950" t="str">
        <f>F!C58</f>
        <v>Little or no (&lt;5%) bare ground is visible between erect stems or under canopy anywhere in the vegetated AA. Ground is extensively blanketed by dense thatch, moss, lichens, graminoids with great stem densities, or plants with ground-hugging foliage. </v>
      </c>
      <c r="D101" s="327">
        <f>F!D58</f>
        <v>0</v>
      </c>
      <c r="E101" s="1007">
        <v>0</v>
      </c>
      <c r="F101" s="892">
        <f>D101*E101</f>
        <v>0</v>
      </c>
      <c r="G101" s="968"/>
      <c r="H101" s="2213"/>
      <c r="I101" s="2612"/>
    </row>
    <row r="102" spans="1:9" s="71" customFormat="1" ht="27" customHeight="1">
      <c r="A102" s="2950"/>
      <c r="B102" s="2923"/>
      <c r="C102" s="951" t="str">
        <f>F!C59</f>
        <v>Slightly bare ground (5-20% bare between plants) is visible in places, but those areas comprise less than 5% of the unflooded parts of the AA.</v>
      </c>
      <c r="D102" s="328">
        <f>F!D59</f>
        <v>0</v>
      </c>
      <c r="E102" s="1007">
        <v>1</v>
      </c>
      <c r="F102" s="892">
        <f>D102*E102</f>
        <v>0</v>
      </c>
      <c r="G102" s="969"/>
      <c r="H102" s="2213"/>
      <c r="I102" s="2612"/>
    </row>
    <row r="103" spans="1:9" s="71" customFormat="1" ht="27" customHeight="1">
      <c r="A103" s="2950"/>
      <c r="B103" s="2923"/>
      <c r="C103" s="951" t="str">
        <f>F!C60</f>
        <v>Much bare ground (20-50% bare between plants) is visible in places, and those areas comprise more than 5% of the unflooded parts of the AA. </v>
      </c>
      <c r="D103" s="328">
        <f>F!D60</f>
        <v>0</v>
      </c>
      <c r="E103" s="1007">
        <v>2</v>
      </c>
      <c r="F103" s="892">
        <f>D103*E103</f>
        <v>0</v>
      </c>
      <c r="G103" s="969"/>
      <c r="H103" s="2213"/>
      <c r="I103" s="2612"/>
    </row>
    <row r="104" spans="1:9" s="71" customFormat="1" ht="15" customHeight="1" thickBot="1">
      <c r="A104" s="2951"/>
      <c r="B104" s="2924"/>
      <c r="C104" s="952" t="str">
        <f>F!C61</f>
        <v>Other conditions.</v>
      </c>
      <c r="D104" s="329">
        <f>F!D61</f>
        <v>0</v>
      </c>
      <c r="E104" s="1008">
        <v>3</v>
      </c>
      <c r="F104" s="971">
        <f>D104*E104</f>
        <v>0</v>
      </c>
      <c r="G104" s="972"/>
      <c r="H104" s="2377"/>
      <c r="I104" s="2613"/>
    </row>
    <row r="105" spans="1:9" s="71" customFormat="1" ht="45" customHeight="1" thickBot="1">
      <c r="A105" s="2925" t="str">
        <f>F!A71</f>
        <v>F14</v>
      </c>
      <c r="B105" s="2923" t="str">
        <f>F!B71</f>
        <v>Soil Texture</v>
      </c>
      <c r="C105" s="953" t="str">
        <f>F!C71</f>
        <v xml:space="preserve">In parts of the AA that lack persistent water, the texture of soil in the uppermost layer is mostly:  [To determine this, use a trowel to check in at least 3 widely spaced locations, and use the soil texture key (Figure A-7 in the Manual. ] </v>
      </c>
      <c r="D105" s="965"/>
      <c r="E105" s="973"/>
      <c r="F105" s="974"/>
      <c r="G105" s="975">
        <f>MAX(F106:F110)/MAX(E106:E110)</f>
        <v>0</v>
      </c>
      <c r="H105" s="2213" t="s">
        <v>1865</v>
      </c>
      <c r="I105" s="2611" t="s">
        <v>693</v>
      </c>
    </row>
    <row r="106" spans="1:9" s="71" customFormat="1" ht="15" customHeight="1">
      <c r="A106" s="2926"/>
      <c r="B106" s="2912"/>
      <c r="C106" s="950" t="str">
        <f>F!C72</f>
        <v>Loamy: includes loam, sandy loam.</v>
      </c>
      <c r="D106" s="327">
        <f>F!D72</f>
        <v>0</v>
      </c>
      <c r="E106" s="891">
        <v>1</v>
      </c>
      <c r="F106" s="892">
        <f>D106*E106</f>
        <v>0</v>
      </c>
      <c r="G106" s="968"/>
      <c r="H106" s="2213"/>
      <c r="I106" s="2612"/>
    </row>
    <row r="107" spans="1:9" s="71" customFormat="1" ht="27" customHeight="1">
      <c r="A107" s="2926"/>
      <c r="B107" s="2912"/>
      <c r="C107" s="951" t="str">
        <f>F!C73</f>
        <v>Fines: includes silt, clay, clay loam, silty clay, silty clay loam, sandy clay, sandy clay loam.</v>
      </c>
      <c r="D107" s="328">
        <f>F!D73</f>
        <v>0</v>
      </c>
      <c r="E107" s="891">
        <v>1</v>
      </c>
      <c r="F107" s="892">
        <f>D107*E107</f>
        <v>0</v>
      </c>
      <c r="G107" s="969"/>
      <c r="H107" s="2213"/>
      <c r="I107" s="2612"/>
    </row>
    <row r="108" spans="1:9" s="71" customFormat="1" ht="15" customHeight="1">
      <c r="A108" s="2926"/>
      <c r="B108" s="2912"/>
      <c r="C108" s="951" t="str">
        <f>F!C74</f>
        <v>Peat, to 40 cm depth or greater.</v>
      </c>
      <c r="D108" s="328">
        <f>F!D74</f>
        <v>0</v>
      </c>
      <c r="E108" s="891">
        <v>3</v>
      </c>
      <c r="F108" s="892">
        <f>D108*E108</f>
        <v>0</v>
      </c>
      <c r="G108" s="969"/>
      <c r="H108" s="2213"/>
      <c r="I108" s="2612"/>
    </row>
    <row r="109" spans="1:9" s="71" customFormat="1" ht="15" customHeight="1">
      <c r="A109" s="2926"/>
      <c r="B109" s="2912"/>
      <c r="C109" s="951" t="str">
        <f>F!C75</f>
        <v xml:space="preserve">Peat or organic &lt;40 cm deep. </v>
      </c>
      <c r="D109" s="328">
        <f>F!D75</f>
        <v>0</v>
      </c>
      <c r="E109" s="891">
        <v>4</v>
      </c>
      <c r="F109" s="892">
        <f>D109*E109</f>
        <v>0</v>
      </c>
      <c r="G109" s="969"/>
      <c r="H109" s="2213"/>
      <c r="I109" s="2612"/>
    </row>
    <row r="110" spans="1:9" s="71" customFormat="1" ht="27" customHeight="1" thickBot="1">
      <c r="A110" s="2926"/>
      <c r="B110" s="2912"/>
      <c r="C110" s="954" t="str">
        <f>F!C76</f>
        <v>Coarse: includes sand, loamy sand, gravel, cobble, stones, boulders, fluvents, fluvaquents, riverwash.</v>
      </c>
      <c r="D110" s="330">
        <f>F!D76</f>
        <v>0</v>
      </c>
      <c r="E110" s="983">
        <v>0</v>
      </c>
      <c r="F110" s="977">
        <f>D110*E110</f>
        <v>0</v>
      </c>
      <c r="G110" s="978"/>
      <c r="H110" s="2213"/>
      <c r="I110" s="2613"/>
    </row>
    <row r="111" spans="1:9" s="71" customFormat="1" ht="51" customHeight="1" thickBot="1">
      <c r="A111" s="2920" t="str">
        <f>F!A99</f>
        <v>F19</v>
      </c>
      <c r="B111" s="2917" t="str">
        <f>F!B99</f>
        <v xml:space="preserve">Dominance of Most Abundant Herbaceous Species </v>
      </c>
      <c r="C111" s="949" t="str">
        <f>F!C99</f>
        <v>Determine which two native herbaceous (forb and graminoid) species comprise the greatest portion of the herbaceous cover that is unshaded by a woody canopy. Then choose one of the following:</v>
      </c>
      <c r="D111" s="965"/>
      <c r="E111" s="987"/>
      <c r="F111" s="1001"/>
      <c r="G111" s="746">
        <f>IF((NoHerbCov=1),"",MAX(F112:F113))</f>
        <v>0</v>
      </c>
      <c r="H111" s="2318" t="s">
        <v>2340</v>
      </c>
      <c r="I111" s="2611" t="s">
        <v>687</v>
      </c>
    </row>
    <row r="112" spans="1:9" s="71" customFormat="1" ht="39" customHeight="1">
      <c r="A112" s="2921"/>
      <c r="B112" s="2918"/>
      <c r="C112" s="950" t="str">
        <f>F!C100</f>
        <v>those species together comprise &gt; 50% of the areal cover of native herbaceous plants at any time during the year.</v>
      </c>
      <c r="D112" s="327">
        <f>F!D100</f>
        <v>0</v>
      </c>
      <c r="E112" s="967">
        <v>0</v>
      </c>
      <c r="F112" s="892">
        <f>D112*E112</f>
        <v>0</v>
      </c>
      <c r="G112" s="969"/>
      <c r="H112" s="2319"/>
      <c r="I112" s="2612"/>
    </row>
    <row r="113" spans="1:9" s="71" customFormat="1" ht="39" customHeight="1" thickBot="1">
      <c r="A113" s="2922"/>
      <c r="B113" s="2919"/>
      <c r="C113" s="952" t="str">
        <f>F!C101</f>
        <v>those species together do not comprise &gt; 50% of the areal cover of native herbaceous plants at any time during the year.</v>
      </c>
      <c r="D113" s="329">
        <f>F!D101</f>
        <v>0</v>
      </c>
      <c r="E113" s="984">
        <v>1</v>
      </c>
      <c r="F113" s="971">
        <f>D113*E113</f>
        <v>0</v>
      </c>
      <c r="G113" s="972"/>
      <c r="H113" s="2322"/>
      <c r="I113" s="2613"/>
    </row>
    <row r="114" spans="1:9" s="71" customFormat="1" ht="30" customHeight="1" thickBot="1">
      <c r="A114" s="2916" t="str">
        <f>F!A102</f>
        <v>F20</v>
      </c>
      <c r="B114" s="2911" t="str">
        <f>F!B102</f>
        <v>Exotic Plant Cover</v>
      </c>
      <c r="C114" s="949" t="str">
        <f>F!C102</f>
        <v>How extensive is the cover of exotic plant species in the AA?  For species, see Plants_Exotic worksheet in the SuppInfo file accompanying this calculator.</v>
      </c>
      <c r="D114" s="965"/>
      <c r="E114" s="1307"/>
      <c r="F114" s="1308"/>
      <c r="G114" s="746">
        <f>(MAX(F115:F119))/MAX(E115:E119)</f>
        <v>0</v>
      </c>
      <c r="H114" s="2318" t="s">
        <v>2014</v>
      </c>
      <c r="I114" s="2611" t="s">
        <v>686</v>
      </c>
    </row>
    <row r="115" spans="1:9" s="71" customFormat="1" ht="27" customHeight="1">
      <c r="A115" s="2914"/>
      <c r="B115" s="2912"/>
      <c r="C115" s="950" t="str">
        <f>F!C103</f>
        <v>exotic species appear to be absent in the AA, or are present only in trace amount (a few individuals).</v>
      </c>
      <c r="D115" s="327">
        <f>F!D103</f>
        <v>0</v>
      </c>
      <c r="E115" s="891">
        <v>4</v>
      </c>
      <c r="F115" s="892">
        <f>D115*E115</f>
        <v>0</v>
      </c>
      <c r="G115" s="968"/>
      <c r="H115" s="2319"/>
      <c r="I115" s="2612"/>
    </row>
    <row r="116" spans="1:9" s="71" customFormat="1" ht="27" customHeight="1">
      <c r="A116" s="2914"/>
      <c r="B116" s="2912"/>
      <c r="C116" s="951" t="str">
        <f>F!C104</f>
        <v>exotic species are present in more than trace amounts, but comprise &lt;5% of herbaceous cover (or woody cover, if the exotics are woody).</v>
      </c>
      <c r="D116" s="328">
        <f>F!D104</f>
        <v>0</v>
      </c>
      <c r="E116" s="973">
        <v>3</v>
      </c>
      <c r="F116" s="986"/>
      <c r="G116" s="968"/>
      <c r="H116" s="2319"/>
      <c r="I116" s="2612"/>
    </row>
    <row r="117" spans="1:9" s="71" customFormat="1" ht="15" customHeight="1">
      <c r="A117" s="2914"/>
      <c r="B117" s="2912"/>
      <c r="C117" s="951" t="str">
        <f>F!C105</f>
        <v>exotic species comprise 5-20% of the herb cover (or woody cover, if the exotics are woody).</v>
      </c>
      <c r="D117" s="328">
        <f>F!D105</f>
        <v>0</v>
      </c>
      <c r="E117" s="985">
        <v>2</v>
      </c>
      <c r="F117" s="986">
        <f>D117*E117</f>
        <v>0</v>
      </c>
      <c r="G117" s="968"/>
      <c r="H117" s="2319"/>
      <c r="I117" s="2612"/>
    </row>
    <row r="118" spans="1:9" s="71" customFormat="1" ht="15" customHeight="1">
      <c r="A118" s="2914"/>
      <c r="B118" s="2912"/>
      <c r="C118" s="951" t="str">
        <f>F!C106</f>
        <v>exotic species comprise 20-50% of the herb cover  (or woody cover, if the exotics are woody).</v>
      </c>
      <c r="D118" s="328">
        <f>F!D106</f>
        <v>0</v>
      </c>
      <c r="E118" s="967">
        <v>1</v>
      </c>
      <c r="F118" s="892">
        <f>D118*E118</f>
        <v>0</v>
      </c>
      <c r="G118" s="969"/>
      <c r="H118" s="2319"/>
      <c r="I118" s="2612"/>
    </row>
    <row r="119" spans="1:9" s="71" customFormat="1" ht="15" customHeight="1" thickBot="1">
      <c r="A119" s="2915"/>
      <c r="B119" s="2932"/>
      <c r="C119" s="952" t="str">
        <f>F!C107</f>
        <v>exotic species comprise &gt;50% of the herb cover  (or woody cover, if the exotics are woody).</v>
      </c>
      <c r="D119" s="329">
        <f>F!D107</f>
        <v>0</v>
      </c>
      <c r="E119" s="984">
        <v>0</v>
      </c>
      <c r="F119" s="971">
        <f>D119*E119</f>
        <v>0</v>
      </c>
      <c r="G119" s="972"/>
      <c r="H119" s="2322"/>
      <c r="I119" s="2613"/>
    </row>
    <row r="120" spans="1:9" s="9" customFormat="1" ht="30" customHeight="1" thickBot="1">
      <c r="A120" s="2361" t="str">
        <f>F!A115</f>
        <v>F24</v>
      </c>
      <c r="B120" s="2146" t="str">
        <f>F!B115</f>
        <v>% of AA Without Surface Water</v>
      </c>
      <c r="C120" s="862" t="str">
        <f>F!C115</f>
        <v>The percentage of the AA that never contains surface water during an average year (that is, except perhaps for a few hours after snowmelt or rainstorms), but which is still a wetland, is:</v>
      </c>
      <c r="D120" s="973"/>
      <c r="E120" s="1002"/>
      <c r="F120" s="1003"/>
      <c r="G120" s="975">
        <f>MAX(F121:F126)/MAX(E121:E126)</f>
        <v>0</v>
      </c>
      <c r="H120" s="2146" t="s">
        <v>1862</v>
      </c>
      <c r="I120" s="2411" t="s">
        <v>1148</v>
      </c>
    </row>
    <row r="121" spans="1:9" s="9" customFormat="1" ht="27" customHeight="1">
      <c r="A121" s="2361"/>
      <c r="B121" s="2146"/>
      <c r="C121" s="723" t="str">
        <f>F!C116</f>
        <v xml:space="preserve">&lt;1% AND &lt;0.01 hectare (about 10 m on a side) never has surface water. In other words, all or nearly all of the AA is covered by water permanently or at least seasonally.  </v>
      </c>
      <c r="D121" s="256">
        <f>F!D116</f>
        <v>0</v>
      </c>
      <c r="E121" s="892">
        <v>0</v>
      </c>
      <c r="F121" s="892">
        <f t="shared" ref="F121:F126" si="5">D121*E121</f>
        <v>0</v>
      </c>
      <c r="G121" s="969"/>
      <c r="H121" s="2146"/>
      <c r="I121" s="2412"/>
    </row>
    <row r="122" spans="1:9" s="9" customFormat="1" ht="15" customHeight="1">
      <c r="A122" s="2361"/>
      <c r="B122" s="2146"/>
      <c r="C122" s="1076" t="str">
        <f>F!C117</f>
        <v>1-25% of the AA,  or &lt;1% but &gt;0.01 ha, never contains surface water.</v>
      </c>
      <c r="D122" s="256">
        <f>F!D117</f>
        <v>0</v>
      </c>
      <c r="E122" s="892">
        <v>1</v>
      </c>
      <c r="F122" s="892">
        <f t="shared" si="5"/>
        <v>0</v>
      </c>
      <c r="G122" s="969"/>
      <c r="H122" s="2146"/>
      <c r="I122" s="2412"/>
    </row>
    <row r="123" spans="1:9" s="9" customFormat="1" ht="15" customHeight="1">
      <c r="A123" s="2361"/>
      <c r="B123" s="2146"/>
      <c r="C123" s="1076" t="str">
        <f>F!C118</f>
        <v>25-50% of the AA never contains surface water.</v>
      </c>
      <c r="D123" s="256">
        <f>F!D118</f>
        <v>0</v>
      </c>
      <c r="E123" s="892">
        <v>2</v>
      </c>
      <c r="F123" s="892">
        <f t="shared" si="5"/>
        <v>0</v>
      </c>
      <c r="G123" s="969"/>
      <c r="H123" s="2146"/>
      <c r="I123" s="2412"/>
    </row>
    <row r="124" spans="1:9" s="9" customFormat="1" ht="15" customHeight="1">
      <c r="A124" s="2361"/>
      <c r="B124" s="2146"/>
      <c r="C124" s="1076" t="str">
        <f>F!C119</f>
        <v>50-75% of the AA never contains surface water.</v>
      </c>
      <c r="D124" s="256">
        <f>F!D119</f>
        <v>0</v>
      </c>
      <c r="E124" s="892">
        <v>3</v>
      </c>
      <c r="F124" s="892">
        <f t="shared" si="5"/>
        <v>0</v>
      </c>
      <c r="G124" s="969"/>
      <c r="H124" s="2146"/>
      <c r="I124" s="2412"/>
    </row>
    <row r="125" spans="1:9" s="9" customFormat="1" ht="15" customHeight="1">
      <c r="A125" s="2361"/>
      <c r="B125" s="2146"/>
      <c r="C125" s="1076" t="str">
        <f>F!C120</f>
        <v>75-99% of the AA never contains surface water.</v>
      </c>
      <c r="D125" s="256">
        <f>F!D120</f>
        <v>0</v>
      </c>
      <c r="E125" s="892">
        <v>4</v>
      </c>
      <c r="F125" s="892">
        <f t="shared" si="5"/>
        <v>0</v>
      </c>
      <c r="G125" s="969"/>
      <c r="H125" s="2146"/>
      <c r="I125" s="2412"/>
    </row>
    <row r="126" spans="1:9" s="9" customFormat="1" ht="27" customHeight="1" thickBot="1">
      <c r="A126" s="2361"/>
      <c r="B126" s="2146"/>
      <c r="C126" s="1076" t="str">
        <f>F!C121</f>
        <v>100%. True for many bogs, meadow marshes, swamps that lack vernal pools.  Enter "1" and SKIP to F42 (Channel Connection).</v>
      </c>
      <c r="D126" s="256">
        <f>F!D121</f>
        <v>0</v>
      </c>
      <c r="E126" s="977">
        <v>5</v>
      </c>
      <c r="F126" s="977">
        <f t="shared" si="5"/>
        <v>0</v>
      </c>
      <c r="G126" s="978"/>
      <c r="H126" s="2146"/>
      <c r="I126" s="2413"/>
    </row>
    <row r="127" spans="1:9" s="71" customFormat="1" ht="30" customHeight="1" thickBot="1">
      <c r="A127" s="2916" t="str">
        <f>F!A147</f>
        <v>F29</v>
      </c>
      <c r="B127" s="2911" t="str">
        <f>F!B147</f>
        <v>Predominant Depth Class</v>
      </c>
      <c r="C127" s="949" t="str">
        <f>F!C147</f>
        <v>During most of the time when surface water is present during the growing season, its depth, averaged over the entire inundated part of the AA, is:</v>
      </c>
      <c r="D127" s="965"/>
      <c r="E127" s="965"/>
      <c r="F127" s="966"/>
      <c r="G127" s="746">
        <f>IF((AllSat1&gt;0),"",IF((TooSmall=1),"",(MAX(F128:F132))/MAX(E128:E132)))</f>
        <v>0</v>
      </c>
      <c r="H127" s="2212" t="s">
        <v>2342</v>
      </c>
      <c r="I127" s="2611" t="s">
        <v>682</v>
      </c>
    </row>
    <row r="128" spans="1:9" s="71" customFormat="1" ht="15" customHeight="1">
      <c r="A128" s="2914"/>
      <c r="B128" s="2912"/>
      <c r="C128" s="950" t="str">
        <f>F!C148</f>
        <v>&lt;10 cm deep (but &gt;0).</v>
      </c>
      <c r="D128" s="327">
        <f>F!D148</f>
        <v>0</v>
      </c>
      <c r="E128" s="967">
        <v>4</v>
      </c>
      <c r="F128" s="892">
        <f>D128*E128</f>
        <v>0</v>
      </c>
      <c r="G128" s="968"/>
      <c r="H128" s="2213"/>
      <c r="I128" s="2612"/>
    </row>
    <row r="129" spans="1:9" s="71" customFormat="1" ht="15" customHeight="1">
      <c r="A129" s="2914"/>
      <c r="B129" s="2912"/>
      <c r="C129" s="951" t="str">
        <f>F!C149</f>
        <v>10 - 50 cm deep.</v>
      </c>
      <c r="D129" s="328">
        <f>F!D149</f>
        <v>0</v>
      </c>
      <c r="E129" s="967">
        <v>3</v>
      </c>
      <c r="F129" s="892">
        <f>D129*E129</f>
        <v>0</v>
      </c>
      <c r="G129" s="969"/>
      <c r="H129" s="2213"/>
      <c r="I129" s="2612"/>
    </row>
    <row r="130" spans="1:9" s="71" customFormat="1" ht="15" customHeight="1">
      <c r="A130" s="2914"/>
      <c r="B130" s="2912"/>
      <c r="C130" s="951" t="str">
        <f>F!C150</f>
        <v>0.5 - 1 m deep.</v>
      </c>
      <c r="D130" s="328">
        <f>F!D150</f>
        <v>0</v>
      </c>
      <c r="E130" s="967">
        <v>2</v>
      </c>
      <c r="F130" s="892">
        <f>D130*E130</f>
        <v>0</v>
      </c>
      <c r="G130" s="969"/>
      <c r="H130" s="2213"/>
      <c r="I130" s="2612"/>
    </row>
    <row r="131" spans="1:9" s="71" customFormat="1" ht="15" customHeight="1">
      <c r="A131" s="2914"/>
      <c r="B131" s="2912"/>
      <c r="C131" s="951" t="str">
        <f>F!C151</f>
        <v>1 - 2 m deep.</v>
      </c>
      <c r="D131" s="328">
        <f>F!D151</f>
        <v>0</v>
      </c>
      <c r="E131" s="967">
        <v>1</v>
      </c>
      <c r="F131" s="892">
        <f>D131*E131</f>
        <v>0</v>
      </c>
      <c r="G131" s="969"/>
      <c r="H131" s="2213"/>
      <c r="I131" s="2612"/>
    </row>
    <row r="132" spans="1:9" s="71" customFormat="1" ht="15" customHeight="1" thickBot="1">
      <c r="A132" s="2915"/>
      <c r="B132" s="2932"/>
      <c r="C132" s="952" t="str">
        <f>F!C152</f>
        <v>&gt;2 m deep. True for many fringe wetlands.</v>
      </c>
      <c r="D132" s="329">
        <f>F!D152</f>
        <v>0</v>
      </c>
      <c r="E132" s="984">
        <v>0</v>
      </c>
      <c r="F132" s="971">
        <f>D132*E132</f>
        <v>0</v>
      </c>
      <c r="G132" s="972"/>
      <c r="H132" s="2377"/>
      <c r="I132" s="2613"/>
    </row>
    <row r="133" spans="1:9" s="72" customFormat="1" ht="30" customHeight="1" thickBot="1">
      <c r="A133" s="2952" t="str">
        <f>F!A157</f>
        <v>F31</v>
      </c>
      <c r="B133" s="2958" t="str">
        <f>F!B157</f>
        <v>% of Water That Is Ponded (not Flowing)</v>
      </c>
      <c r="C133" s="949" t="str">
        <f>F!C157</f>
        <v>During most times when surface water is present, the percentage that is ponded (stagnant, or flows so slowly that fine sediment is not held in suspension) is:</v>
      </c>
      <c r="D133" s="965"/>
      <c r="E133" s="965"/>
      <c r="F133" s="966"/>
      <c r="G133" s="746">
        <f>IF((AllSat1&gt;0),"",IF((TooSmall=1),"",MAX(F134:F138)/MAX(E134:E138)))</f>
        <v>0</v>
      </c>
      <c r="H133" s="2148" t="s">
        <v>2341</v>
      </c>
      <c r="I133" s="2411" t="s">
        <v>681</v>
      </c>
    </row>
    <row r="134" spans="1:9" s="72" customFormat="1" ht="27" customHeight="1">
      <c r="A134" s="2953"/>
      <c r="B134" s="2959"/>
      <c r="C134" s="950" t="str">
        <f>F!C158</f>
        <v>&lt;5% of the water, or it occupies &lt;100 sq.m cumulatively. Nearly all the surface water is flowing. SKIP to F34.</v>
      </c>
      <c r="D134" s="1185">
        <f>F!D158</f>
        <v>0</v>
      </c>
      <c r="E134" s="891">
        <v>1</v>
      </c>
      <c r="F134" s="892">
        <f>D134*E134</f>
        <v>0</v>
      </c>
      <c r="G134" s="969"/>
      <c r="H134" s="2146"/>
      <c r="I134" s="2412"/>
    </row>
    <row r="135" spans="1:9" s="72" customFormat="1" ht="15" customHeight="1">
      <c r="A135" s="2953"/>
      <c r="B135" s="2959"/>
      <c r="C135" s="950" t="str">
        <f>F!C159</f>
        <v>5-30% of the water.</v>
      </c>
      <c r="D135" s="1185">
        <f>F!D159</f>
        <v>0</v>
      </c>
      <c r="E135" s="891">
        <v>2</v>
      </c>
      <c r="F135" s="892">
        <f>D135*E135</f>
        <v>0</v>
      </c>
      <c r="G135" s="969"/>
      <c r="H135" s="2146"/>
      <c r="I135" s="2412"/>
    </row>
    <row r="136" spans="1:9" s="72" customFormat="1" ht="15" customHeight="1">
      <c r="A136" s="2953"/>
      <c r="B136" s="2959"/>
      <c r="C136" s="950" t="str">
        <f>F!C160</f>
        <v>30-70% of the water.</v>
      </c>
      <c r="D136" s="1185">
        <f>F!D160</f>
        <v>0</v>
      </c>
      <c r="E136" s="891">
        <v>3</v>
      </c>
      <c r="F136" s="892">
        <f>D136*E136</f>
        <v>0</v>
      </c>
      <c r="G136" s="969"/>
      <c r="H136" s="2146"/>
      <c r="I136" s="2412"/>
    </row>
    <row r="137" spans="1:9" s="72" customFormat="1" ht="15" customHeight="1">
      <c r="A137" s="2953"/>
      <c r="B137" s="2959"/>
      <c r="C137" s="950" t="str">
        <f>F!C161</f>
        <v>70-95% of the water.</v>
      </c>
      <c r="D137" s="1185">
        <f>F!D161</f>
        <v>0</v>
      </c>
      <c r="E137" s="891">
        <v>4</v>
      </c>
      <c r="F137" s="892">
        <f>D137*E137</f>
        <v>0</v>
      </c>
      <c r="G137" s="969"/>
      <c r="H137" s="2146"/>
      <c r="I137" s="2412"/>
    </row>
    <row r="138" spans="1:9" s="72" customFormat="1" ht="15" customHeight="1" thickBot="1">
      <c r="A138" s="2954"/>
      <c r="B138" s="2960"/>
      <c r="C138" s="958" t="str">
        <f>F!C162</f>
        <v>&gt;95% of the water.</v>
      </c>
      <c r="D138" s="1186">
        <f>F!D162</f>
        <v>0</v>
      </c>
      <c r="E138" s="970">
        <v>5</v>
      </c>
      <c r="F138" s="971">
        <f>D138*E138</f>
        <v>0</v>
      </c>
      <c r="G138" s="972"/>
      <c r="H138" s="2149"/>
      <c r="I138" s="2413"/>
    </row>
    <row r="139" spans="1:9" s="71" customFormat="1" ht="48" customHeight="1" thickBot="1">
      <c r="A139" s="2916" t="str">
        <f>F!A171</f>
        <v>F34</v>
      </c>
      <c r="B139" s="2911" t="str">
        <f>F!B171</f>
        <v>Width of Vegetated Zone within Wetland</v>
      </c>
      <c r="C139" s="949" t="str">
        <f>F!C171</f>
        <v>At the time during the growing season when the AA's water level is lowest, the average width of vegetated area in the AA that separates adjoining uplands from open water within the AA is:</v>
      </c>
      <c r="D139" s="965"/>
      <c r="E139" s="965"/>
      <c r="F139" s="966"/>
      <c r="G139" s="746">
        <f>IF((AllSat1&gt;0),"",IF((TooSmall=1),"",IF((NoOpenPonded=1),"",MAX(F140:F145)/MAX(E140:E145))))</f>
        <v>0</v>
      </c>
      <c r="H139" s="2212" t="s">
        <v>2343</v>
      </c>
      <c r="I139" s="2611" t="s">
        <v>683</v>
      </c>
    </row>
    <row r="140" spans="1:9" s="71" customFormat="1" ht="27" customHeight="1">
      <c r="A140" s="2914"/>
      <c r="B140" s="2912"/>
      <c r="C140" s="950" t="str">
        <f>F!C172</f>
        <v>&lt;1 m</v>
      </c>
      <c r="D140" s="327">
        <f>F!D172</f>
        <v>0</v>
      </c>
      <c r="E140" s="967">
        <v>6</v>
      </c>
      <c r="F140" s="892">
        <f t="shared" ref="F140:F145" si="6">D140*E140</f>
        <v>0</v>
      </c>
      <c r="G140" s="968"/>
      <c r="H140" s="2213"/>
      <c r="I140" s="2612"/>
    </row>
    <row r="141" spans="1:9" s="71" customFormat="1" ht="27" customHeight="1">
      <c r="A141" s="2914"/>
      <c r="B141" s="2912"/>
      <c r="C141" s="951" t="str">
        <f>F!C173</f>
        <v>1 - 9 m</v>
      </c>
      <c r="D141" s="328">
        <f>F!D173</f>
        <v>0</v>
      </c>
      <c r="E141" s="967">
        <v>4</v>
      </c>
      <c r="F141" s="892">
        <f t="shared" si="6"/>
        <v>0</v>
      </c>
      <c r="G141" s="969"/>
      <c r="H141" s="2213"/>
      <c r="I141" s="2612"/>
    </row>
    <row r="142" spans="1:9" s="71" customFormat="1" ht="27" customHeight="1">
      <c r="A142" s="2914"/>
      <c r="B142" s="2912"/>
      <c r="C142" s="951" t="str">
        <f>F!C174</f>
        <v>10 - 29 m</v>
      </c>
      <c r="D142" s="328">
        <f>F!D174</f>
        <v>0</v>
      </c>
      <c r="E142" s="967">
        <v>3</v>
      </c>
      <c r="F142" s="892">
        <f t="shared" si="6"/>
        <v>0</v>
      </c>
      <c r="G142" s="969"/>
      <c r="H142" s="2213"/>
      <c r="I142" s="2612"/>
    </row>
    <row r="143" spans="1:9" s="71" customFormat="1" ht="27" customHeight="1">
      <c r="A143" s="2914"/>
      <c r="B143" s="2912"/>
      <c r="C143" s="951" t="str">
        <f>F!C175</f>
        <v>30 - 49 m</v>
      </c>
      <c r="D143" s="328">
        <f>F!D175</f>
        <v>0</v>
      </c>
      <c r="E143" s="967">
        <v>2</v>
      </c>
      <c r="F143" s="892">
        <f t="shared" si="6"/>
        <v>0</v>
      </c>
      <c r="G143" s="969"/>
      <c r="H143" s="2213"/>
      <c r="I143" s="2612"/>
    </row>
    <row r="144" spans="1:9" s="71" customFormat="1" ht="27" customHeight="1">
      <c r="A144" s="2914"/>
      <c r="B144" s="2912"/>
      <c r="C144" s="951" t="str">
        <f>F!C176</f>
        <v>50 - 100 m</v>
      </c>
      <c r="D144" s="328">
        <f>F!D176</f>
        <v>0</v>
      </c>
      <c r="E144" s="967">
        <v>1</v>
      </c>
      <c r="F144" s="892">
        <f t="shared" si="6"/>
        <v>0</v>
      </c>
      <c r="G144" s="969"/>
      <c r="H144" s="2213"/>
      <c r="I144" s="2612"/>
    </row>
    <row r="145" spans="1:9" s="71" customFormat="1" ht="27" customHeight="1" thickBot="1">
      <c r="A145" s="2915"/>
      <c r="B145" s="2932"/>
      <c r="C145" s="952" t="str">
        <f>F!C177</f>
        <v>&gt; 100 m</v>
      </c>
      <c r="D145" s="329">
        <f>F!D177</f>
        <v>0</v>
      </c>
      <c r="E145" s="984">
        <v>0</v>
      </c>
      <c r="F145" s="971">
        <f t="shared" si="6"/>
        <v>0</v>
      </c>
      <c r="G145" s="972"/>
      <c r="H145" s="2377"/>
      <c r="I145" s="2613"/>
    </row>
    <row r="146" spans="1:9" s="71" customFormat="1" ht="30" customHeight="1" thickBot="1">
      <c r="A146" s="2925" t="str">
        <f>F!A200</f>
        <v>F42</v>
      </c>
      <c r="B146" s="2923" t="str">
        <f>F!B200</f>
        <v>Channel Connection &amp; Outflow Duration</v>
      </c>
      <c r="C146" s="953" t="str">
        <f>F!C200</f>
        <v>The most persistent surface water connection (outlet channel or pipe, ditch, or overbank water exchange) between the AA and the closest larger water body located downslope is:</v>
      </c>
      <c r="D146" s="973"/>
      <c r="E146" s="973"/>
      <c r="F146" s="974"/>
      <c r="G146" s="975">
        <f>MAX(F147:F151)/MAX(E147:E151)</f>
        <v>0</v>
      </c>
      <c r="H146" s="2213" t="s">
        <v>1863</v>
      </c>
      <c r="I146" s="2611" t="s">
        <v>684</v>
      </c>
    </row>
    <row r="147" spans="1:9" s="71" customFormat="1" ht="15" customHeight="1">
      <c r="A147" s="2926"/>
      <c r="B147" s="2912"/>
      <c r="C147" s="950" t="str">
        <f>F!C201</f>
        <v>persistent (&gt;9 months/year, regardless of whether frozen or not).</v>
      </c>
      <c r="D147" s="327">
        <f>F!D201</f>
        <v>0</v>
      </c>
      <c r="E147" s="967">
        <v>0</v>
      </c>
      <c r="F147" s="892">
        <f>D147*E147</f>
        <v>0</v>
      </c>
      <c r="G147" s="968"/>
      <c r="H147" s="2213"/>
      <c r="I147" s="2612"/>
    </row>
    <row r="148" spans="1:9" s="71" customFormat="1" ht="15" customHeight="1">
      <c r="A148" s="2926"/>
      <c r="B148" s="2912"/>
      <c r="C148" s="951" t="str">
        <f>F!C202</f>
        <v>seasonal (14 days to 9 months/year, not necessarily consecutive, including times when frozen).</v>
      </c>
      <c r="D148" s="328">
        <f>F!D202</f>
        <v>0</v>
      </c>
      <c r="E148" s="967">
        <v>1</v>
      </c>
      <c r="F148" s="892">
        <f>D148*E148</f>
        <v>0</v>
      </c>
      <c r="G148" s="969"/>
      <c r="H148" s="2213"/>
      <c r="I148" s="2612"/>
    </row>
    <row r="149" spans="1:9" s="71" customFormat="1" ht="15" customHeight="1">
      <c r="A149" s="2926"/>
      <c r="B149" s="2912"/>
      <c r="C149" s="951" t="str">
        <f>F!C203</f>
        <v>temporary (&lt;14 days, not necessarily consecutive, but must be unfrozen).</v>
      </c>
      <c r="D149" s="328">
        <f>F!D203</f>
        <v>0</v>
      </c>
      <c r="E149" s="967">
        <v>2</v>
      </c>
      <c r="F149" s="892">
        <f>D149*E149</f>
        <v>0</v>
      </c>
      <c r="G149" s="969"/>
      <c r="H149" s="2213"/>
      <c r="I149" s="2612"/>
    </row>
    <row r="150" spans="1:9" s="71" customFormat="1" ht="27" customHeight="1">
      <c r="A150" s="2926"/>
      <c r="B150" s="2912"/>
      <c r="C150" s="951" t="str">
        <f>F!C204</f>
        <v>none -- but maps show a stream or other water body that is downslope from the AA and within a distance that is less than the AA's length. SKIP to F44 (Tributary Channel).</v>
      </c>
      <c r="D150" s="328">
        <f>F!D204</f>
        <v>0</v>
      </c>
      <c r="E150" s="1004">
        <v>4</v>
      </c>
      <c r="F150" s="892">
        <f>D150*E150</f>
        <v>0</v>
      </c>
      <c r="G150" s="978"/>
      <c r="H150" s="2213"/>
      <c r="I150" s="2612"/>
    </row>
    <row r="151" spans="1:9" s="71" customFormat="1" ht="42" customHeight="1" thickBot="1">
      <c r="A151" s="2926"/>
      <c r="B151" s="2912"/>
      <c r="C151" s="954" t="str">
        <f>F!C205</f>
        <v>no surface water flows out of the wetland except possibly during extreme events (&lt;once per 10 years). Or, water flows only into a wetland, ditch, or lake that lacks an outlet. SKIP to F47 (pH Measurement).</v>
      </c>
      <c r="D151" s="330">
        <f>F!D205</f>
        <v>0</v>
      </c>
      <c r="E151" s="1005">
        <v>5</v>
      </c>
      <c r="F151" s="977">
        <f>D151*E151</f>
        <v>0</v>
      </c>
      <c r="G151" s="978"/>
      <c r="H151" s="2213"/>
      <c r="I151" s="2613"/>
    </row>
    <row r="152" spans="1:9" s="71" customFormat="1" ht="30" customHeight="1" thickBot="1">
      <c r="A152" s="2955" t="str">
        <f>F!A206</f>
        <v>F43</v>
      </c>
      <c r="B152" s="2940" t="str">
        <f>F!B206</f>
        <v xml:space="preserve">Outflow Confinement </v>
      </c>
      <c r="C152" s="949" t="str">
        <f>F!C206</f>
        <v>During major runoff events, in the places where surface water exits the AA or connected waters nearby, the water:</v>
      </c>
      <c r="D152" s="965"/>
      <c r="E152" s="965"/>
      <c r="F152" s="966"/>
      <c r="G152" s="746">
        <f>IF((OutNone + OutNone1&gt;0),"",MAX(F153:F155)/MAX(E153:E155))</f>
        <v>0</v>
      </c>
      <c r="H152" s="2212" t="s">
        <v>2344</v>
      </c>
      <c r="I152" s="2611" t="s">
        <v>685</v>
      </c>
    </row>
    <row r="153" spans="1:9" s="71" customFormat="1" ht="42" customHeight="1">
      <c r="A153" s="2956"/>
      <c r="B153" s="2939"/>
      <c r="C153" s="950" t="str">
        <f>F!C207</f>
        <v>mostly passes through a pipe, culvert, narrowly breached dike, berm, beaver dam, or other partial obstruction (other than natural topography) that does not appear to drain the wetland artificially during most of the growing season.</v>
      </c>
      <c r="D153" s="327">
        <f>F!D207</f>
        <v>0</v>
      </c>
      <c r="E153" s="967">
        <v>2</v>
      </c>
      <c r="F153" s="1006">
        <f>D153*E153</f>
        <v>0</v>
      </c>
      <c r="G153" s="968"/>
      <c r="H153" s="2213"/>
      <c r="I153" s="2612"/>
    </row>
    <row r="154" spans="1:9" s="71" customFormat="1" ht="27" customHeight="1">
      <c r="A154" s="2956"/>
      <c r="B154" s="2939"/>
      <c r="C154" s="951" t="str">
        <f>F!C208</f>
        <v>leaves through natural exits (channels or diffuse outflow), not mainly through artificial or temporary features.</v>
      </c>
      <c r="D154" s="328">
        <f>F!D208</f>
        <v>0</v>
      </c>
      <c r="E154" s="967">
        <v>0</v>
      </c>
      <c r="F154" s="1006">
        <f>D154*E154</f>
        <v>0</v>
      </c>
      <c r="G154" s="969"/>
      <c r="H154" s="2213"/>
      <c r="I154" s="2612"/>
    </row>
    <row r="155" spans="1:9" s="71" customFormat="1" ht="27" customHeight="1" thickBot="1">
      <c r="A155" s="2957"/>
      <c r="B155" s="2941"/>
      <c r="C155" s="952" t="str">
        <f>F!C209</f>
        <v>exported more quickly than usual due to ditches or pipes within the AA (or connected to its outlet or within 10 m of the AA's edge) which drain the wetland artificially, or water is pumped out of the AA.</v>
      </c>
      <c r="D155" s="329">
        <f>F!D209</f>
        <v>0</v>
      </c>
      <c r="E155" s="984">
        <v>1</v>
      </c>
      <c r="F155" s="971">
        <f>D155*E155</f>
        <v>0</v>
      </c>
      <c r="G155" s="972"/>
      <c r="H155" s="2377"/>
      <c r="I155" s="2613"/>
    </row>
    <row r="156" spans="1:9" s="71" customFormat="1" ht="21" customHeight="1" thickBot="1">
      <c r="A156" s="2917" t="str">
        <f>F!A218</f>
        <v>F47</v>
      </c>
      <c r="B156" s="2917" t="str">
        <f>F!B218</f>
        <v>pH Measurement</v>
      </c>
      <c r="C156" s="1324" t="str">
        <f>F!C218</f>
        <v>The pH in most of the AA's surface water:</v>
      </c>
      <c r="D156" s="1323"/>
      <c r="E156" s="987"/>
      <c r="F156" s="966"/>
      <c r="G156" s="746" t="str">
        <f>IF((D159&gt;0&lt;5),1, IF((D158=1),1, ""))</f>
        <v/>
      </c>
      <c r="H156" s="2204" t="s">
        <v>2353</v>
      </c>
      <c r="I156" s="2611" t="s">
        <v>2100</v>
      </c>
    </row>
    <row r="157" spans="1:9" s="71" customFormat="1" ht="15" customHeight="1">
      <c r="A157" s="2918"/>
      <c r="B157" s="2918"/>
      <c r="C157" s="956" t="str">
        <f>F!C219</f>
        <v>was not measured because no surface water could be found during this visit. Enter "1".</v>
      </c>
      <c r="D157" s="328">
        <f>F!D219</f>
        <v>0</v>
      </c>
      <c r="E157" s="967"/>
      <c r="F157" s="892"/>
      <c r="G157" s="363"/>
      <c r="H157" s="2859"/>
      <c r="I157" s="2612"/>
    </row>
    <row r="158" spans="1:9" s="71" customFormat="1" ht="27" customHeight="1">
      <c r="A158" s="2918"/>
      <c r="B158" s="2918"/>
      <c r="C158" s="1318" t="str">
        <f>F!C220</f>
        <v xml:space="preserve">was not measured but surface water is present and is darkly tea-coloured.  Or if no surface water, then mosses and plants that indicate peatland (e.g., Labrador tea) are prevalent. Enter "1". </v>
      </c>
      <c r="D158" s="328">
        <f>F!D220</f>
        <v>0</v>
      </c>
      <c r="E158" s="967"/>
      <c r="F158" s="892"/>
      <c r="G158" s="386"/>
      <c r="H158" s="2859"/>
      <c r="I158" s="2612"/>
    </row>
    <row r="159" spans="1:9" s="71" customFormat="1" ht="15" customHeight="1" thickBot="1">
      <c r="A159" s="2919"/>
      <c r="B159" s="2919"/>
      <c r="C159" s="1319" t="str">
        <f>F!C221</f>
        <v>was measured, and is:  [enter the reading in the column to the right]:</v>
      </c>
      <c r="D159" s="329">
        <f>F!D221</f>
        <v>0</v>
      </c>
      <c r="E159" s="984"/>
      <c r="F159" s="971"/>
      <c r="G159" s="388"/>
      <c r="H159" s="2860"/>
      <c r="I159" s="2613"/>
    </row>
    <row r="160" spans="1:9" s="71" customFormat="1" ht="21" customHeight="1" thickBot="1">
      <c r="A160" s="2917" t="str">
        <f>F!A222</f>
        <v>F48</v>
      </c>
      <c r="B160" s="2917" t="str">
        <f>F!B222</f>
        <v>TDS and/or Conductivity</v>
      </c>
      <c r="C160" s="1324" t="str">
        <f>F!C222</f>
        <v>The Total Dissolved Solids (TDS) in most of the AA's surface water:</v>
      </c>
      <c r="D160" s="1323"/>
      <c r="E160" s="987"/>
      <c r="F160" s="966"/>
      <c r="G160" s="746">
        <f>IF((D164&lt;300),1, IF((D163&lt;250),1, ""))</f>
        <v>1</v>
      </c>
      <c r="H160" s="2204" t="s">
        <v>2352</v>
      </c>
      <c r="I160" s="2611" t="s">
        <v>2101</v>
      </c>
    </row>
    <row r="161" spans="1:9" s="71" customFormat="1" ht="15" customHeight="1">
      <c r="A161" s="2918"/>
      <c r="B161" s="2918"/>
      <c r="C161" s="956" t="str">
        <f>F!C223</f>
        <v xml:space="preserve">was not measured because no surface water could be found during this visit. Enter "1". </v>
      </c>
      <c r="D161" s="328">
        <f>F!D223</f>
        <v>0</v>
      </c>
      <c r="E161" s="967"/>
      <c r="F161" s="892"/>
      <c r="G161" s="363"/>
      <c r="H161" s="2859"/>
      <c r="I161" s="2612"/>
    </row>
    <row r="162" spans="1:9" s="71" customFormat="1" ht="27" customHeight="1">
      <c r="A162" s="2918"/>
      <c r="B162" s="2918"/>
      <c r="C162" s="1318" t="str">
        <f>F!C224</f>
        <v>was not measured, but plants that indicate saline conditions cover much of the vegetated AA. Enter "1" .</v>
      </c>
      <c r="D162" s="328">
        <f>F!D224</f>
        <v>0</v>
      </c>
      <c r="E162" s="967"/>
      <c r="F162" s="892"/>
      <c r="G162" s="386"/>
      <c r="H162" s="2859"/>
      <c r="I162" s="2612"/>
    </row>
    <row r="163" spans="1:9" s="71" customFormat="1" ht="15" customHeight="1">
      <c r="A163" s="2918"/>
      <c r="B163" s="2918"/>
      <c r="C163" s="1318" t="str">
        <f>F!C225</f>
        <v>TDS is: [enter the reading in ppm in the column to the right, if measured, or answer next row]:</v>
      </c>
      <c r="D163" s="328">
        <f>F!D225</f>
        <v>0</v>
      </c>
      <c r="E163" s="967"/>
      <c r="F163" s="892"/>
      <c r="G163" s="386"/>
      <c r="H163" s="2859"/>
      <c r="I163" s="2612"/>
    </row>
    <row r="164" spans="1:9" s="71" customFormat="1" ht="15" customHeight="1" thickBot="1">
      <c r="A164" s="2919"/>
      <c r="B164" s="2919"/>
      <c r="C164" s="1319" t="str">
        <f>F!C226</f>
        <v>Conductivity is  [enter the reading in µS/cm in the column to the right]:</v>
      </c>
      <c r="D164" s="329">
        <f>F!D226</f>
        <v>0</v>
      </c>
      <c r="E164" s="984"/>
      <c r="F164" s="971"/>
      <c r="G164" s="390"/>
      <c r="H164" s="2860"/>
      <c r="I164" s="2613"/>
    </row>
    <row r="165" spans="1:9" s="71" customFormat="1" ht="21" customHeight="1" thickBot="1">
      <c r="A165" s="2917" t="str">
        <f>F!A227</f>
        <v>F49</v>
      </c>
      <c r="B165" s="2917" t="str">
        <f>F!B227</f>
        <v>Beaver Probability</v>
      </c>
      <c r="C165" s="949" t="str">
        <f>F!C227</f>
        <v>Use of the AA by beaver during the past 5 years is (select most applicable ONE):</v>
      </c>
      <c r="D165" s="965"/>
      <c r="E165" s="965"/>
      <c r="F165" s="966"/>
      <c r="G165" s="746">
        <f>MAX(F166:F168)/MAX(E166:E168)</f>
        <v>0</v>
      </c>
      <c r="H165" s="2212" t="s">
        <v>678</v>
      </c>
      <c r="I165" s="2611" t="s">
        <v>694</v>
      </c>
    </row>
    <row r="166" spans="1:9" s="71" customFormat="1" ht="27" customHeight="1">
      <c r="A166" s="2918"/>
      <c r="B166" s="2918"/>
      <c r="C166" s="950" t="str">
        <f>F!C228</f>
        <v>evident from direct observation or presence of gnawed limbs, dams, tracks, dens, lodges, or extensive stands of water-killed trees (snags).</v>
      </c>
      <c r="D166" s="327">
        <f>F!D228</f>
        <v>0</v>
      </c>
      <c r="E166" s="891">
        <v>3</v>
      </c>
      <c r="F166" s="977">
        <f>D166*E166</f>
        <v>0</v>
      </c>
      <c r="G166" s="968"/>
      <c r="H166" s="2213"/>
      <c r="I166" s="2612"/>
    </row>
    <row r="167" spans="1:9" s="71" customFormat="1" ht="57" customHeight="1">
      <c r="A167" s="2918"/>
      <c r="B167" s="2918"/>
      <c r="C167" s="951" t="str">
        <f>F!C229</f>
        <v>likely based on known occurrence in the region and proximity to suitable habitat, which may include: (a) a persistent freshwater wetland, pond, or lake, or a perennial low or mid-gradient (&lt;10%) channel, and (b) a corridor or multiple stands of hardwood trees and shrubs in vegetated areas near surface water.</v>
      </c>
      <c r="D167" s="328">
        <f>F!D229</f>
        <v>0</v>
      </c>
      <c r="E167" s="891">
        <v>2</v>
      </c>
      <c r="F167" s="977">
        <f>D167*E167</f>
        <v>0</v>
      </c>
      <c r="G167" s="969"/>
      <c r="H167" s="2213"/>
      <c r="I167" s="2612"/>
    </row>
    <row r="168" spans="1:9" s="71" customFormat="1" ht="27" customHeight="1" thickBot="1">
      <c r="A168" s="2919"/>
      <c r="B168" s="2919"/>
      <c r="C168" s="952" t="str">
        <f>F!C230</f>
        <v xml:space="preserve">unlikely because site characteristics above are deficient, and/or this is a settled area or other area where beaver are routinely removed. </v>
      </c>
      <c r="D168" s="329">
        <f>F!D230</f>
        <v>0</v>
      </c>
      <c r="E168" s="970">
        <v>0</v>
      </c>
      <c r="F168" s="971">
        <f>D168*E168</f>
        <v>0</v>
      </c>
      <c r="G168" s="972"/>
      <c r="H168" s="2377"/>
      <c r="I168" s="2613"/>
    </row>
    <row r="169" spans="1:9" s="71" customFormat="1" ht="30" customHeight="1" thickBot="1">
      <c r="A169" s="2911" t="str">
        <f>F!A240</f>
        <v>F52</v>
      </c>
      <c r="B169" s="2911" t="str">
        <f>F!B240</f>
        <v>Vegetated Buffer as % of Perimeter</v>
      </c>
      <c r="C169" s="1328" t="str">
        <f>F!C240</f>
        <v>Along the wetland-upland edge and extending 30 m laterally upslope, the percentage of the upland that contains vegetation cover (except lawns, row crops, heavily grazed land, conifer plantations) is:</v>
      </c>
      <c r="D169" s="1309"/>
      <c r="E169" s="1009"/>
      <c r="F169" s="966"/>
      <c r="G169" s="746">
        <f>MAX(F170:F174)/MAX(E170:E174)</f>
        <v>0</v>
      </c>
      <c r="H169" s="2212" t="s">
        <v>1866</v>
      </c>
      <c r="I169" s="2936" t="s">
        <v>695</v>
      </c>
    </row>
    <row r="170" spans="1:9" s="71" customFormat="1" ht="15" customHeight="1">
      <c r="A170" s="2923"/>
      <c r="B170" s="2923"/>
      <c r="C170" s="950" t="str">
        <f>F!C241</f>
        <v xml:space="preserve">&lt;5% </v>
      </c>
      <c r="D170" s="1317">
        <f>F!D241</f>
        <v>0</v>
      </c>
      <c r="E170" s="1004">
        <v>0</v>
      </c>
      <c r="F170" s="892">
        <f>D170*E170</f>
        <v>0</v>
      </c>
      <c r="G170" s="968"/>
      <c r="H170" s="2213"/>
      <c r="I170" s="2937"/>
    </row>
    <row r="171" spans="1:9" s="71" customFormat="1" ht="15" customHeight="1">
      <c r="A171" s="2923"/>
      <c r="B171" s="2923"/>
      <c r="C171" s="951" t="str">
        <f>F!C242</f>
        <v>5 to 30%</v>
      </c>
      <c r="D171" s="328">
        <f>F!D242</f>
        <v>0</v>
      </c>
      <c r="E171" s="1004">
        <v>2</v>
      </c>
      <c r="F171" s="892">
        <f>D171*E171</f>
        <v>0</v>
      </c>
      <c r="G171" s="969"/>
      <c r="H171" s="2213"/>
      <c r="I171" s="2937"/>
    </row>
    <row r="172" spans="1:9" s="71" customFormat="1" ht="15" customHeight="1">
      <c r="A172" s="2923"/>
      <c r="B172" s="2923"/>
      <c r="C172" s="951" t="str">
        <f>F!C243</f>
        <v>30 to 60%</v>
      </c>
      <c r="D172" s="1317">
        <f>F!D243</f>
        <v>0</v>
      </c>
      <c r="E172" s="1004">
        <v>3</v>
      </c>
      <c r="F172" s="892">
        <f>D172*E172</f>
        <v>0</v>
      </c>
      <c r="G172" s="969"/>
      <c r="H172" s="2213"/>
      <c r="I172" s="2937"/>
    </row>
    <row r="173" spans="1:9" s="71" customFormat="1" ht="15" customHeight="1">
      <c r="A173" s="2923"/>
      <c r="B173" s="2923"/>
      <c r="C173" s="951" t="str">
        <f>F!C244</f>
        <v>60 to 90%</v>
      </c>
      <c r="D173" s="328">
        <f>F!D244</f>
        <v>0</v>
      </c>
      <c r="E173" s="1004">
        <v>4</v>
      </c>
      <c r="F173" s="892">
        <f>D173*E173</f>
        <v>0</v>
      </c>
      <c r="G173" s="969"/>
      <c r="H173" s="2213"/>
      <c r="I173" s="2937"/>
    </row>
    <row r="174" spans="1:9" s="71" customFormat="1" ht="15" customHeight="1" thickBot="1">
      <c r="A174" s="2924"/>
      <c r="B174" s="2924"/>
      <c r="C174" s="1146" t="str">
        <f>F!C245</f>
        <v>&gt;90%, or all the area within 30 m of the AA edge is other wetlands. SKIP to F55.</v>
      </c>
      <c r="D174" s="329">
        <f>F!D245</f>
        <v>0</v>
      </c>
      <c r="E174" s="1316">
        <v>6</v>
      </c>
      <c r="F174" s="971">
        <f>D174*E174</f>
        <v>0</v>
      </c>
      <c r="G174" s="972"/>
      <c r="H174" s="2377"/>
      <c r="I174" s="2938"/>
    </row>
    <row r="175" spans="1:9" s="71" customFormat="1" ht="30" customHeight="1" thickBot="1">
      <c r="A175" s="2911" t="str">
        <f>F!A249</f>
        <v>F54</v>
      </c>
      <c r="B175" s="2923" t="str">
        <f>F!B249</f>
        <v xml:space="preserve">Buffer Slope </v>
      </c>
      <c r="C175" s="1865" t="str">
        <f>F!C249</f>
        <v>The steepest and/or most disturbed part of the upland area that is within 30 m of the wetland and occupies &gt;10% of that upland area has a percent slope of:</v>
      </c>
      <c r="D175" s="965"/>
      <c r="E175" s="1010"/>
      <c r="F175" s="974"/>
      <c r="G175" s="975">
        <f>MAX(F176:F179)/MAX(E176:E179)</f>
        <v>0</v>
      </c>
      <c r="H175" s="2321" t="s">
        <v>1867</v>
      </c>
      <c r="I175" s="2611" t="s">
        <v>696</v>
      </c>
    </row>
    <row r="176" spans="1:9" s="71" customFormat="1" ht="15" customHeight="1">
      <c r="A176" s="2912"/>
      <c r="B176" s="2912"/>
      <c r="C176" s="960" t="str">
        <f>F!C250</f>
        <v>&lt;1% (flat -- almost no noticeable slope) or all the area within 30 m of the AA edge is other wetlands.</v>
      </c>
      <c r="D176" s="1313">
        <f>F!D250</f>
        <v>0</v>
      </c>
      <c r="E176" s="1004">
        <v>0</v>
      </c>
      <c r="F176" s="892">
        <f>D176*E176</f>
        <v>0</v>
      </c>
      <c r="G176" s="968"/>
      <c r="H176" s="2319"/>
      <c r="I176" s="2612"/>
    </row>
    <row r="177" spans="1:9" s="71" customFormat="1" ht="15" customHeight="1">
      <c r="A177" s="2912"/>
      <c r="B177" s="2912"/>
      <c r="C177" s="963" t="str">
        <f>F!C251</f>
        <v>2-5%</v>
      </c>
      <c r="D177" s="334">
        <f>F!D251</f>
        <v>0</v>
      </c>
      <c r="E177" s="1004">
        <v>1</v>
      </c>
      <c r="F177" s="892">
        <f>D177*E177</f>
        <v>0</v>
      </c>
      <c r="G177" s="969"/>
      <c r="H177" s="2319"/>
      <c r="I177" s="2612"/>
    </row>
    <row r="178" spans="1:9" s="71" customFormat="1" ht="15" customHeight="1">
      <c r="A178" s="2912"/>
      <c r="B178" s="2912"/>
      <c r="C178" s="963" t="str">
        <f>F!C252</f>
        <v>5-30%</v>
      </c>
      <c r="D178" s="334">
        <f>F!D252</f>
        <v>0</v>
      </c>
      <c r="E178" s="1004">
        <v>2</v>
      </c>
      <c r="F178" s="892">
        <f>D178*E178</f>
        <v>0</v>
      </c>
      <c r="G178" s="969"/>
      <c r="H178" s="2319"/>
      <c r="I178" s="2612"/>
    </row>
    <row r="179" spans="1:9" s="71" customFormat="1" ht="15" customHeight="1" thickBot="1">
      <c r="A179" s="2932"/>
      <c r="B179" s="2912"/>
      <c r="C179" s="1315" t="str">
        <f>F!C253</f>
        <v>&gt;30%</v>
      </c>
      <c r="D179" s="1314">
        <f>F!D253</f>
        <v>0</v>
      </c>
      <c r="E179" s="1005">
        <v>5</v>
      </c>
      <c r="F179" s="977">
        <f>D179*E179</f>
        <v>0</v>
      </c>
      <c r="G179" s="978"/>
      <c r="H179" s="2320"/>
      <c r="I179" s="2613"/>
    </row>
    <row r="180" spans="1:9" s="71" customFormat="1" ht="30" customHeight="1" thickBot="1">
      <c r="A180" s="2928" t="str">
        <f>F!A255</f>
        <v>F56</v>
      </c>
      <c r="B180" s="2928" t="str">
        <f>F!B255</f>
        <v>New Wetland</v>
      </c>
      <c r="C180" s="1103" t="str">
        <f>F!C255</f>
        <v>The AA is (or is within, or contains) a "new" wetland resulting from human actions (e.g., excavation, impoundment) or debris flows, or other factors affecting what once was upland (non-hydric) soil.</v>
      </c>
      <c r="D180" s="1309"/>
      <c r="E180" s="965"/>
      <c r="F180" s="966"/>
      <c r="G180" s="746">
        <f>IF((D186=1),"",MAX(F181:F185)/MAX(E181:E185))</f>
        <v>0</v>
      </c>
      <c r="H180" s="2212" t="s">
        <v>1638</v>
      </c>
      <c r="I180" s="2611" t="s">
        <v>388</v>
      </c>
    </row>
    <row r="181" spans="1:9" s="71" customFormat="1" ht="15" customHeight="1">
      <c r="A181" s="2929"/>
      <c r="B181" s="2929"/>
      <c r="C181" s="1322" t="str">
        <f>F!C256</f>
        <v>No.</v>
      </c>
      <c r="D181" s="1310">
        <f>F!D256</f>
        <v>0</v>
      </c>
      <c r="E181" s="1011">
        <v>0</v>
      </c>
      <c r="F181" s="892">
        <f>D181*E181</f>
        <v>0</v>
      </c>
      <c r="G181" s="968"/>
      <c r="H181" s="2213"/>
      <c r="I181" s="2612"/>
    </row>
    <row r="182" spans="1:9" s="71" customFormat="1" ht="15" customHeight="1">
      <c r="A182" s="2929"/>
      <c r="B182" s="2929"/>
      <c r="C182" s="1320" t="str">
        <f>F!C257</f>
        <v xml:space="preserve">yes, and created 20 - 100 years ago. </v>
      </c>
      <c r="D182" s="1311">
        <f>F!D257</f>
        <v>0</v>
      </c>
      <c r="E182" s="1011">
        <v>1</v>
      </c>
      <c r="F182" s="892">
        <f>D182*E182</f>
        <v>0</v>
      </c>
      <c r="G182" s="969"/>
      <c r="H182" s="2213"/>
      <c r="I182" s="2612"/>
    </row>
    <row r="183" spans="1:9" s="71" customFormat="1" ht="15" customHeight="1">
      <c r="A183" s="2929"/>
      <c r="B183" s="2929"/>
      <c r="C183" s="1320" t="str">
        <f>F!C258</f>
        <v>yes, and created 3-20 years ago.</v>
      </c>
      <c r="D183" s="1311">
        <f>F!D258</f>
        <v>0</v>
      </c>
      <c r="E183" s="1011">
        <v>2</v>
      </c>
      <c r="F183" s="892">
        <f>D183*E183</f>
        <v>0</v>
      </c>
      <c r="G183" s="969"/>
      <c r="H183" s="2213"/>
      <c r="I183" s="2612"/>
    </row>
    <row r="184" spans="1:9" s="71" customFormat="1" ht="15" customHeight="1">
      <c r="A184" s="2929"/>
      <c r="B184" s="2929"/>
      <c r="C184" s="1320" t="str">
        <f>F!C259</f>
        <v>yes, and created within last 3 years.</v>
      </c>
      <c r="D184" s="1311">
        <f>F!D259</f>
        <v>0</v>
      </c>
      <c r="E184" s="1011">
        <v>3</v>
      </c>
      <c r="F184" s="892">
        <f>D184*E184</f>
        <v>0</v>
      </c>
      <c r="G184" s="969"/>
      <c r="H184" s="2213"/>
      <c r="I184" s="2612"/>
    </row>
    <row r="185" spans="1:9" s="71" customFormat="1" ht="15" customHeight="1">
      <c r="A185" s="2929"/>
      <c r="B185" s="2929"/>
      <c r="C185" s="1320" t="str">
        <f>F!C260</f>
        <v>yes, but time of origin unknown.</v>
      </c>
      <c r="D185" s="1311">
        <f>F!D260</f>
        <v>0</v>
      </c>
      <c r="E185" s="1011">
        <v>1</v>
      </c>
      <c r="F185" s="892">
        <f>D185*E185</f>
        <v>0</v>
      </c>
      <c r="G185" s="969"/>
      <c r="H185" s="2213"/>
      <c r="I185" s="2612"/>
    </row>
    <row r="186" spans="1:9" s="71" customFormat="1" ht="15" customHeight="1" thickBot="1">
      <c r="A186" s="2930"/>
      <c r="B186" s="2930"/>
      <c r="C186" s="1321" t="str">
        <f>F!C261</f>
        <v>unknown if new within 20 years or not.</v>
      </c>
      <c r="D186" s="1312">
        <f>F!D261</f>
        <v>0</v>
      </c>
      <c r="E186" s="1012"/>
      <c r="F186" s="971"/>
      <c r="G186" s="972"/>
      <c r="H186" s="2377"/>
      <c r="I186" s="2613"/>
    </row>
    <row r="187" spans="1:9" s="75" customFormat="1" ht="21" customHeight="1" thickBot="1">
      <c r="A187" s="2467"/>
      <c r="B187" s="2467"/>
      <c r="C187" s="2467"/>
      <c r="D187" s="2467"/>
      <c r="E187" s="2467"/>
      <c r="F187" s="2467"/>
      <c r="G187" s="2467"/>
      <c r="H187" s="2467"/>
      <c r="I187" s="1870"/>
    </row>
    <row r="188" spans="1:9" s="75" customFormat="1" ht="30" customHeight="1">
      <c r="A188" s="2463"/>
      <c r="B188" s="2463"/>
      <c r="C188" s="2946" t="s">
        <v>1767</v>
      </c>
      <c r="D188" s="2947"/>
      <c r="E188" s="2947"/>
      <c r="F188" s="2948"/>
      <c r="G188" s="1873">
        <f>AVERAGE((OutDura_S * AVERAGE(SatPct_S, CUratio_S, IsoDry_S, Depth_S, Constric_S)),AVERAGE(BuffSlope_S,Erodib_S,SoilTex_S,Beaver_S))</f>
        <v>0</v>
      </c>
      <c r="H188" s="1874" t="s">
        <v>1600</v>
      </c>
      <c r="I188" s="1875" t="s">
        <v>392</v>
      </c>
    </row>
    <row r="189" spans="1:9" s="75" customFormat="1" ht="30" customHeight="1">
      <c r="A189" s="2463"/>
      <c r="B189" s="2463"/>
      <c r="C189" s="2933" t="s">
        <v>1768</v>
      </c>
      <c r="D189" s="2934"/>
      <c r="E189" s="2934"/>
      <c r="F189" s="2935"/>
      <c r="G189" s="1876">
        <f>AVERAGE((AVERAGE(VwidthAbs_S, WetSize_S, (AVERAGE(EmSens1_S, ShrubPattS, WoodySens2_S, Gcover_S, UpEdge_S)), RareSpp_S)))</f>
        <v>0</v>
      </c>
      <c r="H189" s="1877" t="s">
        <v>1597</v>
      </c>
      <c r="I189" s="1878" t="s">
        <v>393</v>
      </c>
    </row>
    <row r="190" spans="1:9" s="75" customFormat="1" ht="21" customHeight="1">
      <c r="A190" s="2463"/>
      <c r="B190" s="2463"/>
      <c r="C190" s="2933" t="s">
        <v>2247</v>
      </c>
      <c r="D190" s="2934"/>
      <c r="E190" s="2934"/>
      <c r="F190" s="2935"/>
      <c r="G190" s="1876">
        <f>AVERAGE(GDD_S,AVERAGE(WettypeS,NfixS,NewWet_S,AcidicS,ConductivS))</f>
        <v>0.125</v>
      </c>
      <c r="H190" s="1877" t="s">
        <v>2643</v>
      </c>
      <c r="I190" s="1878" t="s">
        <v>394</v>
      </c>
    </row>
    <row r="191" spans="1:9" s="1068" customFormat="1" ht="21" customHeight="1">
      <c r="A191" s="2463"/>
      <c r="B191" s="2463"/>
      <c r="C191" s="2933" t="s">
        <v>1769</v>
      </c>
      <c r="D191" s="2934"/>
      <c r="E191" s="2934"/>
      <c r="F191" s="2935"/>
      <c r="G191" s="1879">
        <f>AVERAGE(Elev_S,HerbDom2, NatVegProx_S,NatVegSize_S,NatVegCUpct_S, VegPctScape_S,PondProx_S,LakeProx_S)</f>
        <v>0</v>
      </c>
      <c r="H191" s="1877" t="s">
        <v>2644</v>
      </c>
      <c r="I191" s="1880" t="s">
        <v>395</v>
      </c>
    </row>
    <row r="192" spans="1:9" s="75" customFormat="1" ht="21" customHeight="1" thickBot="1">
      <c r="A192" s="2463"/>
      <c r="B192" s="2463"/>
      <c r="C192" s="2943" t="s">
        <v>1770</v>
      </c>
      <c r="D192" s="2944"/>
      <c r="E192" s="2944"/>
      <c r="F192" s="2945"/>
      <c r="G192" s="1881" t="str">
        <f>IF((SUM(F!D15:D18)=0),"",AVERAGE(TreeCovS,TreeDBHs))</f>
        <v/>
      </c>
      <c r="H192" s="1882" t="s">
        <v>2645</v>
      </c>
      <c r="I192" s="1883" t="s">
        <v>396</v>
      </c>
    </row>
    <row r="193" spans="1:12" s="75" customFormat="1" ht="21" customHeight="1" thickBot="1">
      <c r="A193" s="2463"/>
      <c r="B193" s="2463"/>
      <c r="C193" s="2931"/>
      <c r="D193" s="2931"/>
      <c r="E193" s="2931"/>
      <c r="F193" s="2931"/>
      <c r="G193" s="2931"/>
      <c r="H193" s="2463"/>
      <c r="I193" s="1871"/>
    </row>
    <row r="194" spans="1:12" s="9" customFormat="1" ht="30" customHeight="1" thickBot="1">
      <c r="A194" s="2463"/>
      <c r="B194" s="2463"/>
      <c r="C194" s="2963" t="s">
        <v>124</v>
      </c>
      <c r="D194" s="2964"/>
      <c r="E194" s="2965"/>
      <c r="F194" s="1872"/>
      <c r="G194" s="1701">
        <f>10*AVERAGE(AbioSens,BioSens,Fertility,Colonizer,GrowthRate)</f>
        <v>0.3125</v>
      </c>
      <c r="H194" s="2363" t="s">
        <v>2651</v>
      </c>
      <c r="I194" s="2364"/>
    </row>
    <row r="195" spans="1:12" s="9" customFormat="1" ht="21" customHeight="1" thickBot="1">
      <c r="A195" s="8"/>
      <c r="B195" s="8"/>
      <c r="C195" s="8"/>
      <c r="D195" s="8"/>
      <c r="E195" s="8"/>
      <c r="F195" s="8"/>
      <c r="G195" s="8"/>
      <c r="H195" s="24"/>
      <c r="L195" s="1847"/>
    </row>
    <row r="196" spans="1:12" s="9" customFormat="1" ht="21" customHeight="1" thickBot="1">
      <c r="A196" s="8"/>
      <c r="B196" s="8"/>
      <c r="C196" s="8"/>
      <c r="D196" s="8"/>
      <c r="E196" s="8"/>
      <c r="F196" s="8"/>
      <c r="G196" s="8"/>
      <c r="H196" s="2609" t="s">
        <v>806</v>
      </c>
      <c r="I196" s="2610"/>
    </row>
    <row r="197" spans="1:12" s="9" customFormat="1" ht="27" customHeight="1">
      <c r="A197" s="8"/>
      <c r="B197" s="8"/>
      <c r="C197" s="8"/>
      <c r="D197" s="8"/>
      <c r="E197" s="8"/>
      <c r="F197" s="8"/>
      <c r="G197" s="8"/>
      <c r="H197" s="2970" t="s">
        <v>1076</v>
      </c>
      <c r="I197" s="2971"/>
    </row>
    <row r="198" spans="1:12" s="9" customFormat="1" ht="27" customHeight="1">
      <c r="A198" s="8"/>
      <c r="B198" s="8"/>
      <c r="C198" s="8"/>
      <c r="D198" s="8"/>
      <c r="E198" s="8"/>
      <c r="F198" s="8"/>
      <c r="G198" s="8"/>
      <c r="H198" s="2968" t="s">
        <v>1058</v>
      </c>
      <c r="I198" s="2969"/>
    </row>
    <row r="199" spans="1:12" s="9" customFormat="1" ht="27" customHeight="1">
      <c r="A199" s="8"/>
      <c r="B199" s="8"/>
      <c r="C199" s="8"/>
      <c r="D199" s="8"/>
      <c r="E199" s="8"/>
      <c r="F199" s="8"/>
      <c r="G199" s="8"/>
      <c r="H199" s="2968" t="s">
        <v>1077</v>
      </c>
      <c r="I199" s="2969"/>
    </row>
    <row r="200" spans="1:12" s="9" customFormat="1" ht="27" customHeight="1">
      <c r="A200" s="8"/>
      <c r="B200" s="8"/>
      <c r="C200" s="8"/>
      <c r="D200" s="8"/>
      <c r="E200" s="8"/>
      <c r="F200" s="8"/>
      <c r="G200" s="8"/>
      <c r="H200" s="2968" t="s">
        <v>1078</v>
      </c>
      <c r="I200" s="2969"/>
    </row>
    <row r="201" spans="1:12" s="9" customFormat="1" ht="27" customHeight="1">
      <c r="A201" s="8"/>
      <c r="B201" s="8"/>
      <c r="C201" s="8"/>
      <c r="D201" s="8"/>
      <c r="E201" s="8"/>
      <c r="F201" s="8"/>
      <c r="G201" s="8"/>
      <c r="H201" s="2966" t="s">
        <v>932</v>
      </c>
      <c r="I201" s="2967"/>
    </row>
    <row r="202" spans="1:12" s="9" customFormat="1" ht="27" customHeight="1">
      <c r="A202" s="8"/>
      <c r="B202" s="8"/>
      <c r="C202" s="8"/>
      <c r="D202" s="8"/>
      <c r="E202" s="8"/>
      <c r="F202" s="8"/>
      <c r="G202" s="8"/>
      <c r="H202" s="2972" t="s">
        <v>1672</v>
      </c>
      <c r="I202" s="2973"/>
    </row>
    <row r="203" spans="1:12" s="9" customFormat="1" ht="27" customHeight="1">
      <c r="A203" s="8"/>
      <c r="B203" s="8"/>
      <c r="C203" s="8"/>
      <c r="D203" s="8"/>
      <c r="E203" s="8"/>
      <c r="F203" s="8"/>
      <c r="G203" s="8"/>
      <c r="H203" s="2968" t="s">
        <v>1061</v>
      </c>
      <c r="I203" s="2969"/>
    </row>
    <row r="204" spans="1:12" s="9" customFormat="1" ht="27" customHeight="1">
      <c r="A204" s="8"/>
      <c r="B204" s="8"/>
      <c r="C204" s="8"/>
      <c r="D204" s="8"/>
      <c r="E204" s="8"/>
      <c r="F204" s="8"/>
      <c r="G204" s="8"/>
      <c r="H204" s="2968" t="s">
        <v>817</v>
      </c>
      <c r="I204" s="2969"/>
    </row>
    <row r="205" spans="1:12" s="9" customFormat="1" ht="27" customHeight="1">
      <c r="A205" s="8"/>
      <c r="B205" s="8"/>
      <c r="C205" s="8"/>
      <c r="D205" s="8"/>
      <c r="E205" s="8"/>
      <c r="F205" s="8"/>
      <c r="G205" s="8"/>
      <c r="H205" s="2968" t="s">
        <v>1079</v>
      </c>
      <c r="I205" s="2969"/>
    </row>
    <row r="206" spans="1:12" s="9" customFormat="1" ht="21" customHeight="1">
      <c r="A206" s="8"/>
      <c r="B206" s="8"/>
      <c r="C206" s="8"/>
      <c r="D206" s="8"/>
      <c r="E206" s="8"/>
      <c r="F206" s="8"/>
      <c r="G206" s="8"/>
      <c r="H206" s="2968" t="s">
        <v>1080</v>
      </c>
      <c r="I206" s="2969"/>
    </row>
    <row r="207" spans="1:12" s="9" customFormat="1" ht="27" customHeight="1">
      <c r="A207" s="8"/>
      <c r="B207" s="8"/>
      <c r="C207" s="8"/>
      <c r="D207" s="8"/>
      <c r="E207" s="8"/>
      <c r="F207" s="8"/>
      <c r="G207" s="8"/>
      <c r="H207" s="2966" t="s">
        <v>1417</v>
      </c>
      <c r="I207" s="2967"/>
    </row>
    <row r="208" spans="1:12" s="9" customFormat="1" ht="27" customHeight="1">
      <c r="A208" s="8"/>
      <c r="B208" s="8"/>
      <c r="C208" s="8"/>
      <c r="D208" s="8"/>
      <c r="E208" s="8"/>
      <c r="F208" s="8"/>
      <c r="G208" s="8"/>
      <c r="H208" s="2966" t="s">
        <v>1065</v>
      </c>
      <c r="I208" s="2967"/>
    </row>
    <row r="209" spans="1:9" s="9" customFormat="1" ht="27" customHeight="1">
      <c r="A209" s="8"/>
      <c r="B209" s="8"/>
      <c r="C209" s="8"/>
      <c r="D209" s="8"/>
      <c r="E209" s="8"/>
      <c r="F209" s="8"/>
      <c r="G209" s="8"/>
      <c r="H209" s="2968" t="s">
        <v>1081</v>
      </c>
      <c r="I209" s="2969"/>
    </row>
    <row r="210" spans="1:9" s="9" customFormat="1" ht="27" customHeight="1">
      <c r="A210" s="8"/>
      <c r="B210" s="8"/>
      <c r="C210" s="8"/>
      <c r="D210" s="8"/>
      <c r="E210" s="8"/>
      <c r="F210" s="8"/>
      <c r="G210" s="8"/>
      <c r="H210" s="2968" t="s">
        <v>1082</v>
      </c>
      <c r="I210" s="2969"/>
    </row>
    <row r="211" spans="1:9" s="9" customFormat="1" ht="27" customHeight="1">
      <c r="A211" s="8"/>
      <c r="B211" s="8"/>
      <c r="C211" s="8"/>
      <c r="D211" s="8"/>
      <c r="E211" s="8"/>
      <c r="F211" s="8"/>
      <c r="G211" s="8"/>
      <c r="H211" s="2968" t="s">
        <v>1083</v>
      </c>
      <c r="I211" s="2969"/>
    </row>
    <row r="212" spans="1:9" s="9" customFormat="1" ht="27" customHeight="1">
      <c r="A212" s="8"/>
      <c r="B212" s="8"/>
      <c r="C212" s="8"/>
      <c r="D212" s="8"/>
      <c r="E212" s="8"/>
      <c r="F212" s="8"/>
      <c r="G212" s="8"/>
      <c r="H212" s="2968" t="s">
        <v>1172</v>
      </c>
      <c r="I212" s="2969"/>
    </row>
    <row r="213" spans="1:9" s="9" customFormat="1" ht="42" customHeight="1">
      <c r="A213" s="8"/>
      <c r="B213" s="8"/>
      <c r="C213" s="8"/>
      <c r="D213" s="8"/>
      <c r="E213" s="8"/>
      <c r="F213" s="8"/>
      <c r="G213" s="8"/>
      <c r="H213" s="2968" t="s">
        <v>1084</v>
      </c>
      <c r="I213" s="2969"/>
    </row>
    <row r="214" spans="1:9" s="9" customFormat="1" ht="27" customHeight="1">
      <c r="A214" s="8"/>
      <c r="B214" s="8"/>
      <c r="C214" s="8"/>
      <c r="D214" s="8"/>
      <c r="E214" s="8"/>
      <c r="F214" s="8"/>
      <c r="G214" s="8"/>
      <c r="H214" s="2968" t="s">
        <v>1085</v>
      </c>
      <c r="I214" s="2969"/>
    </row>
    <row r="215" spans="1:9" s="9" customFormat="1" ht="21" customHeight="1">
      <c r="A215" s="8"/>
      <c r="B215" s="8"/>
      <c r="C215" s="8"/>
      <c r="D215" s="8"/>
      <c r="E215" s="8"/>
      <c r="F215" s="8"/>
      <c r="G215" s="8"/>
      <c r="H215" s="2968" t="s">
        <v>1086</v>
      </c>
      <c r="I215" s="2969"/>
    </row>
    <row r="216" spans="1:9" s="9" customFormat="1" ht="27" customHeight="1">
      <c r="A216" s="8"/>
      <c r="B216" s="8"/>
      <c r="C216" s="8"/>
      <c r="D216" s="8"/>
      <c r="E216" s="8"/>
      <c r="F216" s="8"/>
      <c r="G216" s="8"/>
      <c r="H216" s="2968" t="s">
        <v>1087</v>
      </c>
      <c r="I216" s="2969"/>
    </row>
    <row r="217" spans="1:9" s="9" customFormat="1" ht="42" customHeight="1">
      <c r="A217" s="24"/>
      <c r="B217" s="8"/>
      <c r="C217" s="13"/>
      <c r="D217" s="1015"/>
      <c r="E217" s="1015"/>
      <c r="F217" s="1015"/>
      <c r="G217" s="1016"/>
      <c r="H217" s="2968" t="s">
        <v>1088</v>
      </c>
      <c r="I217" s="2969"/>
    </row>
    <row r="218" spans="1:9" s="9" customFormat="1" ht="27" customHeight="1">
      <c r="A218" s="24"/>
      <c r="B218" s="8"/>
      <c r="C218" s="13"/>
      <c r="D218" s="1015"/>
      <c r="E218" s="1015"/>
      <c r="F218" s="1015"/>
      <c r="G218" s="1016"/>
      <c r="H218" s="2972" t="s">
        <v>1673</v>
      </c>
      <c r="I218" s="2973"/>
    </row>
    <row r="219" spans="1:9" s="9" customFormat="1" ht="27" customHeight="1" thickBot="1">
      <c r="A219" s="24"/>
      <c r="B219" s="8"/>
      <c r="C219" s="13"/>
      <c r="D219" s="1015"/>
      <c r="E219" s="1015"/>
      <c r="F219" s="1015"/>
      <c r="G219" s="1016"/>
      <c r="H219" s="2974" t="s">
        <v>1702</v>
      </c>
      <c r="I219" s="2975"/>
    </row>
    <row r="220" spans="1:9" s="9" customFormat="1">
      <c r="A220" s="1859"/>
      <c r="B220" s="8"/>
      <c r="C220" s="13"/>
      <c r="D220" s="1015"/>
      <c r="E220" s="1015"/>
      <c r="F220" s="1015"/>
      <c r="G220" s="1016"/>
      <c r="H220" s="23"/>
    </row>
    <row r="221" spans="1:9" s="9" customFormat="1">
      <c r="A221" s="1859"/>
      <c r="B221" s="8"/>
      <c r="C221" s="13"/>
      <c r="D221" s="1015"/>
      <c r="E221" s="1015"/>
      <c r="F221" s="1015"/>
      <c r="G221" s="1016"/>
      <c r="H221" s="23"/>
    </row>
    <row r="222" spans="1:9" s="9" customFormat="1">
      <c r="A222" s="24"/>
      <c r="B222" s="8"/>
      <c r="C222" s="13"/>
      <c r="D222" s="1015"/>
      <c r="E222" s="1015"/>
      <c r="F222" s="1015"/>
      <c r="G222" s="1016"/>
      <c r="H222" s="24"/>
    </row>
    <row r="223" spans="1:9" s="9" customFormat="1">
      <c r="A223" s="24"/>
      <c r="B223" s="8"/>
      <c r="C223" s="13"/>
      <c r="D223" s="1015"/>
      <c r="E223" s="1015"/>
      <c r="F223" s="1015"/>
      <c r="G223" s="1016"/>
      <c r="H223" s="24"/>
    </row>
    <row r="224" spans="1:9" s="9" customFormat="1">
      <c r="A224" s="24"/>
      <c r="B224" s="8"/>
      <c r="C224" s="13"/>
      <c r="D224" s="1015"/>
      <c r="E224" s="1015"/>
      <c r="F224" s="1015"/>
      <c r="G224" s="1016"/>
      <c r="H224" s="24"/>
    </row>
    <row r="225" spans="1:8" s="9" customFormat="1">
      <c r="A225" s="24"/>
      <c r="B225" s="8"/>
      <c r="C225" s="13"/>
      <c r="D225" s="1015"/>
      <c r="E225" s="1015"/>
      <c r="F225" s="1015"/>
      <c r="G225" s="1016"/>
      <c r="H225" s="24"/>
    </row>
    <row r="226" spans="1:8" s="9" customFormat="1">
      <c r="A226" s="24"/>
      <c r="B226" s="8"/>
      <c r="C226" s="13"/>
      <c r="D226" s="1015"/>
      <c r="E226" s="1015"/>
      <c r="F226" s="1015"/>
      <c r="G226" s="1016"/>
      <c r="H226" s="24"/>
    </row>
    <row r="227" spans="1:8" s="9" customFormat="1">
      <c r="A227" s="24"/>
      <c r="B227" s="8"/>
      <c r="C227" s="13"/>
      <c r="D227" s="1015"/>
      <c r="E227" s="1015"/>
      <c r="F227" s="1015"/>
      <c r="G227" s="1016"/>
      <c r="H227" s="24"/>
    </row>
    <row r="228" spans="1:8" s="9" customFormat="1">
      <c r="A228" s="24"/>
      <c r="B228" s="8"/>
      <c r="C228" s="13"/>
      <c r="D228" s="1015"/>
      <c r="E228" s="1015"/>
      <c r="F228" s="1015"/>
      <c r="G228" s="1016"/>
      <c r="H228" s="24"/>
    </row>
    <row r="229" spans="1:8" s="9" customFormat="1">
      <c r="A229" s="24"/>
      <c r="B229" s="8"/>
      <c r="C229" s="13"/>
      <c r="D229" s="1015"/>
      <c r="E229" s="1015"/>
      <c r="F229" s="1015"/>
      <c r="G229" s="1016"/>
      <c r="H229" s="24"/>
    </row>
    <row r="230" spans="1:8" s="9" customFormat="1">
      <c r="A230" s="24"/>
      <c r="B230" s="8"/>
      <c r="C230" s="13"/>
      <c r="D230" s="1015"/>
      <c r="E230" s="1015"/>
      <c r="F230" s="1015"/>
      <c r="G230" s="1016"/>
      <c r="H230" s="24"/>
    </row>
    <row r="231" spans="1:8" s="9" customFormat="1">
      <c r="A231" s="24"/>
      <c r="B231" s="8"/>
      <c r="C231" s="13"/>
      <c r="D231" s="1015"/>
      <c r="E231" s="1015"/>
      <c r="F231" s="1015"/>
      <c r="G231" s="1016"/>
      <c r="H231" s="24"/>
    </row>
    <row r="232" spans="1:8" s="9" customFormat="1">
      <c r="A232" s="24"/>
      <c r="B232" s="8"/>
      <c r="C232" s="13"/>
      <c r="D232" s="1015"/>
      <c r="E232" s="1015"/>
      <c r="F232" s="1015"/>
      <c r="G232" s="1016"/>
      <c r="H232" s="24"/>
    </row>
    <row r="233" spans="1:8" s="9" customFormat="1">
      <c r="A233" s="24"/>
      <c r="B233" s="8"/>
      <c r="C233" s="13"/>
      <c r="D233" s="1015"/>
      <c r="E233" s="1015"/>
      <c r="F233" s="1015"/>
      <c r="G233" s="1016"/>
      <c r="H233" s="24"/>
    </row>
    <row r="234" spans="1:8" s="9" customFormat="1">
      <c r="A234" s="24"/>
      <c r="B234" s="8"/>
      <c r="C234" s="13"/>
      <c r="D234" s="1015"/>
      <c r="E234" s="1015"/>
      <c r="F234" s="1015"/>
      <c r="G234" s="1016"/>
      <c r="H234" s="24"/>
    </row>
    <row r="235" spans="1:8" s="9" customFormat="1">
      <c r="A235" s="24"/>
      <c r="B235" s="8"/>
      <c r="C235" s="13"/>
      <c r="D235" s="1015"/>
      <c r="E235" s="1015"/>
      <c r="F235" s="1015"/>
      <c r="G235" s="1016"/>
      <c r="H235" s="24"/>
    </row>
    <row r="236" spans="1:8" s="9" customFormat="1">
      <c r="A236" s="24"/>
      <c r="B236" s="8"/>
      <c r="C236" s="13"/>
      <c r="D236" s="1015"/>
      <c r="E236" s="1015"/>
      <c r="F236" s="1015"/>
      <c r="G236" s="1016"/>
      <c r="H236" s="24"/>
    </row>
    <row r="237" spans="1:8" s="9" customFormat="1">
      <c r="A237" s="24"/>
      <c r="B237" s="8"/>
      <c r="C237" s="13"/>
      <c r="D237" s="1015"/>
      <c r="E237" s="1015"/>
      <c r="F237" s="1015"/>
      <c r="G237" s="1016"/>
      <c r="H237" s="24"/>
    </row>
    <row r="238" spans="1:8" s="9" customFormat="1">
      <c r="A238" s="24"/>
      <c r="B238" s="8"/>
      <c r="C238" s="13"/>
      <c r="D238" s="1015"/>
      <c r="E238" s="1015"/>
      <c r="F238" s="1015"/>
      <c r="G238" s="1016"/>
      <c r="H238" s="24"/>
    </row>
    <row r="239" spans="1:8" s="9" customFormat="1">
      <c r="A239" s="24"/>
      <c r="B239" s="8"/>
      <c r="C239" s="13"/>
      <c r="D239" s="1015"/>
      <c r="E239" s="1015"/>
      <c r="F239" s="1015"/>
      <c r="G239" s="1016"/>
      <c r="H239" s="24"/>
    </row>
    <row r="240" spans="1:8" s="9" customFormat="1">
      <c r="A240" s="24"/>
      <c r="B240" s="8"/>
      <c r="C240" s="13"/>
      <c r="D240" s="1015"/>
      <c r="E240" s="1015"/>
      <c r="F240" s="1015"/>
      <c r="G240" s="1016"/>
      <c r="H240" s="24"/>
    </row>
    <row r="241" spans="1:8" s="9" customFormat="1">
      <c r="A241" s="24"/>
      <c r="B241" s="8"/>
      <c r="C241" s="13"/>
      <c r="D241" s="1015"/>
      <c r="E241" s="1015"/>
      <c r="F241" s="1015"/>
      <c r="G241" s="1016"/>
      <c r="H241" s="24"/>
    </row>
    <row r="242" spans="1:8" s="9" customFormat="1">
      <c r="A242" s="24"/>
      <c r="B242" s="8"/>
      <c r="C242" s="13"/>
      <c r="D242" s="1015"/>
      <c r="E242" s="1015"/>
      <c r="F242" s="1015"/>
      <c r="G242" s="1016"/>
      <c r="H242" s="24"/>
    </row>
    <row r="243" spans="1:8" s="9" customFormat="1">
      <c r="A243" s="24"/>
      <c r="B243" s="8"/>
      <c r="C243" s="13"/>
      <c r="D243" s="1015"/>
      <c r="E243" s="1015"/>
      <c r="F243" s="1015"/>
      <c r="G243" s="1016"/>
      <c r="H243" s="24"/>
    </row>
    <row r="244" spans="1:8" s="9" customFormat="1">
      <c r="A244" s="24"/>
      <c r="B244" s="8"/>
      <c r="C244" s="13"/>
      <c r="D244" s="1015"/>
      <c r="E244" s="1015"/>
      <c r="F244" s="1015"/>
      <c r="G244" s="1016"/>
      <c r="H244" s="24"/>
    </row>
    <row r="245" spans="1:8" s="9" customFormat="1">
      <c r="A245" s="24"/>
      <c r="B245" s="8"/>
      <c r="C245" s="13"/>
      <c r="D245" s="1015"/>
      <c r="E245" s="1015"/>
      <c r="F245" s="1015"/>
      <c r="G245" s="1016"/>
      <c r="H245" s="24"/>
    </row>
    <row r="246" spans="1:8" s="9" customFormat="1">
      <c r="A246" s="24"/>
      <c r="B246" s="8"/>
      <c r="C246" s="13"/>
      <c r="D246" s="1015"/>
      <c r="E246" s="1015"/>
      <c r="F246" s="1015"/>
      <c r="G246" s="1016"/>
      <c r="H246" s="24"/>
    </row>
    <row r="247" spans="1:8" s="9" customFormat="1">
      <c r="A247" s="24"/>
      <c r="B247" s="8"/>
      <c r="C247" s="13"/>
      <c r="D247" s="1015"/>
      <c r="E247" s="1015"/>
      <c r="F247" s="1015"/>
      <c r="G247" s="1016"/>
      <c r="H247" s="24"/>
    </row>
    <row r="248" spans="1:8" s="9" customFormat="1">
      <c r="A248" s="24"/>
      <c r="B248" s="8"/>
      <c r="C248" s="13"/>
      <c r="D248" s="1015"/>
      <c r="E248" s="1015"/>
      <c r="F248" s="1015"/>
      <c r="G248" s="1016"/>
      <c r="H248" s="24"/>
    </row>
    <row r="249" spans="1:8" s="9" customFormat="1">
      <c r="A249" s="24"/>
      <c r="B249" s="8"/>
      <c r="C249" s="13"/>
      <c r="D249" s="1015"/>
      <c r="E249" s="1015"/>
      <c r="F249" s="1015"/>
      <c r="G249" s="1016"/>
      <c r="H249" s="24"/>
    </row>
    <row r="250" spans="1:8" s="9" customFormat="1">
      <c r="A250" s="24"/>
      <c r="B250" s="8"/>
      <c r="C250" s="13"/>
      <c r="D250" s="1015"/>
      <c r="E250" s="1015"/>
      <c r="F250" s="1015"/>
      <c r="G250" s="1016"/>
      <c r="H250" s="24"/>
    </row>
    <row r="251" spans="1:8" s="9" customFormat="1">
      <c r="A251" s="24"/>
      <c r="B251" s="8"/>
      <c r="C251" s="13"/>
      <c r="D251" s="1015"/>
      <c r="E251" s="1015"/>
      <c r="F251" s="1015"/>
      <c r="G251" s="1016"/>
      <c r="H251" s="24"/>
    </row>
    <row r="252" spans="1:8" s="9" customFormat="1">
      <c r="A252" s="24"/>
      <c r="B252" s="8"/>
      <c r="C252" s="13"/>
      <c r="D252" s="1015"/>
      <c r="E252" s="1015"/>
      <c r="F252" s="1015"/>
      <c r="G252" s="1016"/>
      <c r="H252" s="24"/>
    </row>
    <row r="253" spans="1:8" s="9" customFormat="1">
      <c r="A253" s="24"/>
      <c r="B253" s="8"/>
      <c r="C253" s="13"/>
      <c r="D253" s="1015"/>
      <c r="E253" s="1015"/>
      <c r="F253" s="1015"/>
      <c r="G253" s="1016"/>
      <c r="H253" s="24"/>
    </row>
    <row r="254" spans="1:8" s="9" customFormat="1">
      <c r="A254" s="24"/>
      <c r="B254" s="8"/>
      <c r="C254" s="13"/>
      <c r="D254" s="1015"/>
      <c r="E254" s="1015"/>
      <c r="F254" s="1015"/>
      <c r="G254" s="1016"/>
      <c r="H254" s="24"/>
    </row>
    <row r="255" spans="1:8" s="9" customFormat="1">
      <c r="A255" s="24"/>
      <c r="B255" s="8"/>
      <c r="C255" s="13"/>
      <c r="D255" s="1015"/>
      <c r="E255" s="1015"/>
      <c r="F255" s="1015"/>
      <c r="G255" s="1016"/>
      <c r="H255" s="24"/>
    </row>
    <row r="256" spans="1:8" s="9" customFormat="1">
      <c r="A256" s="24"/>
      <c r="B256" s="8"/>
      <c r="C256" s="13"/>
      <c r="D256" s="1015"/>
      <c r="E256" s="1015"/>
      <c r="F256" s="1015"/>
      <c r="G256" s="1016"/>
      <c r="H256" s="24"/>
    </row>
    <row r="257" spans="1:8" s="9" customFormat="1">
      <c r="A257" s="24"/>
      <c r="B257" s="8"/>
      <c r="C257" s="13"/>
      <c r="D257" s="1015"/>
      <c r="E257" s="1015"/>
      <c r="F257" s="1015"/>
      <c r="G257" s="1016"/>
      <c r="H257" s="24"/>
    </row>
    <row r="258" spans="1:8" s="9" customFormat="1">
      <c r="A258" s="24"/>
      <c r="B258" s="8"/>
      <c r="C258" s="13"/>
      <c r="D258" s="1015"/>
      <c r="E258" s="1015"/>
      <c r="F258" s="1015"/>
      <c r="G258" s="1016"/>
      <c r="H258" s="24"/>
    </row>
    <row r="259" spans="1:8" s="9" customFormat="1">
      <c r="A259" s="24"/>
      <c r="B259" s="8"/>
      <c r="C259" s="13"/>
      <c r="D259" s="1015"/>
      <c r="E259" s="1015"/>
      <c r="F259" s="1015"/>
      <c r="G259" s="1016"/>
      <c r="H259" s="24"/>
    </row>
    <row r="260" spans="1:8" s="9" customFormat="1">
      <c r="A260" s="24"/>
      <c r="B260" s="8"/>
      <c r="C260" s="13"/>
      <c r="D260" s="1015"/>
      <c r="E260" s="1015"/>
      <c r="F260" s="1015"/>
      <c r="G260" s="1016"/>
      <c r="H260" s="24"/>
    </row>
    <row r="261" spans="1:8" s="9" customFormat="1">
      <c r="A261" s="24"/>
      <c r="B261" s="8"/>
      <c r="C261" s="13"/>
      <c r="D261" s="1015"/>
      <c r="E261" s="1015"/>
      <c r="F261" s="1015"/>
      <c r="G261" s="1016"/>
      <c r="H261" s="24"/>
    </row>
    <row r="262" spans="1:8" s="9" customFormat="1">
      <c r="A262" s="24"/>
      <c r="B262" s="8"/>
      <c r="C262" s="13"/>
      <c r="D262" s="1015"/>
      <c r="E262" s="1015"/>
      <c r="F262" s="1015"/>
      <c r="G262" s="1016"/>
      <c r="H262" s="24"/>
    </row>
    <row r="263" spans="1:8" s="9" customFormat="1">
      <c r="A263" s="24"/>
      <c r="B263" s="8"/>
      <c r="C263" s="13"/>
      <c r="D263" s="1015"/>
      <c r="E263" s="1015"/>
      <c r="F263" s="1015"/>
      <c r="G263" s="1016"/>
      <c r="H263" s="24"/>
    </row>
    <row r="264" spans="1:8" s="9" customFormat="1">
      <c r="A264" s="24"/>
      <c r="B264" s="8"/>
      <c r="C264" s="13"/>
      <c r="D264" s="1015"/>
      <c r="E264" s="1015"/>
      <c r="F264" s="1015"/>
      <c r="G264" s="1016"/>
      <c r="H264" s="24"/>
    </row>
    <row r="265" spans="1:8" s="9" customFormat="1">
      <c r="A265" s="24"/>
      <c r="B265" s="8"/>
      <c r="C265" s="13"/>
      <c r="D265" s="1015"/>
      <c r="E265" s="1015"/>
      <c r="F265" s="1015"/>
      <c r="G265" s="1016"/>
      <c r="H265" s="24"/>
    </row>
    <row r="266" spans="1:8" s="9" customFormat="1">
      <c r="A266" s="24"/>
      <c r="B266" s="8"/>
      <c r="C266" s="13"/>
      <c r="D266" s="1015"/>
      <c r="E266" s="1015"/>
      <c r="F266" s="1015"/>
      <c r="G266" s="1016"/>
      <c r="H266" s="24"/>
    </row>
    <row r="267" spans="1:8" s="9" customFormat="1">
      <c r="A267" s="24"/>
      <c r="B267" s="8"/>
      <c r="C267" s="13"/>
      <c r="D267" s="1015"/>
      <c r="E267" s="1015"/>
      <c r="F267" s="1015"/>
      <c r="G267" s="1016"/>
      <c r="H267" s="24"/>
    </row>
    <row r="268" spans="1:8" s="9" customFormat="1">
      <c r="A268" s="24"/>
      <c r="B268" s="8"/>
      <c r="C268" s="13"/>
      <c r="D268" s="1015"/>
      <c r="E268" s="1015"/>
      <c r="F268" s="1015"/>
      <c r="G268" s="1016"/>
      <c r="H268" s="24"/>
    </row>
    <row r="269" spans="1:8" s="9" customFormat="1">
      <c r="A269" s="24"/>
      <c r="B269" s="8"/>
      <c r="C269" s="13"/>
      <c r="D269" s="1015"/>
      <c r="E269" s="1015"/>
      <c r="F269" s="1015"/>
      <c r="G269" s="1016"/>
      <c r="H269" s="24"/>
    </row>
    <row r="270" spans="1:8" s="9" customFormat="1">
      <c r="A270" s="24"/>
      <c r="B270" s="8"/>
      <c r="C270" s="13"/>
      <c r="D270" s="1015"/>
      <c r="E270" s="1015"/>
      <c r="F270" s="1015"/>
      <c r="G270" s="1016"/>
      <c r="H270" s="24"/>
    </row>
    <row r="271" spans="1:8" s="9" customFormat="1">
      <c r="A271" s="24"/>
      <c r="B271" s="8"/>
      <c r="C271" s="13"/>
      <c r="D271" s="1015"/>
      <c r="E271" s="1015"/>
      <c r="F271" s="1015"/>
      <c r="G271" s="1016"/>
      <c r="H271" s="24"/>
    </row>
    <row r="272" spans="1:8" s="9" customFormat="1">
      <c r="A272" s="24"/>
      <c r="B272" s="8"/>
      <c r="C272" s="13"/>
      <c r="D272" s="1015"/>
      <c r="E272" s="1015"/>
      <c r="F272" s="1015"/>
      <c r="G272" s="1016"/>
      <c r="H272" s="24"/>
    </row>
    <row r="273" spans="1:8" s="9" customFormat="1">
      <c r="A273" s="24"/>
      <c r="B273" s="8"/>
      <c r="C273" s="13"/>
      <c r="D273" s="1015"/>
      <c r="E273" s="1015"/>
      <c r="F273" s="1015"/>
      <c r="G273" s="1016"/>
      <c r="H273" s="24"/>
    </row>
    <row r="274" spans="1:8" s="9" customFormat="1">
      <c r="A274" s="24"/>
      <c r="B274" s="8"/>
      <c r="C274" s="13"/>
      <c r="D274" s="1015"/>
      <c r="E274" s="1015"/>
      <c r="F274" s="1015"/>
      <c r="G274" s="1016"/>
      <c r="H274" s="24"/>
    </row>
    <row r="275" spans="1:8" s="9" customFormat="1">
      <c r="A275" s="24"/>
      <c r="B275" s="8"/>
      <c r="C275" s="13"/>
      <c r="D275" s="1015"/>
      <c r="E275" s="1015"/>
      <c r="F275" s="1015"/>
      <c r="G275" s="1016"/>
      <c r="H275" s="24"/>
    </row>
    <row r="276" spans="1:8" s="9" customFormat="1">
      <c r="A276" s="24"/>
      <c r="B276" s="8"/>
      <c r="C276" s="13"/>
      <c r="D276" s="1015"/>
      <c r="E276" s="1015"/>
      <c r="F276" s="1015"/>
      <c r="G276" s="1016"/>
      <c r="H276" s="24"/>
    </row>
    <row r="277" spans="1:8" s="9" customFormat="1">
      <c r="A277" s="24"/>
      <c r="B277" s="8"/>
      <c r="C277" s="13"/>
      <c r="D277" s="1015"/>
      <c r="E277" s="1015"/>
      <c r="F277" s="1015"/>
      <c r="G277" s="1016"/>
      <c r="H277" s="24"/>
    </row>
    <row r="278" spans="1:8" s="9" customFormat="1">
      <c r="A278" s="24"/>
      <c r="B278" s="8"/>
      <c r="C278" s="13"/>
      <c r="D278" s="1015"/>
      <c r="E278" s="1015"/>
      <c r="F278" s="1015"/>
      <c r="G278" s="1016"/>
      <c r="H278" s="24"/>
    </row>
    <row r="279" spans="1:8" s="9" customFormat="1">
      <c r="A279" s="24"/>
      <c r="B279" s="8"/>
      <c r="C279" s="13"/>
      <c r="D279" s="1015"/>
      <c r="E279" s="1015"/>
      <c r="F279" s="1015"/>
      <c r="G279" s="1016"/>
      <c r="H279" s="24"/>
    </row>
    <row r="280" spans="1:8" s="9" customFormat="1">
      <c r="A280" s="24"/>
      <c r="B280" s="8"/>
      <c r="C280" s="13"/>
      <c r="D280" s="1015"/>
      <c r="E280" s="1015"/>
      <c r="F280" s="1015"/>
      <c r="G280" s="1016"/>
      <c r="H280" s="24"/>
    </row>
    <row r="281" spans="1:8" s="9" customFormat="1">
      <c r="A281" s="24"/>
      <c r="B281" s="8"/>
      <c r="C281" s="13"/>
      <c r="D281" s="1015"/>
      <c r="E281" s="1015"/>
      <c r="F281" s="1015"/>
      <c r="G281" s="1016"/>
      <c r="H281" s="24"/>
    </row>
    <row r="282" spans="1:8" s="9" customFormat="1">
      <c r="A282" s="24"/>
      <c r="B282" s="8"/>
      <c r="C282" s="13"/>
      <c r="D282" s="1015"/>
      <c r="E282" s="1015"/>
      <c r="F282" s="1015"/>
      <c r="G282" s="1016"/>
      <c r="H282" s="24"/>
    </row>
    <row r="283" spans="1:8" s="9" customFormat="1">
      <c r="A283" s="24"/>
      <c r="B283" s="8"/>
      <c r="C283" s="13"/>
      <c r="D283" s="1015"/>
      <c r="E283" s="1015"/>
      <c r="F283" s="1015"/>
      <c r="G283" s="1016"/>
      <c r="H283" s="24"/>
    </row>
    <row r="284" spans="1:8" s="9" customFormat="1">
      <c r="A284" s="24"/>
      <c r="B284" s="8"/>
      <c r="C284" s="13"/>
      <c r="D284" s="1015"/>
      <c r="E284" s="1015"/>
      <c r="F284" s="1015"/>
      <c r="G284" s="1016"/>
      <c r="H284" s="24"/>
    </row>
    <row r="285" spans="1:8" s="9" customFormat="1">
      <c r="A285" s="24"/>
      <c r="B285" s="8"/>
      <c r="C285" s="13"/>
      <c r="D285" s="1015"/>
      <c r="E285" s="1015"/>
      <c r="F285" s="1015"/>
      <c r="G285" s="1016"/>
      <c r="H285" s="24"/>
    </row>
    <row r="286" spans="1:8" s="9" customFormat="1">
      <c r="A286" s="24"/>
      <c r="B286" s="8"/>
      <c r="C286" s="13"/>
      <c r="D286" s="1015"/>
      <c r="E286" s="1015"/>
      <c r="F286" s="1015"/>
      <c r="G286" s="1016"/>
      <c r="H286" s="24"/>
    </row>
    <row r="287" spans="1:8" s="9" customFormat="1">
      <c r="A287" s="24"/>
      <c r="B287" s="8"/>
      <c r="C287" s="13"/>
      <c r="D287" s="1015"/>
      <c r="E287" s="1015"/>
      <c r="F287" s="1015"/>
      <c r="G287" s="1016"/>
      <c r="H287" s="24"/>
    </row>
    <row r="288" spans="1:8" s="9" customFormat="1">
      <c r="A288" s="24"/>
      <c r="B288" s="8"/>
      <c r="C288" s="13"/>
      <c r="D288" s="1015"/>
      <c r="E288" s="1015"/>
      <c r="F288" s="1015"/>
      <c r="G288" s="1016"/>
      <c r="H288" s="24"/>
    </row>
    <row r="289" spans="1:8" s="9" customFormat="1">
      <c r="A289" s="24"/>
      <c r="B289" s="8"/>
      <c r="C289" s="13"/>
      <c r="D289" s="1015"/>
      <c r="E289" s="1015"/>
      <c r="F289" s="1015"/>
      <c r="G289" s="1016"/>
      <c r="H289" s="24"/>
    </row>
    <row r="290" spans="1:8" s="9" customFormat="1">
      <c r="A290" s="24"/>
      <c r="B290" s="8"/>
      <c r="C290" s="13"/>
      <c r="D290" s="1015"/>
      <c r="E290" s="1015"/>
      <c r="F290" s="1015"/>
      <c r="G290" s="1016"/>
      <c r="H290" s="24"/>
    </row>
    <row r="291" spans="1:8" s="9" customFormat="1">
      <c r="A291" s="24"/>
      <c r="B291" s="8"/>
      <c r="C291" s="13"/>
      <c r="D291" s="1015"/>
      <c r="E291" s="1015"/>
      <c r="F291" s="1015"/>
      <c r="G291" s="1016"/>
      <c r="H291" s="24"/>
    </row>
    <row r="292" spans="1:8" s="9" customFormat="1">
      <c r="A292" s="24"/>
      <c r="B292" s="8"/>
      <c r="C292" s="13"/>
      <c r="D292" s="1015"/>
      <c r="E292" s="1015"/>
      <c r="F292" s="1015"/>
      <c r="G292" s="1016"/>
      <c r="H292" s="24"/>
    </row>
    <row r="293" spans="1:8" s="9" customFormat="1">
      <c r="A293" s="24"/>
      <c r="B293" s="8"/>
      <c r="C293" s="13"/>
      <c r="D293" s="1015"/>
      <c r="E293" s="1015"/>
      <c r="F293" s="1015"/>
      <c r="G293" s="1016"/>
      <c r="H293" s="24"/>
    </row>
    <row r="294" spans="1:8" s="9" customFormat="1">
      <c r="A294" s="24"/>
      <c r="B294" s="8"/>
      <c r="C294" s="13"/>
      <c r="D294" s="1015"/>
      <c r="E294" s="1015"/>
      <c r="F294" s="1015"/>
      <c r="G294" s="1016"/>
      <c r="H294" s="24"/>
    </row>
    <row r="295" spans="1:8" s="9" customFormat="1">
      <c r="A295" s="24"/>
      <c r="B295" s="8"/>
      <c r="C295" s="13"/>
      <c r="D295" s="1015"/>
      <c r="E295" s="1015"/>
      <c r="F295" s="1015"/>
      <c r="G295" s="1016"/>
      <c r="H295" s="24"/>
    </row>
    <row r="296" spans="1:8" s="9" customFormat="1">
      <c r="A296" s="24"/>
      <c r="B296" s="8"/>
      <c r="C296" s="13"/>
      <c r="D296" s="1015"/>
      <c r="E296" s="1015"/>
      <c r="F296" s="1015"/>
      <c r="G296" s="1016"/>
      <c r="H296" s="24"/>
    </row>
    <row r="297" spans="1:8" s="9" customFormat="1">
      <c r="A297" s="24"/>
      <c r="B297" s="8"/>
      <c r="C297" s="13"/>
      <c r="D297" s="1015"/>
      <c r="E297" s="1015"/>
      <c r="F297" s="1015"/>
      <c r="G297" s="1016"/>
      <c r="H297" s="24"/>
    </row>
    <row r="298" spans="1:8" s="9" customFormat="1">
      <c r="A298" s="24"/>
      <c r="B298" s="8"/>
      <c r="C298" s="13"/>
      <c r="D298" s="1015"/>
      <c r="E298" s="1015"/>
      <c r="F298" s="1015"/>
      <c r="G298" s="1016"/>
      <c r="H298" s="24"/>
    </row>
    <row r="299" spans="1:8" s="9" customFormat="1">
      <c r="A299" s="24"/>
      <c r="B299" s="8"/>
      <c r="C299" s="13"/>
      <c r="D299" s="1015"/>
      <c r="E299" s="1015"/>
      <c r="F299" s="1015"/>
      <c r="G299" s="1016"/>
      <c r="H299" s="24"/>
    </row>
    <row r="300" spans="1:8" s="9" customFormat="1">
      <c r="A300" s="24"/>
      <c r="B300" s="8"/>
      <c r="C300" s="13"/>
      <c r="D300" s="1015"/>
      <c r="E300" s="1015"/>
      <c r="F300" s="1015"/>
      <c r="G300" s="1016"/>
      <c r="H300" s="24"/>
    </row>
    <row r="301" spans="1:8" s="9" customFormat="1">
      <c r="A301" s="24"/>
      <c r="B301" s="8"/>
      <c r="C301" s="13"/>
      <c r="D301" s="1015"/>
      <c r="E301" s="1015"/>
      <c r="F301" s="1015"/>
      <c r="G301" s="1016"/>
      <c r="H301" s="24"/>
    </row>
    <row r="302" spans="1:8" s="9" customFormat="1">
      <c r="A302" s="24"/>
      <c r="B302" s="8"/>
      <c r="C302" s="13"/>
      <c r="D302" s="1015"/>
      <c r="E302" s="1015"/>
      <c r="F302" s="1015"/>
      <c r="G302" s="1016"/>
      <c r="H302" s="24"/>
    </row>
    <row r="303" spans="1:8" s="9" customFormat="1">
      <c r="A303" s="24"/>
      <c r="B303" s="8"/>
      <c r="C303" s="13"/>
      <c r="D303" s="1015"/>
      <c r="E303" s="1015"/>
      <c r="F303" s="1015"/>
      <c r="G303" s="1016"/>
      <c r="H303" s="24"/>
    </row>
    <row r="304" spans="1:8" s="9" customFormat="1">
      <c r="A304" s="24"/>
      <c r="B304" s="8"/>
      <c r="C304" s="13"/>
      <c r="D304" s="1015"/>
      <c r="E304" s="1015"/>
      <c r="F304" s="1015"/>
      <c r="G304" s="1016"/>
      <c r="H304" s="24"/>
    </row>
    <row r="305" spans="1:8" s="9" customFormat="1">
      <c r="A305" s="24"/>
      <c r="B305" s="8"/>
      <c r="C305" s="13"/>
      <c r="D305" s="1015"/>
      <c r="E305" s="1015"/>
      <c r="F305" s="1015"/>
      <c r="G305" s="1016"/>
      <c r="H305" s="24"/>
    </row>
    <row r="306" spans="1:8" s="9" customFormat="1">
      <c r="A306" s="24"/>
      <c r="B306" s="8"/>
      <c r="C306" s="13"/>
      <c r="D306" s="1015"/>
      <c r="E306" s="1015"/>
      <c r="F306" s="1015"/>
      <c r="G306" s="1016"/>
      <c r="H306" s="24"/>
    </row>
    <row r="307" spans="1:8" s="9" customFormat="1">
      <c r="A307" s="24"/>
      <c r="B307" s="8"/>
      <c r="C307" s="13"/>
      <c r="D307" s="1015"/>
      <c r="E307" s="1015"/>
      <c r="F307" s="1015"/>
      <c r="G307" s="1016"/>
      <c r="H307" s="24"/>
    </row>
    <row r="308" spans="1:8" s="9" customFormat="1">
      <c r="A308" s="24"/>
      <c r="B308" s="8"/>
      <c r="C308" s="13"/>
      <c r="D308" s="1015"/>
      <c r="E308" s="1015"/>
      <c r="F308" s="1015"/>
      <c r="G308" s="1016"/>
      <c r="H308" s="24"/>
    </row>
    <row r="309" spans="1:8" s="9" customFormat="1">
      <c r="A309" s="24"/>
      <c r="B309" s="8"/>
      <c r="C309" s="13"/>
      <c r="D309" s="1015"/>
      <c r="E309" s="1015"/>
      <c r="F309" s="1015"/>
      <c r="G309" s="1016"/>
      <c r="H309" s="24"/>
    </row>
    <row r="310" spans="1:8" s="9" customFormat="1">
      <c r="A310" s="24"/>
      <c r="B310" s="8"/>
      <c r="C310" s="13"/>
      <c r="D310" s="1015"/>
      <c r="E310" s="1015"/>
      <c r="F310" s="1015"/>
      <c r="G310" s="1016"/>
      <c r="H310" s="24"/>
    </row>
    <row r="311" spans="1:8" s="9" customFormat="1">
      <c r="A311" s="24"/>
      <c r="B311" s="8"/>
      <c r="C311" s="13"/>
      <c r="D311" s="1015"/>
      <c r="E311" s="1015"/>
      <c r="F311" s="1015"/>
      <c r="G311" s="1016"/>
      <c r="H311" s="24"/>
    </row>
    <row r="312" spans="1:8" s="9" customFormat="1">
      <c r="A312" s="24"/>
      <c r="B312" s="8"/>
      <c r="C312" s="13"/>
      <c r="D312" s="1015"/>
      <c r="E312" s="1015"/>
      <c r="F312" s="1015"/>
      <c r="G312" s="1016"/>
      <c r="H312" s="24"/>
    </row>
    <row r="313" spans="1:8" s="9" customFormat="1">
      <c r="A313" s="24"/>
      <c r="B313" s="8"/>
      <c r="C313" s="13"/>
      <c r="D313" s="1015"/>
      <c r="E313" s="1015"/>
      <c r="F313" s="1015"/>
      <c r="G313" s="1016"/>
      <c r="H313" s="24"/>
    </row>
    <row r="314" spans="1:8" s="9" customFormat="1">
      <c r="A314" s="24"/>
      <c r="B314" s="8"/>
      <c r="C314" s="13"/>
      <c r="D314" s="1015"/>
      <c r="E314" s="1015"/>
      <c r="F314" s="1015"/>
      <c r="G314" s="1016"/>
      <c r="H314" s="24"/>
    </row>
    <row r="315" spans="1:8" s="9" customFormat="1">
      <c r="A315" s="24"/>
      <c r="B315" s="8"/>
      <c r="C315" s="13"/>
      <c r="D315" s="1015"/>
      <c r="E315" s="1015"/>
      <c r="F315" s="1015"/>
      <c r="G315" s="1016"/>
      <c r="H315" s="24"/>
    </row>
    <row r="316" spans="1:8" s="9" customFormat="1">
      <c r="A316" s="24"/>
      <c r="B316" s="8"/>
      <c r="C316" s="13"/>
      <c r="D316" s="1015"/>
      <c r="E316" s="1015"/>
      <c r="F316" s="1015"/>
      <c r="G316" s="1016"/>
      <c r="H316" s="24"/>
    </row>
    <row r="317" spans="1:8" s="9" customFormat="1">
      <c r="A317" s="24"/>
      <c r="B317" s="8"/>
      <c r="C317" s="13"/>
      <c r="D317" s="1015"/>
      <c r="E317" s="1015"/>
      <c r="F317" s="1015"/>
      <c r="G317" s="1016"/>
      <c r="H317" s="24"/>
    </row>
    <row r="318" spans="1:8" s="9" customFormat="1">
      <c r="A318" s="24"/>
      <c r="B318" s="8"/>
      <c r="C318" s="13"/>
      <c r="D318" s="1015"/>
      <c r="E318" s="1015"/>
      <c r="F318" s="1015"/>
      <c r="G318" s="1016"/>
      <c r="H318" s="24"/>
    </row>
    <row r="319" spans="1:8" s="9" customFormat="1">
      <c r="A319" s="24"/>
      <c r="B319" s="8"/>
      <c r="C319" s="13"/>
      <c r="D319" s="1015"/>
      <c r="E319" s="1015"/>
      <c r="F319" s="1015"/>
      <c r="G319" s="1016"/>
      <c r="H319" s="24"/>
    </row>
    <row r="320" spans="1:8" s="9" customFormat="1">
      <c r="A320" s="24"/>
      <c r="B320" s="8"/>
      <c r="C320" s="13"/>
      <c r="D320" s="1015"/>
      <c r="E320" s="1015"/>
      <c r="F320" s="1015"/>
      <c r="G320" s="1016"/>
      <c r="H320" s="24"/>
    </row>
    <row r="321" spans="1:8" s="9" customFormat="1">
      <c r="A321" s="24"/>
      <c r="B321" s="8"/>
      <c r="C321" s="13"/>
      <c r="D321" s="1015"/>
      <c r="E321" s="1015"/>
      <c r="F321" s="1015"/>
      <c r="G321" s="1016"/>
      <c r="H321" s="24"/>
    </row>
    <row r="322" spans="1:8" s="9" customFormat="1">
      <c r="A322" s="24"/>
      <c r="B322" s="8"/>
      <c r="C322" s="13"/>
      <c r="D322" s="1015"/>
      <c r="E322" s="1015"/>
      <c r="F322" s="1015"/>
      <c r="G322" s="1016"/>
      <c r="H322" s="24"/>
    </row>
    <row r="323" spans="1:8" s="9" customFormat="1">
      <c r="A323" s="24"/>
      <c r="B323" s="8"/>
      <c r="C323" s="13"/>
      <c r="D323" s="1015"/>
      <c r="E323" s="1015"/>
      <c r="F323" s="1015"/>
      <c r="G323" s="1016"/>
      <c r="H323" s="24"/>
    </row>
    <row r="324" spans="1:8" s="9" customFormat="1">
      <c r="A324" s="24"/>
      <c r="B324" s="8"/>
      <c r="C324" s="13"/>
      <c r="D324" s="1015"/>
      <c r="E324" s="1015"/>
      <c r="F324" s="1015"/>
      <c r="G324" s="1016"/>
      <c r="H324" s="24"/>
    </row>
    <row r="325" spans="1:8" s="9" customFormat="1">
      <c r="A325" s="24"/>
      <c r="B325" s="8"/>
      <c r="C325" s="13"/>
      <c r="D325" s="1015"/>
      <c r="E325" s="1015"/>
      <c r="F325" s="1015"/>
      <c r="G325" s="1016"/>
      <c r="H325" s="24"/>
    </row>
    <row r="326" spans="1:8" s="9" customFormat="1">
      <c r="A326" s="24"/>
      <c r="B326" s="8"/>
      <c r="C326" s="13"/>
      <c r="D326" s="1015"/>
      <c r="E326" s="1015"/>
      <c r="F326" s="1015"/>
      <c r="G326" s="1016"/>
      <c r="H326" s="24"/>
    </row>
    <row r="327" spans="1:8" s="9" customFormat="1">
      <c r="A327" s="24"/>
      <c r="B327" s="8"/>
      <c r="C327" s="13"/>
      <c r="D327" s="1015"/>
      <c r="E327" s="1015"/>
      <c r="F327" s="1015"/>
      <c r="G327" s="1016"/>
      <c r="H327" s="24"/>
    </row>
    <row r="328" spans="1:8" s="9" customFormat="1">
      <c r="A328" s="24"/>
      <c r="B328" s="8"/>
      <c r="C328" s="13"/>
      <c r="D328" s="1015"/>
      <c r="E328" s="1015"/>
      <c r="F328" s="1015"/>
      <c r="G328" s="1016"/>
      <c r="H328" s="24"/>
    </row>
    <row r="329" spans="1:8" s="9" customFormat="1">
      <c r="A329" s="24"/>
      <c r="B329" s="8"/>
      <c r="C329" s="13"/>
      <c r="D329" s="1015"/>
      <c r="E329" s="1015"/>
      <c r="F329" s="1015"/>
      <c r="G329" s="1016"/>
      <c r="H329" s="24"/>
    </row>
    <row r="330" spans="1:8" s="9" customFormat="1">
      <c r="A330" s="24"/>
      <c r="B330" s="8"/>
      <c r="C330" s="13"/>
      <c r="D330" s="1015"/>
      <c r="E330" s="1015"/>
      <c r="F330" s="1015"/>
      <c r="G330" s="1016"/>
      <c r="H330" s="24"/>
    </row>
    <row r="331" spans="1:8" s="9" customFormat="1">
      <c r="A331" s="24"/>
      <c r="B331" s="8"/>
      <c r="C331" s="13"/>
      <c r="D331" s="1015"/>
      <c r="E331" s="1015"/>
      <c r="F331" s="1015"/>
      <c r="G331" s="1016"/>
      <c r="H331" s="24"/>
    </row>
    <row r="332" spans="1:8" s="9" customFormat="1">
      <c r="A332" s="24"/>
      <c r="B332" s="8"/>
      <c r="C332" s="13"/>
      <c r="D332" s="1015"/>
      <c r="E332" s="1015"/>
      <c r="F332" s="1015"/>
      <c r="G332" s="1016"/>
      <c r="H332" s="24"/>
    </row>
    <row r="333" spans="1:8" s="9" customFormat="1">
      <c r="A333" s="24"/>
      <c r="B333" s="8"/>
      <c r="C333" s="13"/>
      <c r="D333" s="1015"/>
      <c r="E333" s="1015"/>
      <c r="F333" s="1015"/>
      <c r="G333" s="1016"/>
      <c r="H333" s="24"/>
    </row>
    <row r="334" spans="1:8" s="9" customFormat="1">
      <c r="A334" s="24"/>
      <c r="B334" s="8"/>
      <c r="C334" s="13"/>
      <c r="D334" s="1015"/>
      <c r="E334" s="1015"/>
      <c r="F334" s="1015"/>
      <c r="G334" s="1016"/>
      <c r="H334" s="24"/>
    </row>
    <row r="335" spans="1:8" s="9" customFormat="1">
      <c r="A335" s="24"/>
      <c r="B335" s="8"/>
      <c r="C335" s="13"/>
      <c r="D335" s="1015"/>
      <c r="E335" s="1015"/>
      <c r="F335" s="1015"/>
      <c r="G335" s="1016"/>
      <c r="H335" s="24"/>
    </row>
    <row r="336" spans="1:8" s="9" customFormat="1">
      <c r="A336" s="24"/>
      <c r="B336" s="8"/>
      <c r="C336" s="13"/>
      <c r="D336" s="1015"/>
      <c r="E336" s="1015"/>
      <c r="F336" s="1015"/>
      <c r="G336" s="1016"/>
      <c r="H336" s="24"/>
    </row>
    <row r="337" spans="1:8" s="9" customFormat="1">
      <c r="A337" s="24"/>
      <c r="B337" s="8"/>
      <c r="C337" s="13"/>
      <c r="D337" s="1015"/>
      <c r="E337" s="1015"/>
      <c r="F337" s="1015"/>
      <c r="G337" s="1016"/>
      <c r="H337" s="24"/>
    </row>
    <row r="338" spans="1:8" s="9" customFormat="1">
      <c r="A338" s="24"/>
      <c r="B338" s="8"/>
      <c r="C338" s="13"/>
      <c r="D338" s="1015"/>
      <c r="E338" s="1015"/>
      <c r="F338" s="1015"/>
      <c r="G338" s="1016"/>
      <c r="H338" s="24"/>
    </row>
    <row r="339" spans="1:8" s="9" customFormat="1">
      <c r="A339" s="24"/>
      <c r="B339" s="8"/>
      <c r="C339" s="13"/>
      <c r="D339" s="1015"/>
      <c r="E339" s="1015"/>
      <c r="F339" s="1015"/>
      <c r="G339" s="1016"/>
      <c r="H339" s="24"/>
    </row>
    <row r="340" spans="1:8" s="9" customFormat="1">
      <c r="A340" s="24"/>
      <c r="B340" s="8"/>
      <c r="C340" s="13"/>
      <c r="D340" s="1015"/>
      <c r="E340" s="1015"/>
      <c r="F340" s="1015"/>
      <c r="G340" s="1016"/>
      <c r="H340" s="24"/>
    </row>
    <row r="341" spans="1:8" s="9" customFormat="1">
      <c r="A341" s="24"/>
      <c r="B341" s="8"/>
      <c r="C341" s="13"/>
      <c r="D341" s="1015"/>
      <c r="E341" s="1015"/>
      <c r="F341" s="1015"/>
      <c r="G341" s="1016"/>
      <c r="H341" s="24"/>
    </row>
    <row r="342" spans="1:8" s="9" customFormat="1">
      <c r="A342" s="24"/>
      <c r="B342" s="8"/>
      <c r="C342" s="13"/>
      <c r="D342" s="1015"/>
      <c r="E342" s="1015"/>
      <c r="F342" s="1015"/>
      <c r="G342" s="1016"/>
      <c r="H342" s="24"/>
    </row>
    <row r="343" spans="1:8" s="9" customFormat="1">
      <c r="A343" s="24"/>
      <c r="B343" s="8"/>
      <c r="C343" s="13"/>
      <c r="D343" s="1015"/>
      <c r="E343" s="1015"/>
      <c r="F343" s="1015"/>
      <c r="G343" s="1016"/>
      <c r="H343" s="24"/>
    </row>
    <row r="344" spans="1:8" s="9" customFormat="1">
      <c r="A344" s="24"/>
      <c r="B344" s="8"/>
      <c r="C344" s="13"/>
      <c r="D344" s="1015"/>
      <c r="E344" s="1015"/>
      <c r="F344" s="1015"/>
      <c r="G344" s="1016"/>
      <c r="H344" s="24"/>
    </row>
    <row r="345" spans="1:8" s="9" customFormat="1">
      <c r="A345" s="24"/>
      <c r="B345" s="8"/>
      <c r="C345" s="13"/>
      <c r="D345" s="1015"/>
      <c r="E345" s="1015"/>
      <c r="F345" s="1015"/>
      <c r="G345" s="1016"/>
      <c r="H345" s="24"/>
    </row>
    <row r="346" spans="1:8" s="9" customFormat="1">
      <c r="A346" s="24"/>
      <c r="B346" s="8"/>
      <c r="C346" s="13"/>
      <c r="D346" s="1015"/>
      <c r="E346" s="1015"/>
      <c r="F346" s="1015"/>
      <c r="G346" s="1016"/>
      <c r="H346" s="24"/>
    </row>
    <row r="347" spans="1:8" s="9" customFormat="1">
      <c r="A347" s="24"/>
      <c r="B347" s="8"/>
      <c r="C347" s="13"/>
      <c r="D347" s="1015"/>
      <c r="E347" s="1015"/>
      <c r="F347" s="1015"/>
      <c r="G347" s="1016"/>
      <c r="H347" s="24"/>
    </row>
    <row r="348" spans="1:8" s="9" customFormat="1">
      <c r="A348" s="24"/>
      <c r="B348" s="8"/>
      <c r="C348" s="13"/>
      <c r="D348" s="1015"/>
      <c r="E348" s="1015"/>
      <c r="F348" s="1015"/>
      <c r="G348" s="1016"/>
      <c r="H348" s="24"/>
    </row>
    <row r="349" spans="1:8" s="9" customFormat="1">
      <c r="A349" s="24"/>
      <c r="B349" s="8"/>
      <c r="C349" s="13"/>
      <c r="D349" s="1015"/>
      <c r="E349" s="1015"/>
      <c r="F349" s="1015"/>
      <c r="G349" s="1016"/>
      <c r="H349" s="24"/>
    </row>
    <row r="350" spans="1:8" s="9" customFormat="1">
      <c r="A350" s="24"/>
      <c r="B350" s="8"/>
      <c r="C350" s="13"/>
      <c r="D350" s="1015"/>
      <c r="E350" s="1015"/>
      <c r="F350" s="1015"/>
      <c r="G350" s="1016"/>
      <c r="H350" s="24"/>
    </row>
    <row r="351" spans="1:8" s="9" customFormat="1">
      <c r="A351" s="24"/>
      <c r="B351" s="8"/>
      <c r="C351" s="13"/>
      <c r="D351" s="1015"/>
      <c r="E351" s="1015"/>
      <c r="F351" s="1015"/>
      <c r="G351" s="1016"/>
      <c r="H351" s="24"/>
    </row>
    <row r="352" spans="1:8" s="9" customFormat="1">
      <c r="A352" s="24"/>
      <c r="B352" s="8"/>
      <c r="C352" s="13"/>
      <c r="D352" s="1015"/>
      <c r="E352" s="1015"/>
      <c r="F352" s="1015"/>
      <c r="G352" s="1016"/>
      <c r="H352" s="24"/>
    </row>
    <row r="353" spans="1:8" s="9" customFormat="1">
      <c r="A353" s="24"/>
      <c r="B353" s="8"/>
      <c r="C353" s="13"/>
      <c r="D353" s="1015"/>
      <c r="E353" s="1015"/>
      <c r="F353" s="1015"/>
      <c r="G353" s="1016"/>
      <c r="H353" s="24"/>
    </row>
    <row r="354" spans="1:8" s="9" customFormat="1">
      <c r="A354" s="24"/>
      <c r="B354" s="8"/>
      <c r="C354" s="13"/>
      <c r="D354" s="1015"/>
      <c r="E354" s="1015"/>
      <c r="F354" s="1015"/>
      <c r="G354" s="1016"/>
      <c r="H354" s="24"/>
    </row>
    <row r="355" spans="1:8" s="9" customFormat="1">
      <c r="A355" s="24"/>
      <c r="B355" s="8"/>
      <c r="C355" s="13"/>
      <c r="D355" s="1015"/>
      <c r="E355" s="1015"/>
      <c r="F355" s="1015"/>
      <c r="G355" s="1016"/>
      <c r="H355" s="24"/>
    </row>
    <row r="356" spans="1:8">
      <c r="H356" s="24"/>
    </row>
  </sheetData>
  <sheetProtection password="C74A" sheet="1" objects="1" scenarios="1" formatCells="0" formatColumns="0" formatRows="0"/>
  <customSheetViews>
    <customSheetView guid="{B8E02330-2419-4DE6-AD01-7ACC7A5D18DD}" scale="75">
      <pageMargins left="0.75" right="0.75" top="1" bottom="1" header="0.5" footer="0.5"/>
      <pageSetup orientation="portrait" r:id="rId1"/>
      <headerFooter alignWithMargins="0"/>
    </customSheetView>
  </customSheetViews>
  <mergeCells count="164">
    <mergeCell ref="H216:I216"/>
    <mergeCell ref="H217:I217"/>
    <mergeCell ref="H218:I218"/>
    <mergeCell ref="H219:I219"/>
    <mergeCell ref="H215:I215"/>
    <mergeCell ref="H214:I214"/>
    <mergeCell ref="H198:I198"/>
    <mergeCell ref="H199:I199"/>
    <mergeCell ref="H200:I200"/>
    <mergeCell ref="H201:I201"/>
    <mergeCell ref="H202:I202"/>
    <mergeCell ref="H203:I203"/>
    <mergeCell ref="H204:I204"/>
    <mergeCell ref="H205:I205"/>
    <mergeCell ref="H206:I206"/>
    <mergeCell ref="I180:I186"/>
    <mergeCell ref="C194:E194"/>
    <mergeCell ref="H207:I207"/>
    <mergeCell ref="H208:I208"/>
    <mergeCell ref="H209:I209"/>
    <mergeCell ref="H210:I210"/>
    <mergeCell ref="H211:I211"/>
    <mergeCell ref="H212:I212"/>
    <mergeCell ref="H213:I213"/>
    <mergeCell ref="H196:I196"/>
    <mergeCell ref="H197:I197"/>
    <mergeCell ref="I86:I90"/>
    <mergeCell ref="I91:I93"/>
    <mergeCell ref="I94:I99"/>
    <mergeCell ref="I100:I104"/>
    <mergeCell ref="I105:I110"/>
    <mergeCell ref="I111:I113"/>
    <mergeCell ref="I114:I119"/>
    <mergeCell ref="I120:I126"/>
    <mergeCell ref="I133:I138"/>
    <mergeCell ref="I127:I132"/>
    <mergeCell ref="A77:A85"/>
    <mergeCell ref="E1:I1"/>
    <mergeCell ref="I3:I9"/>
    <mergeCell ref="I10:I15"/>
    <mergeCell ref="I16:I23"/>
    <mergeCell ref="I24:I29"/>
    <mergeCell ref="I30:I37"/>
    <mergeCell ref="I38:I44"/>
    <mergeCell ref="I45:I48"/>
    <mergeCell ref="I49:I52"/>
    <mergeCell ref="H3:H9"/>
    <mergeCell ref="H10:H15"/>
    <mergeCell ref="I54:I58"/>
    <mergeCell ref="I59:I65"/>
    <mergeCell ref="I66:I70"/>
    <mergeCell ref="I71:I75"/>
    <mergeCell ref="I77:I85"/>
    <mergeCell ref="B3:B9"/>
    <mergeCell ref="B10:B15"/>
    <mergeCell ref="H49:H52"/>
    <mergeCell ref="A24:A29"/>
    <mergeCell ref="B30:B37"/>
    <mergeCell ref="A66:A70"/>
    <mergeCell ref="B38:B44"/>
    <mergeCell ref="H45:H48"/>
    <mergeCell ref="H30:H37"/>
    <mergeCell ref="H38:H44"/>
    <mergeCell ref="B45:B48"/>
    <mergeCell ref="B66:B70"/>
    <mergeCell ref="A38:A44"/>
    <mergeCell ref="A49:A52"/>
    <mergeCell ref="B49:B52"/>
    <mergeCell ref="A30:A37"/>
    <mergeCell ref="H54:H58"/>
    <mergeCell ref="H24:H29"/>
    <mergeCell ref="B24:B29"/>
    <mergeCell ref="H66:H70"/>
    <mergeCell ref="A94:A99"/>
    <mergeCell ref="A86:A90"/>
    <mergeCell ref="B169:B174"/>
    <mergeCell ref="B100:B104"/>
    <mergeCell ref="B114:B119"/>
    <mergeCell ref="A156:A159"/>
    <mergeCell ref="A160:A164"/>
    <mergeCell ref="B86:B90"/>
    <mergeCell ref="B160:B164"/>
    <mergeCell ref="B156:B159"/>
    <mergeCell ref="A139:A145"/>
    <mergeCell ref="A133:A138"/>
    <mergeCell ref="B120:B126"/>
    <mergeCell ref="B111:B113"/>
    <mergeCell ref="B165:B168"/>
    <mergeCell ref="A152:A155"/>
    <mergeCell ref="A127:A132"/>
    <mergeCell ref="B127:B132"/>
    <mergeCell ref="B133:B138"/>
    <mergeCell ref="A100:A104"/>
    <mergeCell ref="A120:A126"/>
    <mergeCell ref="B94:B99"/>
    <mergeCell ref="B152:B155"/>
    <mergeCell ref="B91:B93"/>
    <mergeCell ref="B77:B85"/>
    <mergeCell ref="H139:H145"/>
    <mergeCell ref="H71:H75"/>
    <mergeCell ref="H105:H110"/>
    <mergeCell ref="B139:B145"/>
    <mergeCell ref="C192:F192"/>
    <mergeCell ref="C188:F188"/>
    <mergeCell ref="C191:F191"/>
    <mergeCell ref="H133:H138"/>
    <mergeCell ref="H111:H113"/>
    <mergeCell ref="H146:H151"/>
    <mergeCell ref="H114:H119"/>
    <mergeCell ref="H152:H155"/>
    <mergeCell ref="H127:H132"/>
    <mergeCell ref="H77:H85"/>
    <mergeCell ref="H91:H93"/>
    <mergeCell ref="H94:H99"/>
    <mergeCell ref="H100:H104"/>
    <mergeCell ref="H169:H174"/>
    <mergeCell ref="A180:A186"/>
    <mergeCell ref="B180:B186"/>
    <mergeCell ref="A187:B194"/>
    <mergeCell ref="C187:H187"/>
    <mergeCell ref="C193:H193"/>
    <mergeCell ref="H180:H186"/>
    <mergeCell ref="A175:A179"/>
    <mergeCell ref="B105:B110"/>
    <mergeCell ref="B175:B179"/>
    <mergeCell ref="H165:H168"/>
    <mergeCell ref="C189:F189"/>
    <mergeCell ref="C190:F190"/>
    <mergeCell ref="H175:H179"/>
    <mergeCell ref="A146:A151"/>
    <mergeCell ref="A169:A174"/>
    <mergeCell ref="H194:I194"/>
    <mergeCell ref="I139:I145"/>
    <mergeCell ref="I146:I151"/>
    <mergeCell ref="I152:I155"/>
    <mergeCell ref="I156:I159"/>
    <mergeCell ref="I160:I164"/>
    <mergeCell ref="I165:I168"/>
    <mergeCell ref="I169:I174"/>
    <mergeCell ref="I175:I179"/>
    <mergeCell ref="A1:B1"/>
    <mergeCell ref="A59:A65"/>
    <mergeCell ref="B59:B65"/>
    <mergeCell ref="H59:H65"/>
    <mergeCell ref="A3:A9"/>
    <mergeCell ref="A91:A93"/>
    <mergeCell ref="A114:A119"/>
    <mergeCell ref="A165:A168"/>
    <mergeCell ref="B71:B75"/>
    <mergeCell ref="A111:A113"/>
    <mergeCell ref="B16:B23"/>
    <mergeCell ref="B54:B58"/>
    <mergeCell ref="H16:H23"/>
    <mergeCell ref="A105:A110"/>
    <mergeCell ref="A45:A48"/>
    <mergeCell ref="A10:A15"/>
    <mergeCell ref="A54:A58"/>
    <mergeCell ref="H86:H90"/>
    <mergeCell ref="H160:H164"/>
    <mergeCell ref="H156:H159"/>
    <mergeCell ref="H120:H126"/>
    <mergeCell ref="B146:B151"/>
    <mergeCell ref="A71:A75"/>
    <mergeCell ref="A16:A23"/>
  </mergeCells>
  <phoneticPr fontId="2" type="noConversion"/>
  <pageMargins left="0.75" right="0.75" top="1" bottom="1" header="0.5" footer="0.5"/>
  <pageSetup orientation="portrait" r:id="rId2"/>
  <headerFooter alignWithMargins="0"/>
  <ignoredErrors>
    <ignoredError sqref="G192 G86 G91 D76 G77" formulaRange="1"/>
  </ignoredErrors>
</worksheet>
</file>

<file path=xl/worksheets/sheet26.xml><?xml version="1.0" encoding="utf-8"?>
<worksheet xmlns="http://schemas.openxmlformats.org/spreadsheetml/2006/main" xmlns:r="http://schemas.openxmlformats.org/officeDocument/2006/relationships">
  <sheetPr codeName="Sheet35" enableFormatConditionsCalculation="0">
    <tabColor indexed="53"/>
  </sheetPr>
  <dimension ref="A1:J97"/>
  <sheetViews>
    <sheetView zoomScaleNormal="100" workbookViewId="0">
      <selection activeCell="C13" sqref="C13"/>
    </sheetView>
  </sheetViews>
  <sheetFormatPr defaultColWidth="9.33203125" defaultRowHeight="13.8"/>
  <cols>
    <col min="1" max="1" width="5.77734375" style="7" customWidth="1"/>
    <col min="2" max="2" width="19.33203125" style="33" customWidth="1"/>
    <col min="3" max="3" width="112.77734375" style="7" customWidth="1"/>
    <col min="4" max="6" width="6.77734375" style="647" customWidth="1"/>
    <col min="7" max="7" width="9.77734375" style="648" customWidth="1"/>
    <col min="8" max="8" width="25.77734375" style="7" customWidth="1"/>
    <col min="9" max="9" width="12.77734375" style="7" customWidth="1"/>
    <col min="10" max="10" width="9.33203125" style="138"/>
    <col min="11" max="16384" width="9.33203125" style="7"/>
  </cols>
  <sheetData>
    <row r="1" spans="1:9" ht="48" customHeight="1" thickBot="1">
      <c r="A1" s="2470" t="s">
        <v>1771</v>
      </c>
      <c r="B1" s="2976"/>
      <c r="C1" s="125" t="s">
        <v>1250</v>
      </c>
      <c r="D1" s="152" t="s">
        <v>1249</v>
      </c>
      <c r="E1" s="2992"/>
      <c r="F1" s="2993"/>
      <c r="G1" s="2993"/>
      <c r="H1" s="2993"/>
      <c r="I1" s="2993"/>
    </row>
    <row r="2" spans="1:9" s="138" customFormat="1" ht="36" customHeight="1" thickBot="1">
      <c r="A2" s="1891" t="s">
        <v>168</v>
      </c>
      <c r="B2" s="1886" t="s">
        <v>1908</v>
      </c>
      <c r="C2" s="1887" t="s">
        <v>1354</v>
      </c>
      <c r="D2" s="1888" t="s">
        <v>64</v>
      </c>
      <c r="E2" s="1889" t="s">
        <v>1351</v>
      </c>
      <c r="F2" s="1888" t="s">
        <v>1353</v>
      </c>
      <c r="G2" s="1886" t="s">
        <v>105</v>
      </c>
      <c r="H2" s="2990" t="s">
        <v>2622</v>
      </c>
      <c r="I2" s="2991"/>
    </row>
    <row r="3" spans="1:9" ht="21" customHeight="1" thickBot="1">
      <c r="A3" s="2181" t="str">
        <f>OF!A45</f>
        <v>OF9</v>
      </c>
      <c r="B3" s="2212" t="str">
        <f>OF!B45</f>
        <v>Distance by Road to Nearest Population Center</v>
      </c>
      <c r="C3" s="439" t="str">
        <f>OF!C45</f>
        <v>Measured along the maintained road nearest the AA, the distance to the nearest population center is:</v>
      </c>
      <c r="D3" s="365"/>
      <c r="E3" s="365"/>
      <c r="F3" s="366"/>
      <c r="G3" s="1018">
        <f>MAX(F4:F8)/MAX(E4:E8)</f>
        <v>0</v>
      </c>
      <c r="H3" s="2181" t="s">
        <v>654</v>
      </c>
      <c r="I3" s="2383"/>
    </row>
    <row r="4" spans="1:9" ht="15" customHeight="1">
      <c r="A4" s="2180"/>
      <c r="B4" s="2213"/>
      <c r="C4" s="440" t="str">
        <f>OF!C46</f>
        <v>&lt;100 m</v>
      </c>
      <c r="D4" s="255">
        <f>OF!D46</f>
        <v>0</v>
      </c>
      <c r="E4" s="361">
        <v>5</v>
      </c>
      <c r="F4" s="361">
        <f>D4*E4</f>
        <v>0</v>
      </c>
      <c r="G4" s="763"/>
      <c r="H4" s="2180"/>
      <c r="I4" s="2490"/>
    </row>
    <row r="5" spans="1:9" ht="15" customHeight="1">
      <c r="A5" s="2180"/>
      <c r="B5" s="2213"/>
      <c r="C5" s="714" t="str">
        <f>OF!C47</f>
        <v>100 - 500 m</v>
      </c>
      <c r="D5" s="78">
        <f>OF!D47</f>
        <v>0</v>
      </c>
      <c r="E5" s="361">
        <v>3</v>
      </c>
      <c r="F5" s="361">
        <f>D5*E5</f>
        <v>0</v>
      </c>
      <c r="G5" s="764"/>
      <c r="H5" s="2180"/>
      <c r="I5" s="2490"/>
    </row>
    <row r="6" spans="1:9" ht="15" customHeight="1">
      <c r="A6" s="2180"/>
      <c r="B6" s="2213"/>
      <c r="C6" s="714" t="str">
        <f>OF!C48</f>
        <v>0.5- 1 km</v>
      </c>
      <c r="D6" s="78">
        <f>OF!D48</f>
        <v>0</v>
      </c>
      <c r="E6" s="361">
        <v>2</v>
      </c>
      <c r="F6" s="361">
        <f>D6*E6</f>
        <v>0</v>
      </c>
      <c r="G6" s="764"/>
      <c r="H6" s="2180"/>
      <c r="I6" s="2490"/>
    </row>
    <row r="7" spans="1:9" ht="15" customHeight="1">
      <c r="A7" s="2180"/>
      <c r="B7" s="2213"/>
      <c r="C7" s="714" t="str">
        <f>OF!C49</f>
        <v>1 - 5 km</v>
      </c>
      <c r="D7" s="78">
        <f>OF!D49</f>
        <v>0</v>
      </c>
      <c r="E7" s="361">
        <v>1</v>
      </c>
      <c r="F7" s="361">
        <f>D7*E7</f>
        <v>0</v>
      </c>
      <c r="G7" s="764"/>
      <c r="H7" s="2180"/>
      <c r="I7" s="2490"/>
    </row>
    <row r="8" spans="1:9" ht="15" customHeight="1" thickBot="1">
      <c r="A8" s="2187"/>
      <c r="B8" s="2377"/>
      <c r="C8" s="441" t="str">
        <f>OF!C50</f>
        <v>&gt;5 km</v>
      </c>
      <c r="D8" s="193">
        <f>OF!D50</f>
        <v>0</v>
      </c>
      <c r="E8" s="362">
        <v>0</v>
      </c>
      <c r="F8" s="362">
        <f>D8*E8</f>
        <v>0</v>
      </c>
      <c r="G8" s="765"/>
      <c r="H8" s="2187"/>
      <c r="I8" s="2540"/>
    </row>
    <row r="9" spans="1:9" ht="21" customHeight="1" thickBot="1">
      <c r="A9" s="2182" t="str">
        <f>OF!A51</f>
        <v>OF10</v>
      </c>
      <c r="B9" s="2212" t="str">
        <f>OF!B51</f>
        <v>Distance to Nearest Maintained Road</v>
      </c>
      <c r="C9" s="439" t="str">
        <f>OF!C51</f>
        <v>From the center of the AA, the distance to the nearest maintained public road (dirt or paved) is:</v>
      </c>
      <c r="D9" s="365"/>
      <c r="E9" s="365"/>
      <c r="F9" s="366"/>
      <c r="G9" s="1018">
        <f>MAX(F10:F15)/MAX(E10:E15)</f>
        <v>0</v>
      </c>
      <c r="H9" s="2181" t="s">
        <v>660</v>
      </c>
      <c r="I9" s="2383"/>
    </row>
    <row r="10" spans="1:9" ht="15" customHeight="1">
      <c r="A10" s="2183"/>
      <c r="B10" s="2213"/>
      <c r="C10" s="440" t="str">
        <f>OF!C52</f>
        <v>&lt;10 m</v>
      </c>
      <c r="D10" s="255">
        <f>OF!D52</f>
        <v>0</v>
      </c>
      <c r="E10" s="361">
        <v>5</v>
      </c>
      <c r="F10" s="361">
        <f t="shared" ref="F10:F15" si="0">D10*E10</f>
        <v>0</v>
      </c>
      <c r="G10" s="763"/>
      <c r="H10" s="2180"/>
      <c r="I10" s="2490"/>
    </row>
    <row r="11" spans="1:9" ht="15" customHeight="1">
      <c r="A11" s="2183"/>
      <c r="B11" s="2213"/>
      <c r="C11" s="714" t="str">
        <f>OF!C53</f>
        <v>10 - 25 m</v>
      </c>
      <c r="D11" s="78">
        <f>OF!D53</f>
        <v>0</v>
      </c>
      <c r="E11" s="361">
        <v>4</v>
      </c>
      <c r="F11" s="361">
        <f t="shared" si="0"/>
        <v>0</v>
      </c>
      <c r="G11" s="764"/>
      <c r="H11" s="2180"/>
      <c r="I11" s="2490"/>
    </row>
    <row r="12" spans="1:9" ht="15" customHeight="1">
      <c r="A12" s="2183"/>
      <c r="B12" s="2213"/>
      <c r="C12" s="714" t="str">
        <f>OF!C54</f>
        <v>25 - 50 m</v>
      </c>
      <c r="D12" s="78">
        <f>OF!D54</f>
        <v>0</v>
      </c>
      <c r="E12" s="361">
        <v>2</v>
      </c>
      <c r="F12" s="361">
        <f t="shared" si="0"/>
        <v>0</v>
      </c>
      <c r="G12" s="764"/>
      <c r="H12" s="2180"/>
      <c r="I12" s="2490"/>
    </row>
    <row r="13" spans="1:9" ht="15" customHeight="1">
      <c r="A13" s="2183"/>
      <c r="B13" s="2213"/>
      <c r="C13" s="714" t="str">
        <f>OF!C55</f>
        <v>50 - 100 m</v>
      </c>
      <c r="D13" s="78">
        <f>OF!D55</f>
        <v>0</v>
      </c>
      <c r="E13" s="361">
        <v>1</v>
      </c>
      <c r="F13" s="361">
        <f t="shared" si="0"/>
        <v>0</v>
      </c>
      <c r="G13" s="764"/>
      <c r="H13" s="2180"/>
      <c r="I13" s="2490"/>
    </row>
    <row r="14" spans="1:9" ht="15" customHeight="1">
      <c r="A14" s="2183"/>
      <c r="B14" s="2213"/>
      <c r="C14" s="714" t="str">
        <f>OF!C56</f>
        <v>100 - 500 m</v>
      </c>
      <c r="D14" s="78">
        <f>OF!D56</f>
        <v>0</v>
      </c>
      <c r="E14" s="361">
        <v>1</v>
      </c>
      <c r="F14" s="361">
        <f t="shared" si="0"/>
        <v>0</v>
      </c>
      <c r="G14" s="764"/>
      <c r="H14" s="2180"/>
      <c r="I14" s="2490"/>
    </row>
    <row r="15" spans="1:9" ht="15" customHeight="1" thickBot="1">
      <c r="A15" s="2184"/>
      <c r="B15" s="2377"/>
      <c r="C15" s="441" t="str">
        <f>OF!C57</f>
        <v>&gt;500 m</v>
      </c>
      <c r="D15" s="193">
        <f>OF!D57</f>
        <v>0</v>
      </c>
      <c r="E15" s="362">
        <v>0</v>
      </c>
      <c r="F15" s="390">
        <f t="shared" si="0"/>
        <v>0</v>
      </c>
      <c r="G15" s="765"/>
      <c r="H15" s="2187"/>
      <c r="I15" s="2540"/>
    </row>
    <row r="16" spans="1:9" ht="45" customHeight="1" thickBot="1">
      <c r="A16" s="339" t="str">
        <f>OF!A58</f>
        <v>OF11</v>
      </c>
      <c r="B16" s="243" t="str">
        <f>OF!B58</f>
        <v>Wildlife Access</v>
      </c>
      <c r="C16" s="628" t="str">
        <f>OF!C58</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if there are no other wetlands within 5 km.</v>
      </c>
      <c r="D16" s="244">
        <f>IF((OF!D58=""),"",OF!D58)</f>
        <v>0</v>
      </c>
      <c r="E16" s="384"/>
      <c r="F16" s="373"/>
      <c r="G16" s="1018">
        <f>IF((D16=""),"",1-D16)</f>
        <v>1</v>
      </c>
      <c r="H16" s="2985" t="s">
        <v>659</v>
      </c>
      <c r="I16" s="2986"/>
    </row>
    <row r="17" spans="1:9" ht="30" customHeight="1" thickBot="1">
      <c r="A17" s="2180" t="str">
        <f>OF!A95</f>
        <v>OF21</v>
      </c>
      <c r="B17" s="2213" t="str">
        <f>OF!B95</f>
        <v xml:space="preserve">Degraded Water Upstream </v>
      </c>
      <c r="C17" s="448" t="str">
        <f>OF!C95</f>
        <v xml:space="preserve">Sampling indicates a problem with concentrations of metals, hydrocarbons, nutrients, or other substances (excluding bacteria, high temperatures) being present at levels harmful to aquatic life or humans, and:  </v>
      </c>
      <c r="D17" s="360"/>
      <c r="E17" s="360"/>
      <c r="F17" s="363"/>
      <c r="G17" s="1020">
        <f>IF((D21=1),"", IF((D18=1),1, IF((D19=1), 0.5,0)))</f>
        <v>0</v>
      </c>
      <c r="H17" s="2181" t="s">
        <v>662</v>
      </c>
      <c r="I17" s="2383"/>
    </row>
    <row r="18" spans="1:9" ht="15" customHeight="1">
      <c r="A18" s="2180"/>
      <c r="B18" s="2213"/>
      <c r="C18" s="740" t="str">
        <f>OF!C96</f>
        <v>The condition is present within the AA.</v>
      </c>
      <c r="D18" s="302">
        <f>OF!D96</f>
        <v>0</v>
      </c>
      <c r="E18" s="361"/>
      <c r="F18" s="386"/>
      <c r="G18" s="763"/>
      <c r="H18" s="2180"/>
      <c r="I18" s="2490"/>
    </row>
    <row r="19" spans="1:9" ht="15" customHeight="1">
      <c r="A19" s="2180"/>
      <c r="B19" s="2213"/>
      <c r="C19" s="440" t="str">
        <f>OF!C97</f>
        <v>The condition is present in waters within 1 km that flow into the AA, but has not been documented in the AA itself.</v>
      </c>
      <c r="D19" s="255">
        <f>OF!D97</f>
        <v>0</v>
      </c>
      <c r="E19" s="361"/>
      <c r="F19" s="386"/>
      <c r="G19" s="764"/>
      <c r="H19" s="2180"/>
      <c r="I19" s="2490"/>
    </row>
    <row r="20" spans="1:9" ht="15" customHeight="1">
      <c r="A20" s="2180"/>
      <c r="B20" s="2213"/>
      <c r="C20" s="440" t="str">
        <f>OF!C98</f>
        <v>Sampling during both low water periods and times with high runoff (storms, snowmelt) indicates no problems in either the AA or inflowing waters.</v>
      </c>
      <c r="D20" s="255">
        <f>OF!D98</f>
        <v>0</v>
      </c>
      <c r="E20" s="361"/>
      <c r="F20" s="386"/>
      <c r="G20" s="764"/>
      <c r="H20" s="2180"/>
      <c r="I20" s="2490"/>
    </row>
    <row r="21" spans="1:9" ht="15" customHeight="1" thickBot="1">
      <c r="A21" s="2180"/>
      <c r="B21" s="2213"/>
      <c r="C21" s="490" t="str">
        <f>OF!C99</f>
        <v>Data are insufficient (no or inadequate sampling within 1 km, or condition exists only at &gt;1 km upstream). This is the situation for nearly all NB wetlands.</v>
      </c>
      <c r="D21" s="654">
        <f>OF!D99</f>
        <v>0</v>
      </c>
      <c r="E21" s="364"/>
      <c r="F21" s="388"/>
      <c r="G21" s="1021"/>
      <c r="H21" s="2187"/>
      <c r="I21" s="2540"/>
    </row>
    <row r="22" spans="1:9" ht="30" customHeight="1" thickBot="1">
      <c r="A22" s="2182" t="str">
        <f>F!A108</f>
        <v>F21</v>
      </c>
      <c r="B22" s="2212" t="str">
        <f>F!B108</f>
        <v>Exotic Cover Along Upland Edge</v>
      </c>
      <c r="C22" s="439" t="str">
        <f>F!C108</f>
        <v>Along the wetland-upland boundary, the percent of the upland edge (within 3 m upslope from the wetland) that is occupied by exotic plant species is:</v>
      </c>
      <c r="D22" s="365"/>
      <c r="E22" s="365"/>
      <c r="F22" s="366"/>
      <c r="G22" s="1018">
        <f>MAX(F23:F26)/MAX(E23:E26)</f>
        <v>0</v>
      </c>
      <c r="H22" s="2150" t="s">
        <v>655</v>
      </c>
      <c r="I22" s="2491"/>
    </row>
    <row r="23" spans="1:9" ht="15" customHeight="1">
      <c r="A23" s="2183"/>
      <c r="B23" s="2213"/>
      <c r="C23" s="440" t="str">
        <f>F!C109</f>
        <v>none of the upland edge (exotics apparently absent), or AA has no upland edge.</v>
      </c>
      <c r="D23" s="255">
        <f>F!D109</f>
        <v>0</v>
      </c>
      <c r="E23" s="361">
        <v>3</v>
      </c>
      <c r="F23" s="361">
        <f>D23*E23</f>
        <v>0</v>
      </c>
      <c r="G23" s="1022"/>
      <c r="H23" s="2151"/>
      <c r="I23" s="2492"/>
    </row>
    <row r="24" spans="1:9" ht="15" customHeight="1">
      <c r="A24" s="2183"/>
      <c r="B24" s="2213"/>
      <c r="C24" s="714" t="str">
        <f>F!C110</f>
        <v>some (but &lt;5%) of the upland edge.</v>
      </c>
      <c r="D24" s="78">
        <f>F!D110</f>
        <v>0</v>
      </c>
      <c r="E24" s="361">
        <v>2</v>
      </c>
      <c r="F24" s="361">
        <f>D24*E24</f>
        <v>0</v>
      </c>
      <c r="G24" s="1023"/>
      <c r="H24" s="2151"/>
      <c r="I24" s="2492"/>
    </row>
    <row r="25" spans="1:9" ht="15" customHeight="1">
      <c r="A25" s="2183"/>
      <c r="B25" s="2213"/>
      <c r="C25" s="714" t="str">
        <f>F!C111</f>
        <v>5-50% of the upland edge.</v>
      </c>
      <c r="D25" s="78">
        <f>F!D111</f>
        <v>0</v>
      </c>
      <c r="E25" s="361">
        <v>1</v>
      </c>
      <c r="F25" s="361">
        <f>D25*E25</f>
        <v>0</v>
      </c>
      <c r="G25" s="1023"/>
      <c r="H25" s="2151"/>
      <c r="I25" s="2492"/>
    </row>
    <row r="26" spans="1:9" ht="15" customHeight="1" thickBot="1">
      <c r="A26" s="2184"/>
      <c r="B26" s="2377"/>
      <c r="C26" s="441" t="str">
        <f>F!C112</f>
        <v>most (&gt;50%) of the upland edge.</v>
      </c>
      <c r="D26" s="193">
        <f>F!D112</f>
        <v>0</v>
      </c>
      <c r="E26" s="362">
        <v>0</v>
      </c>
      <c r="F26" s="362">
        <f>D26*E26</f>
        <v>0</v>
      </c>
      <c r="G26" s="1024"/>
      <c r="H26" s="2152"/>
      <c r="I26" s="2493"/>
    </row>
    <row r="27" spans="1:9" ht="30" customHeight="1" thickBot="1">
      <c r="A27" s="2181" t="str">
        <f>OF!A110</f>
        <v>OF24</v>
      </c>
      <c r="B27" s="2212" t="str">
        <f>OF!B110</f>
        <v>Unvegetated Surface in the Contributing Area</v>
      </c>
      <c r="C27" s="439" t="str">
        <f>OF!C110</f>
        <v>The proportion of the AA's contributing area (measured to no more than 1000 m upslope) that is comprised of buildings, roads, parking lots, other pavement, exposed bedrock, landslides, and other mostly-bare surface is about :</v>
      </c>
      <c r="D27" s="365"/>
      <c r="E27" s="365"/>
      <c r="F27" s="366"/>
      <c r="G27" s="1018">
        <f>MAX(F28:F30)/MAX(E28:E30)</f>
        <v>0</v>
      </c>
      <c r="H27" s="2181" t="s">
        <v>661</v>
      </c>
      <c r="I27" s="2383"/>
    </row>
    <row r="28" spans="1:9" ht="15" customHeight="1">
      <c r="A28" s="2180"/>
      <c r="B28" s="2213"/>
      <c r="C28" s="440" t="str">
        <f>OF!C111</f>
        <v>&lt;10%</v>
      </c>
      <c r="D28" s="255">
        <f>OF!D111</f>
        <v>0</v>
      </c>
      <c r="E28" s="361">
        <v>0</v>
      </c>
      <c r="F28" s="386">
        <f>D28*E28</f>
        <v>0</v>
      </c>
      <c r="G28" s="763"/>
      <c r="H28" s="2180"/>
      <c r="I28" s="2490"/>
    </row>
    <row r="29" spans="1:9" ht="15" customHeight="1">
      <c r="A29" s="2180"/>
      <c r="B29" s="2213"/>
      <c r="C29" s="440" t="str">
        <f>OF!C112</f>
        <v>10 to 25%</v>
      </c>
      <c r="D29" s="255">
        <f>OF!D112</f>
        <v>0</v>
      </c>
      <c r="E29" s="361">
        <v>2</v>
      </c>
      <c r="F29" s="386">
        <f>D29*E29</f>
        <v>0</v>
      </c>
      <c r="G29" s="764"/>
      <c r="H29" s="2180"/>
      <c r="I29" s="2490"/>
    </row>
    <row r="30" spans="1:9" ht="15" customHeight="1" thickBot="1">
      <c r="A30" s="2187"/>
      <c r="B30" s="2377"/>
      <c r="C30" s="627" t="str">
        <f>OF!C113</f>
        <v>&gt;25%</v>
      </c>
      <c r="D30" s="655">
        <f>OF!D113</f>
        <v>0</v>
      </c>
      <c r="E30" s="362">
        <v>3</v>
      </c>
      <c r="F30" s="390">
        <f>D30*E30</f>
        <v>0</v>
      </c>
      <c r="G30" s="765"/>
      <c r="H30" s="2187"/>
      <c r="I30" s="2540"/>
    </row>
    <row r="31" spans="1:9" ht="21" customHeight="1" thickBot="1">
      <c r="A31" s="2421" t="str">
        <f>F!A206</f>
        <v>F43</v>
      </c>
      <c r="B31" s="2523" t="str">
        <f>F!B206</f>
        <v xml:space="preserve">Outflow Confinement </v>
      </c>
      <c r="C31" s="708" t="str">
        <f>F!C206</f>
        <v>During major runoff events, in the places where surface water exits the AA or connected waters nearby, the water:</v>
      </c>
      <c r="D31" s="365"/>
      <c r="E31" s="365"/>
      <c r="F31" s="365"/>
      <c r="G31" s="1018">
        <f>IF((OutNone + OutNone1&gt;0),"",MAX(F32:F34)/MAX(E32:E34))</f>
        <v>0</v>
      </c>
      <c r="H31" s="2181" t="s">
        <v>1223</v>
      </c>
      <c r="I31" s="2383"/>
    </row>
    <row r="32" spans="1:9" ht="27" customHeight="1">
      <c r="A32" s="2422"/>
      <c r="B32" s="2524"/>
      <c r="C32" s="726" t="str">
        <f>F!C207</f>
        <v>mostly passes through a pipe, culvert, narrowly breached dike, berm, beaver dam, or other partial obstruction (other than natural topography) that does not appear to drain the wetland artificially during most of the growing season.</v>
      </c>
      <c r="D32" s="299">
        <f>F!D207</f>
        <v>0</v>
      </c>
      <c r="E32" s="361">
        <v>1</v>
      </c>
      <c r="F32" s="386">
        <f>D32*E32</f>
        <v>0</v>
      </c>
      <c r="G32" s="764"/>
      <c r="H32" s="2180"/>
      <c r="I32" s="2490"/>
    </row>
    <row r="33" spans="1:9" ht="15" customHeight="1">
      <c r="A33" s="2422"/>
      <c r="B33" s="2524"/>
      <c r="C33" s="727" t="str">
        <f>F!C208</f>
        <v>leaves through natural exits (channels or diffuse outflow), not mainly through artificial or temporary features.</v>
      </c>
      <c r="D33" s="300">
        <f>F!D208</f>
        <v>0</v>
      </c>
      <c r="E33" s="361">
        <v>0</v>
      </c>
      <c r="F33" s="386">
        <f>D33*E33</f>
        <v>0</v>
      </c>
      <c r="G33" s="764"/>
      <c r="H33" s="2180"/>
      <c r="I33" s="2490"/>
    </row>
    <row r="34" spans="1:9" ht="27" customHeight="1" thickBot="1">
      <c r="A34" s="2423"/>
      <c r="B34" s="2525"/>
      <c r="C34" s="1028" t="str">
        <f>F!C209</f>
        <v>exported more quickly than usual due to ditches or pipes within the AA (or connected to its outlet or within 10 m of the AA's edge) which drain the wetland artificially, or water is pumped out of the AA.</v>
      </c>
      <c r="D34" s="326">
        <f>F!D209</f>
        <v>0</v>
      </c>
      <c r="E34" s="362">
        <v>2</v>
      </c>
      <c r="F34" s="390">
        <f>D34*E34</f>
        <v>0</v>
      </c>
      <c r="G34" s="765"/>
      <c r="H34" s="2187"/>
      <c r="I34" s="2540"/>
    </row>
    <row r="35" spans="1:9" ht="30" customHeight="1" thickBot="1">
      <c r="A35" s="2213" t="str">
        <f>F!A240</f>
        <v>F52</v>
      </c>
      <c r="B35" s="2213" t="str">
        <f>F!B240</f>
        <v>Vegetated Buffer as % of Perimeter</v>
      </c>
      <c r="C35" s="448" t="str">
        <f>F!C240</f>
        <v>Along the wetland-upland edge and extending 30 m laterally upslope, the percentage of the upland that contains vegetation cover (except lawns, row crops, heavily grazed land, conifer plantations) is:</v>
      </c>
      <c r="D35" s="365"/>
      <c r="E35" s="360"/>
      <c r="F35" s="363"/>
      <c r="G35" s="1020">
        <f>MAX(F36:F40)/MAX(E36:E40)</f>
        <v>0</v>
      </c>
      <c r="H35" s="2181" t="s">
        <v>656</v>
      </c>
      <c r="I35" s="2383"/>
    </row>
    <row r="36" spans="1:9" ht="15" customHeight="1">
      <c r="A36" s="2213"/>
      <c r="B36" s="2213"/>
      <c r="C36" s="1660" t="str">
        <f>F!C241</f>
        <v xml:space="preserve">&lt;5% </v>
      </c>
      <c r="D36" s="78">
        <f>F!D241</f>
        <v>0</v>
      </c>
      <c r="E36" s="377">
        <v>4</v>
      </c>
      <c r="F36" s="361">
        <f>D36*E36</f>
        <v>0</v>
      </c>
      <c r="G36" s="1022"/>
      <c r="H36" s="2180"/>
      <c r="I36" s="2490"/>
    </row>
    <row r="37" spans="1:9" ht="15" customHeight="1">
      <c r="A37" s="2213"/>
      <c r="B37" s="2213"/>
      <c r="C37" s="1470" t="str">
        <f>F!C242</f>
        <v>5 to 30%</v>
      </c>
      <c r="D37" s="654">
        <f>F!D242</f>
        <v>0</v>
      </c>
      <c r="E37" s="377">
        <v>3</v>
      </c>
      <c r="F37" s="361">
        <f>D37*E37</f>
        <v>0</v>
      </c>
      <c r="G37" s="1023"/>
      <c r="H37" s="2180"/>
      <c r="I37" s="2490"/>
    </row>
    <row r="38" spans="1:9" ht="15" customHeight="1">
      <c r="A38" s="2213"/>
      <c r="B38" s="2213"/>
      <c r="C38" s="1470" t="str">
        <f>F!C243</f>
        <v>30 to 60%</v>
      </c>
      <c r="D38" s="78">
        <f>F!D243</f>
        <v>0</v>
      </c>
      <c r="E38" s="377">
        <v>2</v>
      </c>
      <c r="F38" s="361">
        <f>D38*E38</f>
        <v>0</v>
      </c>
      <c r="G38" s="1023"/>
      <c r="H38" s="2180"/>
      <c r="I38" s="2490"/>
    </row>
    <row r="39" spans="1:9" ht="15" customHeight="1">
      <c r="A39" s="2213"/>
      <c r="B39" s="2213"/>
      <c r="C39" s="1470" t="str">
        <f>F!C244</f>
        <v>60 to 90%</v>
      </c>
      <c r="D39" s="654">
        <f>F!D244</f>
        <v>0</v>
      </c>
      <c r="E39" s="377">
        <v>1</v>
      </c>
      <c r="F39" s="361">
        <f>D39*E39</f>
        <v>0</v>
      </c>
      <c r="G39" s="1023"/>
      <c r="H39" s="2180"/>
      <c r="I39" s="2490"/>
    </row>
    <row r="40" spans="1:9" ht="15" customHeight="1" thickBot="1">
      <c r="A40" s="2213"/>
      <c r="B40" s="2213"/>
      <c r="C40" s="1184" t="str">
        <f>F!C245</f>
        <v>&gt;90%, or all the area within 30 m of the AA edge is other wetlands. SKIP to F55.</v>
      </c>
      <c r="D40" s="193">
        <f>F!D245</f>
        <v>0</v>
      </c>
      <c r="E40" s="530">
        <v>0</v>
      </c>
      <c r="F40" s="364">
        <f>D40*E40</f>
        <v>0</v>
      </c>
      <c r="G40" s="1025"/>
      <c r="H40" s="2187"/>
      <c r="I40" s="2540"/>
    </row>
    <row r="41" spans="1:9" ht="21" customHeight="1" thickBot="1">
      <c r="A41" s="2212" t="str">
        <f>F!A246</f>
        <v>F53</v>
      </c>
      <c r="B41" s="2212" t="str">
        <f>F!B246</f>
        <v>Type of Cover in Buffer</v>
      </c>
      <c r="C41" s="448" t="str">
        <f>F!C246</f>
        <v>Within 30 m upslope of where the wetland transitions to upland, the upland land cover that is NOT natural is mostly (mark ONE):</v>
      </c>
      <c r="D41" s="365"/>
      <c r="E41" s="365"/>
      <c r="F41" s="366"/>
      <c r="G41" s="1018">
        <f>IF((BuffAllNat=1),"", MAX(F42:F43)/MAX(E42:E43))</f>
        <v>0</v>
      </c>
      <c r="H41" s="2181" t="s">
        <v>1160</v>
      </c>
      <c r="I41" s="2383"/>
    </row>
    <row r="42" spans="1:9" ht="15" customHeight="1">
      <c r="A42" s="2213"/>
      <c r="B42" s="2213"/>
      <c r="C42" s="1660" t="str">
        <f>F!C247</f>
        <v>impervious surface, e.g., paved road, parking lot, building, exposed rock.</v>
      </c>
      <c r="D42" s="78">
        <f>F!D247</f>
        <v>0</v>
      </c>
      <c r="E42" s="377">
        <v>2</v>
      </c>
      <c r="F42" s="361">
        <f>D42*E42</f>
        <v>0</v>
      </c>
      <c r="G42" s="763"/>
      <c r="H42" s="2180"/>
      <c r="I42" s="2490"/>
    </row>
    <row r="43" spans="1:9" ht="15" customHeight="1" thickBot="1">
      <c r="A43" s="2213"/>
      <c r="B43" s="2213"/>
      <c r="C43" s="1184" t="str">
        <f>F!C248</f>
        <v>bare or nearly bare pervious surface or managed vegetation, e.g., lawn, row crops, unpaved road, dike, landslide.</v>
      </c>
      <c r="D43" s="655">
        <f>F!D248</f>
        <v>0</v>
      </c>
      <c r="E43" s="530">
        <v>1</v>
      </c>
      <c r="F43" s="364">
        <f>D43*E43</f>
        <v>0</v>
      </c>
      <c r="G43" s="1021"/>
      <c r="H43" s="2187"/>
      <c r="I43" s="2540"/>
    </row>
    <row r="44" spans="1:9" ht="21" customHeight="1" thickBot="1">
      <c r="A44" s="2212" t="str">
        <f>F!A262</f>
        <v>F57</v>
      </c>
      <c r="B44" s="2212" t="str">
        <f>F!B262</f>
        <v>Burn History</v>
      </c>
      <c r="C44" s="1744" t="str">
        <f>F!C262</f>
        <v>More than 1% of the AA's previously vegetated area:</v>
      </c>
      <c r="D44" s="376"/>
      <c r="E44" s="365"/>
      <c r="F44" s="365"/>
      <c r="G44" s="1893">
        <f>MAX(F45:F48)/MAX(E45:E48)</f>
        <v>0</v>
      </c>
      <c r="H44" s="2150" t="s">
        <v>2102</v>
      </c>
      <c r="I44" s="2491"/>
    </row>
    <row r="45" spans="1:9" ht="15" customHeight="1">
      <c r="A45" s="2213"/>
      <c r="B45" s="2213"/>
      <c r="C45" s="445" t="str">
        <f>F!C263</f>
        <v>burned within past 5 years.</v>
      </c>
      <c r="D45" s="78">
        <f>F!D263</f>
        <v>0</v>
      </c>
      <c r="E45" s="361">
        <v>4</v>
      </c>
      <c r="F45" s="361">
        <f>D45*E45</f>
        <v>0</v>
      </c>
      <c r="G45" s="630"/>
      <c r="H45" s="2151"/>
      <c r="I45" s="2492"/>
    </row>
    <row r="46" spans="1:9" ht="15" customHeight="1">
      <c r="A46" s="2213"/>
      <c r="B46" s="2213"/>
      <c r="C46" s="446" t="str">
        <f>F!C264</f>
        <v>burned 6-10 years ago.</v>
      </c>
      <c r="D46" s="78">
        <f>F!D264</f>
        <v>0</v>
      </c>
      <c r="E46" s="361">
        <v>3</v>
      </c>
      <c r="F46" s="361">
        <f>D46*E46</f>
        <v>0</v>
      </c>
      <c r="G46" s="630"/>
      <c r="H46" s="2151"/>
      <c r="I46" s="2492"/>
    </row>
    <row r="47" spans="1:9" ht="15" customHeight="1">
      <c r="A47" s="2213"/>
      <c r="B47" s="2213"/>
      <c r="C47" s="446" t="str">
        <f>F!C265</f>
        <v>burned 11-30 years ago.</v>
      </c>
      <c r="D47" s="78">
        <f>F!D265</f>
        <v>0</v>
      </c>
      <c r="E47" s="361">
        <v>2</v>
      </c>
      <c r="F47" s="361">
        <f>D47*E47</f>
        <v>0</v>
      </c>
      <c r="G47" s="630"/>
      <c r="H47" s="2151"/>
      <c r="I47" s="2492"/>
    </row>
    <row r="48" spans="1:9" ht="15" customHeight="1" thickBot="1">
      <c r="A48" s="2377"/>
      <c r="B48" s="2377"/>
      <c r="C48" s="444" t="str">
        <f>F!C266</f>
        <v>burned &gt;30 years ago, or no evidence of a burn and no data.</v>
      </c>
      <c r="D48" s="193">
        <f>F!D266</f>
        <v>0</v>
      </c>
      <c r="E48" s="362">
        <v>0</v>
      </c>
      <c r="F48" s="362">
        <f>D48*E48</f>
        <v>0</v>
      </c>
      <c r="G48" s="631"/>
      <c r="H48" s="2152"/>
      <c r="I48" s="2493"/>
    </row>
    <row r="49" spans="1:9" ht="30" customHeight="1" thickBot="1">
      <c r="A49" s="2213" t="str">
        <f>F!A267</f>
        <v>F58</v>
      </c>
      <c r="B49" s="2180" t="str">
        <f>F!B267</f>
        <v>Visibility</v>
      </c>
      <c r="C49" s="123" t="str">
        <f>F!C267</f>
        <v>The maximum percentage of the wetland that is visible from the best vantage point on public roads, public parking lots, public buildings, or public maintained trails that intersect, adjoin, or are within 100 m of the AA (select one) is:</v>
      </c>
      <c r="D49" s="379"/>
      <c r="E49" s="360"/>
      <c r="F49" s="363"/>
      <c r="G49" s="1020">
        <f>MAX(F50:F52)/MAX(E50:E52)</f>
        <v>0</v>
      </c>
      <c r="H49" s="2181" t="s">
        <v>1159</v>
      </c>
      <c r="I49" s="2383"/>
    </row>
    <row r="50" spans="1:9" ht="15" customHeight="1">
      <c r="A50" s="2213"/>
      <c r="B50" s="2180"/>
      <c r="C50" s="1503" t="str">
        <f>F!C268</f>
        <v>&lt;25%</v>
      </c>
      <c r="D50" s="1890">
        <f>F!D268</f>
        <v>0</v>
      </c>
      <c r="E50" s="377">
        <v>0</v>
      </c>
      <c r="F50" s="361">
        <f>D50*E50</f>
        <v>0</v>
      </c>
      <c r="G50" s="763"/>
      <c r="H50" s="2180"/>
      <c r="I50" s="2490"/>
    </row>
    <row r="51" spans="1:9" ht="15" customHeight="1">
      <c r="A51" s="2213"/>
      <c r="B51" s="2180"/>
      <c r="C51" s="1454" t="str">
        <f>F!C269</f>
        <v>25-50%</v>
      </c>
      <c r="D51" s="650">
        <f>F!D269</f>
        <v>0</v>
      </c>
      <c r="E51" s="377">
        <v>1</v>
      </c>
      <c r="F51" s="361">
        <f>D51*E51</f>
        <v>0</v>
      </c>
      <c r="G51" s="1021"/>
      <c r="H51" s="2180"/>
      <c r="I51" s="2490"/>
    </row>
    <row r="52" spans="1:9" ht="15" customHeight="1" thickBot="1">
      <c r="A52" s="2213"/>
      <c r="B52" s="2180"/>
      <c r="C52" s="1184" t="str">
        <f>F!C270</f>
        <v>&gt;50%</v>
      </c>
      <c r="D52" s="1572">
        <f>F!D270</f>
        <v>0</v>
      </c>
      <c r="E52" s="530">
        <v>2</v>
      </c>
      <c r="F52" s="388">
        <f>D52*E52</f>
        <v>0</v>
      </c>
      <c r="G52" s="1021"/>
      <c r="H52" s="2187"/>
      <c r="I52" s="2540"/>
    </row>
    <row r="53" spans="1:9" ht="21" customHeight="1" thickBot="1">
      <c r="A53" s="2212" t="str">
        <f>F!A271</f>
        <v>F59</v>
      </c>
      <c r="B53" s="2212" t="str">
        <f>F!B271</f>
        <v xml:space="preserve">Ownership </v>
      </c>
      <c r="C53" s="448" t="str">
        <f>F!C271</f>
        <v>Most of the AA (the wetland's assessment area) is:</v>
      </c>
      <c r="D53" s="365"/>
      <c r="E53" s="365"/>
      <c r="F53" s="366"/>
      <c r="G53" s="1018">
        <f>MAX(F54:F57)/MAX(E54:E57)</f>
        <v>0</v>
      </c>
      <c r="H53" s="2181" t="s">
        <v>743</v>
      </c>
      <c r="I53" s="2383"/>
    </row>
    <row r="54" spans="1:9" ht="27" customHeight="1">
      <c r="A54" s="2213"/>
      <c r="B54" s="2213"/>
      <c r="C54" s="1892" t="str">
        <f>F!C272</f>
        <v>publicly owned conservation lands that exclude new timber harvest, roads, mineral extraction, and intensive summer recreation (e.g., off-road vehicles). Includes most Protected Lands.</v>
      </c>
      <c r="D54" s="78">
        <f>F!D272</f>
        <v>0</v>
      </c>
      <c r="E54" s="377">
        <v>0</v>
      </c>
      <c r="F54" s="361">
        <f>D54*E54</f>
        <v>0</v>
      </c>
      <c r="G54" s="763"/>
      <c r="H54" s="2180"/>
      <c r="I54" s="2490"/>
    </row>
    <row r="55" spans="1:9" ht="27" customHeight="1">
      <c r="A55" s="2213"/>
      <c r="B55" s="2213"/>
      <c r="C55" s="1077" t="str">
        <f>F!C273</f>
        <v>publicly owned resource use lands (allowed activities such as timber harvest, mining, or intensive recreation), or unknown. Includes most Crown Reservations/Notations.</v>
      </c>
      <c r="D55" s="78">
        <f>F!D273</f>
        <v>0</v>
      </c>
      <c r="E55" s="377">
        <v>2</v>
      </c>
      <c r="F55" s="361">
        <f>D55*E55</f>
        <v>0</v>
      </c>
      <c r="G55" s="763"/>
      <c r="H55" s="2180"/>
      <c r="I55" s="2490"/>
    </row>
    <row r="56" spans="1:9" ht="15" customHeight="1">
      <c r="A56" s="2213"/>
      <c r="B56" s="2213"/>
      <c r="C56" s="1077" t="str">
        <f>F!C274</f>
        <v>Owned by non-profit conservation organization, First Nations, or a private lease holder which allows public access.</v>
      </c>
      <c r="D56" s="78">
        <f>F!D274</f>
        <v>0</v>
      </c>
      <c r="E56" s="377">
        <v>1</v>
      </c>
      <c r="F56" s="361">
        <f>D56*E56</f>
        <v>0</v>
      </c>
      <c r="G56" s="763"/>
      <c r="H56" s="2180"/>
      <c r="I56" s="2490"/>
    </row>
    <row r="57" spans="1:9" ht="15" customHeight="1" thickBot="1">
      <c r="A57" s="2377"/>
      <c r="B57" s="2377"/>
      <c r="C57" s="1222" t="str">
        <f>F!C275</f>
        <v>Owned by non-profit conservation organization, First Nations, or a private lease holder which does NOT allow public access, or access status unknown.</v>
      </c>
      <c r="D57" s="193">
        <f>F!D275</f>
        <v>0</v>
      </c>
      <c r="E57" s="362">
        <v>2</v>
      </c>
      <c r="F57" s="362">
        <f>D57*E57</f>
        <v>0</v>
      </c>
      <c r="G57" s="765"/>
      <c r="H57" s="2187"/>
      <c r="I57" s="2540"/>
    </row>
    <row r="58" spans="1:9" ht="21" customHeight="1" thickBot="1">
      <c r="A58" s="2213" t="str">
        <f>F!A276</f>
        <v>F60</v>
      </c>
      <c r="B58" s="2213" t="str">
        <f>F!B276</f>
        <v xml:space="preserve">Non-consumptive Uses - Actual or Potential </v>
      </c>
      <c r="C58" s="448" t="str">
        <f>F!C276</f>
        <v>Assuming access permission was granted, select ALL statements that are true of the AA as it currently exists:</v>
      </c>
      <c r="D58" s="365"/>
      <c r="E58" s="360"/>
      <c r="F58" s="363"/>
      <c r="G58" s="1020">
        <f>SUM(F59:F62)/4</f>
        <v>0</v>
      </c>
      <c r="H58" s="2181" t="s">
        <v>1153</v>
      </c>
      <c r="I58" s="2383"/>
    </row>
    <row r="59" spans="1:9" ht="27" customHeight="1">
      <c r="A59" s="2213"/>
      <c r="B59" s="2213"/>
      <c r="C59" s="1503" t="str">
        <f>F!C277</f>
        <v>For an average person, walking is physically possible in (not just near) &gt;5% of the AA during most of the growing season, e.g., free of deep water and dense shrub thickets.</v>
      </c>
      <c r="D59" s="549">
        <f>F!D277</f>
        <v>0</v>
      </c>
      <c r="E59" s="377">
        <v>1</v>
      </c>
      <c r="F59" s="361">
        <f>D59*E59</f>
        <v>0</v>
      </c>
      <c r="G59" s="764"/>
      <c r="H59" s="2180"/>
      <c r="I59" s="2490"/>
    </row>
    <row r="60" spans="1:9" ht="15" customHeight="1">
      <c r="A60" s="2213"/>
      <c r="B60" s="2213"/>
      <c r="C60" s="1182" t="str">
        <f>F!C278</f>
        <v>Maintained roads, parking areas, or foot-trails are within 10 m of the AA, or the AA can be accessed part of the year by boats arriving via contiguous waters.</v>
      </c>
      <c r="D60" s="549">
        <f>F!D278</f>
        <v>0</v>
      </c>
      <c r="E60" s="377">
        <v>1</v>
      </c>
      <c r="F60" s="361">
        <f>D60*E60</f>
        <v>0</v>
      </c>
      <c r="G60" s="764"/>
      <c r="H60" s="2180"/>
      <c r="I60" s="2490"/>
    </row>
    <row r="61" spans="1:9" ht="15" customHeight="1">
      <c r="A61" s="2213"/>
      <c r="B61" s="2213"/>
      <c r="C61" s="1182" t="str">
        <f>F!C279</f>
        <v xml:space="preserve">Within or near the AA, there is an interpretive center, trails with interpretive signs or brochures, and/or regular guided interpretive tours. </v>
      </c>
      <c r="D61" s="78">
        <f>F!D279</f>
        <v>0</v>
      </c>
      <c r="E61" s="377">
        <v>1</v>
      </c>
      <c r="F61" s="361">
        <f>D61*E61</f>
        <v>0</v>
      </c>
      <c r="G61" s="764"/>
      <c r="H61" s="2180"/>
      <c r="I61" s="2490"/>
    </row>
    <row r="62" spans="1:9" ht="42" customHeight="1" thickBot="1">
      <c r="A62" s="2213"/>
      <c r="B62" s="2213"/>
      <c r="C62" s="1774"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62" s="193">
        <f>F!D280</f>
        <v>0</v>
      </c>
      <c r="E62" s="530">
        <v>1</v>
      </c>
      <c r="F62" s="364">
        <f>D62*E62</f>
        <v>0</v>
      </c>
      <c r="G62" s="1021"/>
      <c r="H62" s="2187"/>
      <c r="I62" s="2540"/>
    </row>
    <row r="63" spans="1:9" ht="45" customHeight="1" thickBot="1">
      <c r="A63" s="2212" t="str">
        <f>F!A280</f>
        <v>F61</v>
      </c>
      <c r="B63" s="2212" t="str">
        <f>F!B280</f>
        <v xml:space="preserve">Unvisited Core Area </v>
      </c>
      <c r="C63" s="439" t="str">
        <f>F!C280</f>
        <v>The percentage of the AA almost never visited by humans during an average growing season probably comprises: [Note: Do not include visitors on trails outside of the AA unless more than half the wetland is visible from the trails and they are within 30 m of the wetland edge. In that case include only the area occupied by the trail]</v>
      </c>
      <c r="D63" s="636"/>
      <c r="E63" s="365"/>
      <c r="F63" s="366"/>
      <c r="G63" s="1018">
        <f>MAX(F64:F69)/MAX(E64:E69)</f>
        <v>0</v>
      </c>
      <c r="H63" s="2181" t="s">
        <v>657</v>
      </c>
      <c r="I63" s="2383"/>
    </row>
    <row r="64" spans="1:9" ht="15" customHeight="1">
      <c r="A64" s="2213"/>
      <c r="B64" s="2213"/>
      <c r="C64" s="1660" t="str">
        <f>F!C281</f>
        <v>&lt;5% and no inhabited building is within 100 m of the AA.</v>
      </c>
      <c r="D64" s="78">
        <f>F!D281</f>
        <v>0</v>
      </c>
      <c r="E64" s="377">
        <v>5</v>
      </c>
      <c r="F64" s="361">
        <f t="shared" ref="F64:F69" si="1">D64*E64</f>
        <v>0</v>
      </c>
      <c r="G64" s="1022"/>
      <c r="H64" s="2180"/>
      <c r="I64" s="2490"/>
    </row>
    <row r="65" spans="1:9" ht="15" customHeight="1">
      <c r="A65" s="2213"/>
      <c r="B65" s="2213"/>
      <c r="C65" s="1470" t="str">
        <f>F!C282</f>
        <v>&lt;5% and inhabited building is within 100 m of the AA.</v>
      </c>
      <c r="D65" s="78">
        <f>F!D282</f>
        <v>0</v>
      </c>
      <c r="E65" s="377">
        <v>5</v>
      </c>
      <c r="F65" s="361">
        <f t="shared" si="1"/>
        <v>0</v>
      </c>
      <c r="G65" s="1023"/>
      <c r="H65" s="2180"/>
      <c r="I65" s="2490"/>
    </row>
    <row r="66" spans="1:9" ht="15" customHeight="1">
      <c r="A66" s="2213"/>
      <c r="B66" s="2213"/>
      <c r="C66" s="1470" t="str">
        <f>F!C283</f>
        <v>5-50% and no inhabited building is within 100 m of the AA.</v>
      </c>
      <c r="D66" s="78">
        <f>F!D283</f>
        <v>0</v>
      </c>
      <c r="E66" s="377">
        <v>3</v>
      </c>
      <c r="F66" s="361">
        <f t="shared" si="1"/>
        <v>0</v>
      </c>
      <c r="G66" s="1023"/>
      <c r="H66" s="2180"/>
      <c r="I66" s="2490"/>
    </row>
    <row r="67" spans="1:9" ht="15" customHeight="1">
      <c r="A67" s="2213"/>
      <c r="B67" s="2213"/>
      <c r="C67" s="1454" t="str">
        <f>F!C284</f>
        <v>5-50% and inhabited building is within 100 m of the AA.</v>
      </c>
      <c r="D67" s="255">
        <f>F!D284</f>
        <v>0</v>
      </c>
      <c r="E67" s="377">
        <v>2</v>
      </c>
      <c r="F67" s="361">
        <f t="shared" si="1"/>
        <v>0</v>
      </c>
      <c r="G67" s="1023"/>
      <c r="H67" s="2180"/>
      <c r="I67" s="2490"/>
    </row>
    <row r="68" spans="1:9" ht="15" customHeight="1">
      <c r="A68" s="2213"/>
      <c r="B68" s="2213"/>
      <c r="C68" s="1471" t="str">
        <f>F!C285</f>
        <v>50-95%</v>
      </c>
      <c r="D68" s="654">
        <f>F!D285</f>
        <v>0</v>
      </c>
      <c r="E68" s="377">
        <v>1</v>
      </c>
      <c r="F68" s="361">
        <f t="shared" si="1"/>
        <v>0</v>
      </c>
      <c r="G68" s="1023"/>
      <c r="H68" s="2180"/>
      <c r="I68" s="2490"/>
    </row>
    <row r="69" spans="1:9" ht="15" customHeight="1" thickBot="1">
      <c r="A69" s="2377"/>
      <c r="B69" s="2377"/>
      <c r="C69" s="1184" t="str">
        <f>F!C286</f>
        <v>&gt;95% of the AA</v>
      </c>
      <c r="D69" s="193">
        <f>F!D286</f>
        <v>0</v>
      </c>
      <c r="E69" s="378">
        <v>0</v>
      </c>
      <c r="F69" s="362">
        <f t="shared" si="1"/>
        <v>0</v>
      </c>
      <c r="G69" s="1024"/>
      <c r="H69" s="2187"/>
      <c r="I69" s="2540"/>
    </row>
    <row r="70" spans="1:9" ht="45" customHeight="1" thickBot="1">
      <c r="A70" s="2213" t="str">
        <f>F!A287</f>
        <v>F62</v>
      </c>
      <c r="B70" s="2213" t="str">
        <f>F!B287</f>
        <v>Frequently Visited Area</v>
      </c>
      <c r="C70" s="439" t="str">
        <f>F!C287</f>
        <v xml:space="preserve">The part of the AA visited by humans almost daily for several weeks during an average growing season probably comprises:  [Note: Do not include visitors on trails outside of the AA unless more than half the wetland is visible from the trails and they are within 30 m of the wetland edge. In that case include only the area occupied by the trail]. </v>
      </c>
      <c r="D70" s="1371"/>
      <c r="E70" s="360"/>
      <c r="F70" s="363"/>
      <c r="G70" s="1020">
        <f>MAX(F71:F74)/MAX(E71:E74)</f>
        <v>0</v>
      </c>
      <c r="H70" s="2181" t="s">
        <v>658</v>
      </c>
      <c r="I70" s="2383"/>
    </row>
    <row r="71" spans="1:9" ht="15" customHeight="1">
      <c r="A71" s="2213"/>
      <c r="B71" s="2213"/>
      <c r="C71" s="1660" t="str">
        <f>F!C288</f>
        <v>&lt;5%. If F61 was answered "&gt;95%" (mostly never visited), SKIP to F65.</v>
      </c>
      <c r="D71" s="654">
        <f>F!D288</f>
        <v>0</v>
      </c>
      <c r="E71" s="377">
        <v>0</v>
      </c>
      <c r="F71" s="361">
        <f>D71*E71</f>
        <v>0</v>
      </c>
      <c r="G71" s="1022"/>
      <c r="H71" s="2180"/>
      <c r="I71" s="2490"/>
    </row>
    <row r="72" spans="1:9" ht="15" customHeight="1">
      <c r="A72" s="2213"/>
      <c r="B72" s="2213"/>
      <c r="C72" s="1470" t="str">
        <f>F!C289</f>
        <v>5-50%</v>
      </c>
      <c r="D72" s="78">
        <f>F!D289</f>
        <v>0</v>
      </c>
      <c r="E72" s="377">
        <v>1</v>
      </c>
      <c r="F72" s="361">
        <f>D72*E72</f>
        <v>0</v>
      </c>
      <c r="G72" s="1023"/>
      <c r="H72" s="2180"/>
      <c r="I72" s="2490"/>
    </row>
    <row r="73" spans="1:9" ht="15" customHeight="1">
      <c r="A73" s="2213"/>
      <c r="B73" s="2213"/>
      <c r="C73" s="1470" t="str">
        <f>F!C290</f>
        <v>50-95%</v>
      </c>
      <c r="D73" s="78">
        <f>F!D290</f>
        <v>0</v>
      </c>
      <c r="E73" s="377">
        <v>3</v>
      </c>
      <c r="F73" s="361">
        <f>D73*E73</f>
        <v>0</v>
      </c>
      <c r="G73" s="1023"/>
      <c r="H73" s="2180"/>
      <c r="I73" s="2490"/>
    </row>
    <row r="74" spans="1:9" ht="15" customHeight="1" thickBot="1">
      <c r="A74" s="2213"/>
      <c r="B74" s="2213"/>
      <c r="C74" s="1184" t="str">
        <f>F!C291</f>
        <v>&gt;95% of the AA.</v>
      </c>
      <c r="D74" s="193">
        <f>F!D291</f>
        <v>0</v>
      </c>
      <c r="E74" s="530">
        <v>3</v>
      </c>
      <c r="F74" s="364">
        <f>D74*E74</f>
        <v>0</v>
      </c>
      <c r="G74" s="1025"/>
      <c r="H74" s="2187"/>
      <c r="I74" s="2540"/>
    </row>
    <row r="75" spans="1:9" ht="45" customHeight="1" thickBot="1">
      <c r="A75" s="339" t="str">
        <f>S!A3</f>
        <v>S1</v>
      </c>
      <c r="B75" s="243" t="str">
        <f>S!A2</f>
        <v xml:space="preserve">Stressor (S) Data Form for Non-Tidal Wetlands. WESP for Atlantic Canada. Version 1.1.                                                                                                </v>
      </c>
      <c r="C75" s="628" t="str">
        <f>S!E19</f>
        <v>Final Score=</v>
      </c>
      <c r="D75" s="1044">
        <f>S!F19</f>
        <v>0</v>
      </c>
      <c r="E75" s="384"/>
      <c r="F75" s="373"/>
      <c r="G75" s="1018">
        <f>D75</f>
        <v>0</v>
      </c>
      <c r="H75" s="2985" t="s">
        <v>663</v>
      </c>
      <c r="I75" s="2986"/>
    </row>
    <row r="76" spans="1:9" ht="30" customHeight="1" thickBot="1">
      <c r="A76" s="1026" t="str">
        <f>S!A20</f>
        <v>S2</v>
      </c>
      <c r="B76" s="720" t="str">
        <f>S!B20</f>
        <v>Wetter Water Regime - External Causes</v>
      </c>
      <c r="C76" s="1027" t="str">
        <f>S!E34</f>
        <v>Final Score=</v>
      </c>
      <c r="D76" s="1046">
        <f>S!F34</f>
        <v>0</v>
      </c>
      <c r="E76" s="380"/>
      <c r="F76" s="374"/>
      <c r="G76" s="1019">
        <f>D76</f>
        <v>0</v>
      </c>
      <c r="H76" s="2985" t="s">
        <v>664</v>
      </c>
      <c r="I76" s="2986"/>
    </row>
    <row r="77" spans="1:9" ht="30" customHeight="1" thickBot="1">
      <c r="A77" s="339" t="str">
        <f>S!A35</f>
        <v>S3</v>
      </c>
      <c r="B77" s="243" t="str">
        <f>S!B35</f>
        <v>Drier Water Regime - Internal Causes</v>
      </c>
      <c r="C77" s="628" t="str">
        <f>S!E50</f>
        <v>Final Score=</v>
      </c>
      <c r="D77" s="1044">
        <f>S!F50</f>
        <v>0</v>
      </c>
      <c r="E77" s="384"/>
      <c r="F77" s="373"/>
      <c r="G77" s="1018">
        <f>D77</f>
        <v>0</v>
      </c>
      <c r="H77" s="2985" t="s">
        <v>665</v>
      </c>
      <c r="I77" s="2986"/>
    </row>
    <row r="78" spans="1:9" ht="30" customHeight="1" thickBot="1">
      <c r="A78" s="1026" t="str">
        <f>S!A51</f>
        <v>S4</v>
      </c>
      <c r="B78" s="720" t="str">
        <f>S!B51</f>
        <v>Drier Water Regime - External Causes</v>
      </c>
      <c r="C78" s="1027" t="str">
        <f>S!E65</f>
        <v>Final Score=</v>
      </c>
      <c r="D78" s="1046">
        <f>S!F65</f>
        <v>0</v>
      </c>
      <c r="E78" s="380"/>
      <c r="F78" s="374"/>
      <c r="G78" s="1019">
        <f>D78</f>
        <v>0</v>
      </c>
      <c r="H78" s="2985" t="s">
        <v>666</v>
      </c>
      <c r="I78" s="2986"/>
    </row>
    <row r="79" spans="1:9" ht="30" customHeight="1" thickBot="1">
      <c r="A79" s="339" t="str">
        <f>S!A66</f>
        <v>S5</v>
      </c>
      <c r="B79" s="243" t="str">
        <f>S!B66</f>
        <v>Altered Timing of Water Inputs</v>
      </c>
      <c r="C79" s="628" t="s">
        <v>1313</v>
      </c>
      <c r="D79" s="1044">
        <f>S!F78</f>
        <v>0</v>
      </c>
      <c r="E79" s="384"/>
      <c r="F79" s="373"/>
      <c r="G79" s="1018" t="str">
        <f>IF((Inflows=0),"",D79)</f>
        <v/>
      </c>
      <c r="H79" s="2985" t="s">
        <v>667</v>
      </c>
      <c r="I79" s="2986"/>
    </row>
    <row r="80" spans="1:9" ht="30" customHeight="1" thickBot="1">
      <c r="A80" s="1026" t="str">
        <f>S!A81</f>
        <v>S6</v>
      </c>
      <c r="B80" s="720" t="str">
        <f>S!B81</f>
        <v>Accelerated Inputs of Contaminants and/or Salts</v>
      </c>
      <c r="C80" s="1027" t="str">
        <f>S!E93</f>
        <v>Final Score=</v>
      </c>
      <c r="D80" s="1046">
        <f>S!F93</f>
        <v>0</v>
      </c>
      <c r="E80" s="380"/>
      <c r="F80" s="374"/>
      <c r="G80" s="1019">
        <f>D80</f>
        <v>0</v>
      </c>
      <c r="H80" s="2985" t="s">
        <v>668</v>
      </c>
      <c r="I80" s="2986"/>
    </row>
    <row r="81" spans="1:9" ht="30" customHeight="1" thickBot="1">
      <c r="A81" s="339" t="str">
        <f>S!A94</f>
        <v>S7</v>
      </c>
      <c r="B81" s="243" t="str">
        <f>S!B94</f>
        <v>Accelerated Inputs of Nutrients</v>
      </c>
      <c r="C81" s="628" t="s">
        <v>1313</v>
      </c>
      <c r="D81" s="1044">
        <f>S!F106</f>
        <v>0</v>
      </c>
      <c r="E81" s="384"/>
      <c r="F81" s="373"/>
      <c r="G81" s="1018">
        <f>D81</f>
        <v>0</v>
      </c>
      <c r="H81" s="2985" t="s">
        <v>1154</v>
      </c>
      <c r="I81" s="2986"/>
    </row>
    <row r="82" spans="1:9" ht="45" customHeight="1" thickBot="1">
      <c r="A82" s="1026" t="str">
        <f>S!A107</f>
        <v>S8</v>
      </c>
      <c r="B82" s="720" t="str">
        <f>S!B107</f>
        <v>Excessive Sediment Loading from Contributing Area</v>
      </c>
      <c r="C82" s="1027" t="str">
        <f>S!E124</f>
        <v>Final Score=</v>
      </c>
      <c r="D82" s="1046">
        <f>S!F124</f>
        <v>0</v>
      </c>
      <c r="E82" s="380"/>
      <c r="F82" s="374"/>
      <c r="G82" s="1019">
        <f>D82</f>
        <v>0</v>
      </c>
      <c r="H82" s="2985" t="s">
        <v>669</v>
      </c>
      <c r="I82" s="2986"/>
    </row>
    <row r="83" spans="1:9" ht="45" customHeight="1" thickBot="1">
      <c r="A83" s="241" t="str">
        <f>S!A125</f>
        <v>S9</v>
      </c>
      <c r="B83" s="243" t="str">
        <f>S!B125</f>
        <v>Soil or Sediment Alteration Within the Assessment Area</v>
      </c>
      <c r="C83" s="628" t="str">
        <f>S!E142</f>
        <v>Final Score=</v>
      </c>
      <c r="D83" s="1044">
        <f>S!F142</f>
        <v>0</v>
      </c>
      <c r="E83" s="384"/>
      <c r="F83" s="373"/>
      <c r="G83" s="1018">
        <f>D83</f>
        <v>0</v>
      </c>
      <c r="H83" s="2985" t="s">
        <v>670</v>
      </c>
      <c r="I83" s="2986"/>
    </row>
    <row r="84" spans="1:9" ht="21" customHeight="1" thickBot="1">
      <c r="A84" s="2379"/>
      <c r="B84" s="2379"/>
      <c r="C84" s="2379"/>
      <c r="D84" s="2983"/>
      <c r="E84" s="2983"/>
      <c r="F84" s="2983"/>
      <c r="G84" s="2983"/>
      <c r="H84" s="2984"/>
    </row>
    <row r="85" spans="1:9" ht="45" customHeight="1" thickBot="1">
      <c r="A85" s="2397"/>
      <c r="B85" s="2397"/>
      <c r="C85" s="2397"/>
      <c r="D85" s="2981" t="s">
        <v>1155</v>
      </c>
      <c r="E85" s="2982"/>
      <c r="F85" s="2982"/>
      <c r="G85" s="1911">
        <f>AVERAGE(DistRd, Wetter,WetterEx,Drier,DrierEx,AltTiming,Constricted)</f>
        <v>0</v>
      </c>
      <c r="H85" s="1912" t="s">
        <v>2638</v>
      </c>
      <c r="I85" s="1917" t="s">
        <v>2796</v>
      </c>
    </row>
    <row r="86" spans="1:9" ht="45" customHeight="1" thickBot="1">
      <c r="A86" s="2397"/>
      <c r="B86" s="2397"/>
      <c r="C86" s="2397"/>
      <c r="D86" s="2979" t="s">
        <v>1156</v>
      </c>
      <c r="E86" s="2980"/>
      <c r="F86" s="2980"/>
      <c r="G86" s="1913">
        <f>AVERAGE(Toxic, ToxicData, Enrich, SedLoad,SoilDisturb,CAimperv,BuffDisturbTyp)</f>
        <v>0</v>
      </c>
      <c r="H86" s="1914" t="s">
        <v>2639</v>
      </c>
      <c r="I86" s="1918" t="s">
        <v>2797</v>
      </c>
    </row>
    <row r="87" spans="1:9" ht="30" customHeight="1" thickBot="1">
      <c r="A87" s="2397"/>
      <c r="B87" s="2397"/>
      <c r="C87" s="2397"/>
      <c r="D87" s="2979" t="s">
        <v>1157</v>
      </c>
      <c r="E87" s="2980"/>
      <c r="F87" s="2980"/>
      <c r="G87" s="1913">
        <f>AVERAGE(NatVegCA,WeedSource,RdBox)</f>
        <v>0.33333333333333331</v>
      </c>
      <c r="H87" s="1914" t="s">
        <v>2640</v>
      </c>
      <c r="I87" s="1918" t="s">
        <v>2798</v>
      </c>
    </row>
    <row r="88" spans="1:9" ht="45" customHeight="1" thickBot="1">
      <c r="A88" s="2397"/>
      <c r="B88" s="2397"/>
      <c r="C88" s="2397"/>
      <c r="D88" s="2977" t="s">
        <v>1158</v>
      </c>
      <c r="E88" s="2978"/>
      <c r="F88" s="2978"/>
      <c r="G88" s="1915">
        <f>AVERAGE(RecUse, Core1,Core2,DistRd, VisibWet, PopCtrDist, OwnerSS,BurnHist)</f>
        <v>0</v>
      </c>
      <c r="H88" s="1916" t="s">
        <v>2641</v>
      </c>
      <c r="I88" s="1917" t="s">
        <v>2799</v>
      </c>
    </row>
    <row r="89" spans="1:9" ht="21" customHeight="1" thickBot="1">
      <c r="A89" s="2397"/>
      <c r="B89" s="2397"/>
      <c r="C89" s="2397"/>
      <c r="D89" s="2379"/>
      <c r="E89" s="2379"/>
      <c r="F89" s="2379"/>
      <c r="G89" s="2379"/>
      <c r="H89" s="2379"/>
      <c r="I89" s="4"/>
    </row>
    <row r="90" spans="1:9" ht="45" customHeight="1" thickBot="1">
      <c r="A90" s="2536"/>
      <c r="B90" s="2430"/>
      <c r="C90" s="2987" t="s">
        <v>1909</v>
      </c>
      <c r="D90" s="2988"/>
      <c r="E90" s="2989"/>
      <c r="F90" s="1884" t="s">
        <v>2637</v>
      </c>
      <c r="G90" s="1885">
        <f>10*((MAX(HydroStress, WQstress,FragStress,DisturbStress) + AVERAGE(HydroStress, WQstress,FragStress,DisturbStress))/2)</f>
        <v>2.083333333333333</v>
      </c>
      <c r="H90" s="2575" t="s">
        <v>2642</v>
      </c>
      <c r="I90" s="2576"/>
    </row>
    <row r="91" spans="1:9" ht="21" customHeight="1">
      <c r="B91" s="7"/>
      <c r="C91" s="2667"/>
      <c r="D91" s="2667"/>
      <c r="E91" s="2667"/>
      <c r="F91" s="2667"/>
      <c r="G91" s="2667"/>
      <c r="H91" s="2668"/>
    </row>
    <row r="93" spans="1:9">
      <c r="I93" s="4"/>
    </row>
    <row r="94" spans="1:9">
      <c r="I94" s="4"/>
    </row>
    <row r="95" spans="1:9">
      <c r="I95" s="4"/>
    </row>
    <row r="96" spans="1:9">
      <c r="I96" s="4"/>
    </row>
    <row r="97" spans="9:9">
      <c r="I97" s="4"/>
    </row>
  </sheetData>
  <sheetProtection password="C74A" sheet="1" objects="1" scenarios="1"/>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66">
    <mergeCell ref="H82:I82"/>
    <mergeCell ref="H83:I83"/>
    <mergeCell ref="H90:I90"/>
    <mergeCell ref="H58:I62"/>
    <mergeCell ref="H63:I69"/>
    <mergeCell ref="H70:I74"/>
    <mergeCell ref="H75:I75"/>
    <mergeCell ref="H76:I76"/>
    <mergeCell ref="H41:I43"/>
    <mergeCell ref="H44:I48"/>
    <mergeCell ref="H49:I52"/>
    <mergeCell ref="H53:I57"/>
    <mergeCell ref="H81:I81"/>
    <mergeCell ref="H17:I21"/>
    <mergeCell ref="H22:I26"/>
    <mergeCell ref="H27:I30"/>
    <mergeCell ref="H31:I34"/>
    <mergeCell ref="H35:I40"/>
    <mergeCell ref="H2:I2"/>
    <mergeCell ref="E1:I1"/>
    <mergeCell ref="H3:I8"/>
    <mergeCell ref="H9:I15"/>
    <mergeCell ref="H16:I16"/>
    <mergeCell ref="C91:H91"/>
    <mergeCell ref="D88:F88"/>
    <mergeCell ref="D86:F86"/>
    <mergeCell ref="A70:A74"/>
    <mergeCell ref="B70:B74"/>
    <mergeCell ref="D87:F87"/>
    <mergeCell ref="D85:F85"/>
    <mergeCell ref="D89:H89"/>
    <mergeCell ref="D84:H84"/>
    <mergeCell ref="A84:C89"/>
    <mergeCell ref="H77:I77"/>
    <mergeCell ref="H78:I78"/>
    <mergeCell ref="H79:I79"/>
    <mergeCell ref="H80:I80"/>
    <mergeCell ref="A90:B90"/>
    <mergeCell ref="C90:E90"/>
    <mergeCell ref="A63:A69"/>
    <mergeCell ref="A27:A30"/>
    <mergeCell ref="A22:A26"/>
    <mergeCell ref="B63:B69"/>
    <mergeCell ref="B22:B26"/>
    <mergeCell ref="B35:B40"/>
    <mergeCell ref="B27:B30"/>
    <mergeCell ref="A58:A62"/>
    <mergeCell ref="B58:B62"/>
    <mergeCell ref="B49:B52"/>
    <mergeCell ref="B53:B57"/>
    <mergeCell ref="B41:B43"/>
    <mergeCell ref="A49:A52"/>
    <mergeCell ref="A53:A57"/>
    <mergeCell ref="A41:A43"/>
    <mergeCell ref="A44:A48"/>
    <mergeCell ref="B44:B48"/>
    <mergeCell ref="A1:B1"/>
    <mergeCell ref="B3:B8"/>
    <mergeCell ref="A3:A8"/>
    <mergeCell ref="A9:A15"/>
    <mergeCell ref="A35:A40"/>
    <mergeCell ref="B9:B15"/>
    <mergeCell ref="B17:B21"/>
    <mergeCell ref="A17:A21"/>
    <mergeCell ref="A31:A34"/>
    <mergeCell ref="B31:B34"/>
  </mergeCells>
  <phoneticPr fontId="2" type="noConversion"/>
  <pageMargins left="0.75" right="0.75" top="1" bottom="1" header="0.5" footer="0.5"/>
  <pageSetup orientation="portrait" r:id="rId2"/>
  <headerFooter alignWithMargins="0"/>
  <ignoredErrors>
    <ignoredError sqref="G79"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827</vt:i4>
      </vt:variant>
    </vt:vector>
  </HeadingPairs>
  <TitlesOfParts>
    <vt:vector size="853" baseType="lpstr">
      <vt:lpstr>CovPg</vt:lpstr>
      <vt:lpstr>OF</vt:lpstr>
      <vt:lpstr>F</vt:lpstr>
      <vt:lpstr>S</vt:lpstr>
      <vt:lpstr>Scores</vt:lpstr>
      <vt:lpstr>WS</vt:lpstr>
      <vt:lpstr>SFS</vt:lpstr>
      <vt:lpstr>WC</vt:lpstr>
      <vt:lpstr>SR</vt:lpstr>
      <vt:lpstr>PR</vt:lpstr>
      <vt:lpstr>NR</vt:lpstr>
      <vt:lpstr>CS</vt:lpstr>
      <vt:lpstr>OE</vt:lpstr>
      <vt:lpstr>FA</vt:lpstr>
      <vt:lpstr>FR</vt:lpstr>
      <vt:lpstr>INV</vt:lpstr>
      <vt:lpstr>AM</vt:lpstr>
      <vt:lpstr>WBF</vt:lpstr>
      <vt:lpstr>WBN</vt:lpstr>
      <vt:lpstr>SBM</vt:lpstr>
      <vt:lpstr>POL</vt:lpstr>
      <vt:lpstr>PH</vt:lpstr>
      <vt:lpstr>PU</vt:lpstr>
      <vt:lpstr>EC</vt:lpstr>
      <vt:lpstr>Sen</vt:lpstr>
      <vt:lpstr>STR</vt:lpstr>
      <vt:lpstr>__IBA12</vt:lpstr>
      <vt:lpstr>_BMP11</vt:lpstr>
      <vt:lpstr>_BMP12</vt:lpstr>
      <vt:lpstr>_BMP13</vt:lpstr>
      <vt:lpstr>_Bog6</vt:lpstr>
      <vt:lpstr>_GDD1</vt:lpstr>
      <vt:lpstr>_GDD11</vt:lpstr>
      <vt:lpstr>_GDD2</vt:lpstr>
      <vt:lpstr>_GDD3</vt:lpstr>
      <vt:lpstr>_GpA1</vt:lpstr>
      <vt:lpstr>_GpB1</vt:lpstr>
      <vt:lpstr>_GpC1</vt:lpstr>
      <vt:lpstr>_IBA13</vt:lpstr>
      <vt:lpstr>_IBA14</vt:lpstr>
      <vt:lpstr>_Iso2</vt:lpstr>
      <vt:lpstr>_Tox12</vt:lpstr>
      <vt:lpstr>_WBF10</vt:lpstr>
      <vt:lpstr>AbioSens</vt:lpstr>
      <vt:lpstr>ABpct10</vt:lpstr>
      <vt:lpstr>ABpct11</vt:lpstr>
      <vt:lpstr>ABpct12</vt:lpstr>
      <vt:lpstr>ABpct8</vt:lpstr>
      <vt:lpstr>Access10</vt:lpstr>
      <vt:lpstr>Access12</vt:lpstr>
      <vt:lpstr>Access8</vt:lpstr>
      <vt:lpstr>Access9</vt:lpstr>
      <vt:lpstr>Acid4</vt:lpstr>
      <vt:lpstr>Acid9</vt:lpstr>
      <vt:lpstr>Acidic11</vt:lpstr>
      <vt:lpstr>Acidic13</vt:lpstr>
      <vt:lpstr>Acidic20</vt:lpstr>
      <vt:lpstr>AcidicPool10</vt:lpstr>
      <vt:lpstr>AcidicS</vt:lpstr>
      <vt:lpstr>AcidPool10</vt:lpstr>
      <vt:lpstr>Adsorb3</vt:lpstr>
      <vt:lpstr>AfishShed9</vt:lpstr>
      <vt:lpstr>Algae12</vt:lpstr>
      <vt:lpstr>Algae3</vt:lpstr>
      <vt:lpstr>AllDry11</vt:lpstr>
      <vt:lpstr>AllDry12</vt:lpstr>
      <vt:lpstr>AllDry9</vt:lpstr>
      <vt:lpstr>AllForbCov</vt:lpstr>
      <vt:lpstr>AllOpenPond</vt:lpstr>
      <vt:lpstr>AllSat1</vt:lpstr>
      <vt:lpstr>AllSat2</vt:lpstr>
      <vt:lpstr>AllWet</vt:lpstr>
      <vt:lpstr>AltTime10</vt:lpstr>
      <vt:lpstr>AltTime20</vt:lpstr>
      <vt:lpstr>AltTime8</vt:lpstr>
      <vt:lpstr>AltTime8a</vt:lpstr>
      <vt:lpstr>AltTime9</vt:lpstr>
      <vt:lpstr>AltTiming</vt:lpstr>
      <vt:lpstr>AltTimingIN</vt:lpstr>
      <vt:lpstr>Amphib</vt:lpstr>
      <vt:lpstr>AnadFish</vt:lpstr>
      <vt:lpstr>AnadFish7</vt:lpstr>
      <vt:lpstr>AnadScore2_</vt:lpstr>
      <vt:lpstr>AnoxRisk10</vt:lpstr>
      <vt:lpstr>AqCov8</vt:lpstr>
      <vt:lpstr>AqFertilPD</vt:lpstr>
      <vt:lpstr>AqPlantCov13</vt:lpstr>
      <vt:lpstr>AqPlantCov2</vt:lpstr>
      <vt:lpstr>AqPlantCov3</vt:lpstr>
      <vt:lpstr>AqPlantCov4</vt:lpstr>
      <vt:lpstr>AqPlantCov5</vt:lpstr>
      <vt:lpstr>AqPlantCov6</vt:lpstr>
      <vt:lpstr>AqPlantCov9</vt:lpstr>
      <vt:lpstr>AqStruc11</vt:lpstr>
      <vt:lpstr>Aquifer4</vt:lpstr>
      <vt:lpstr>AreaTotal12</vt:lpstr>
      <vt:lpstr>Aspect1</vt:lpstr>
      <vt:lpstr>Aspect11</vt:lpstr>
      <vt:lpstr>Aspect2_</vt:lpstr>
      <vt:lpstr>Aspect4</vt:lpstr>
      <vt:lpstr>Aspect7</vt:lpstr>
      <vt:lpstr>Aspect7v</vt:lpstr>
      <vt:lpstr>BareGpct</vt:lpstr>
      <vt:lpstr>Bduck13</vt:lpstr>
      <vt:lpstr>Beaver_S</vt:lpstr>
      <vt:lpstr>Beaver10</vt:lpstr>
      <vt:lpstr>Beaver12</vt:lpstr>
      <vt:lpstr>Beaver13</vt:lpstr>
      <vt:lpstr>Beaver14</vt:lpstr>
      <vt:lpstr>Beaver14a</vt:lpstr>
      <vt:lpstr>Beaver9</vt:lpstr>
      <vt:lpstr>BeaverPD</vt:lpstr>
      <vt:lpstr>BigPondProx12</vt:lpstr>
      <vt:lpstr>Biological</vt:lpstr>
      <vt:lpstr>BioSens</vt:lpstr>
      <vt:lpstr>BMPsoils20</vt:lpstr>
      <vt:lpstr>BMPsoilsPU</vt:lpstr>
      <vt:lpstr>BMPwildPU</vt:lpstr>
      <vt:lpstr>BuffAllNat</vt:lpstr>
      <vt:lpstr>BuffCovTyp4</vt:lpstr>
      <vt:lpstr>BuffDisturbTyp</vt:lpstr>
      <vt:lpstr>BuffLU11</vt:lpstr>
      <vt:lpstr>BuffLU9</vt:lpstr>
      <vt:lpstr>BuffLUpd</vt:lpstr>
      <vt:lpstr>BuffLUtype0</vt:lpstr>
      <vt:lpstr>BuffLUtype13</vt:lpstr>
      <vt:lpstr>BuffNatPct13</vt:lpstr>
      <vt:lpstr>BuffPctNat9</vt:lpstr>
      <vt:lpstr>BuffPerim0</vt:lpstr>
      <vt:lpstr>BuffPerim14</vt:lpstr>
      <vt:lpstr>BuffSlope_S</vt:lpstr>
      <vt:lpstr>BuffSlope2</vt:lpstr>
      <vt:lpstr>BuffSlope3</vt:lpstr>
      <vt:lpstr>BuffSlope4</vt:lpstr>
      <vt:lpstr>Burn20</vt:lpstr>
      <vt:lpstr>Burn5</vt:lpstr>
      <vt:lpstr>BurnHist</vt:lpstr>
      <vt:lpstr>CAimperv</vt:lpstr>
      <vt:lpstr>CalcFen15</vt:lpstr>
      <vt:lpstr>CalcFen3</vt:lpstr>
      <vt:lpstr>CAnatPct2</vt:lpstr>
      <vt:lpstr>CAnatPct4</vt:lpstr>
      <vt:lpstr>CApct1</vt:lpstr>
      <vt:lpstr>CApct2</vt:lpstr>
      <vt:lpstr>CApct3</vt:lpstr>
      <vt:lpstr>CApct4</vt:lpstr>
      <vt:lpstr>CApctB3</vt:lpstr>
      <vt:lpstr>CAunveg1</vt:lpstr>
      <vt:lpstr>cliff0</vt:lpstr>
      <vt:lpstr>Cliff14</vt:lpstr>
      <vt:lpstr>Cliffs14</vt:lpstr>
      <vt:lpstr>Climate11</vt:lpstr>
      <vt:lpstr>Climate12</vt:lpstr>
      <vt:lpstr>ClimateLF</vt:lpstr>
      <vt:lpstr>Colonizer</vt:lpstr>
      <vt:lpstr>CompetPD</vt:lpstr>
      <vt:lpstr>Conduc10</vt:lpstr>
      <vt:lpstr>Conduc20</vt:lpstr>
      <vt:lpstr>Conduc3</vt:lpstr>
      <vt:lpstr>Conduc4</vt:lpstr>
      <vt:lpstr>Conduc8</vt:lpstr>
      <vt:lpstr>ConductivS</vt:lpstr>
      <vt:lpstr>Connec3</vt:lpstr>
      <vt:lpstr>Connec4</vt:lpstr>
      <vt:lpstr>Connec8</vt:lpstr>
      <vt:lpstr>ConnectivLF</vt:lpstr>
      <vt:lpstr>ConsDesig</vt:lpstr>
      <vt:lpstr>ConsDesig1</vt:lpstr>
      <vt:lpstr>ConsInvest</vt:lpstr>
      <vt:lpstr>Constric_S</vt:lpstr>
      <vt:lpstr>Constric1</vt:lpstr>
      <vt:lpstr>Constric2</vt:lpstr>
      <vt:lpstr>Constric3</vt:lpstr>
      <vt:lpstr>Constric4</vt:lpstr>
      <vt:lpstr>Constric5</vt:lpstr>
      <vt:lpstr>Constric6</vt:lpstr>
      <vt:lpstr>Constricted</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CUbuffLUtype8</vt:lpstr>
      <vt:lpstr>CUbuffPctNat8</vt:lpstr>
      <vt:lpstr>CUratio_S</vt:lpstr>
      <vt:lpstr>CUratioSS</vt:lpstr>
      <vt:lpstr>CUtypeLU14</vt:lpstr>
      <vt:lpstr>DecidCov15</vt:lpstr>
      <vt:lpstr>DecidTree5</vt:lpstr>
      <vt:lpstr>DecidTree8</vt:lpstr>
      <vt:lpstr>DeerHab14</vt:lpstr>
      <vt:lpstr>DeerShed14</vt:lpstr>
      <vt:lpstr>Depth_S</vt:lpstr>
      <vt:lpstr>Depth10</vt:lpstr>
      <vt:lpstr>Depth12</vt:lpstr>
      <vt:lpstr>Depth13</vt:lpstr>
      <vt:lpstr>Depth15</vt:lpstr>
      <vt:lpstr>Depth2_</vt:lpstr>
      <vt:lpstr>Depth5</vt:lpstr>
      <vt:lpstr>Depth6</vt:lpstr>
      <vt:lpstr>Depth7</vt:lpstr>
      <vt:lpstr>Depth8</vt:lpstr>
      <vt:lpstr>Depth9</vt:lpstr>
      <vt:lpstr>DepthC2</vt:lpstr>
      <vt:lpstr>DepthDiv8</vt:lpstr>
      <vt:lpstr>DepthDom5</vt:lpstr>
      <vt:lpstr>DepthEven10</vt:lpstr>
      <vt:lpstr>DepthEven12</vt:lpstr>
      <vt:lpstr>DepthEven13</vt:lpstr>
      <vt:lpstr>Desorb3</vt:lpstr>
      <vt:lpstr>DisRd14</vt:lpstr>
      <vt:lpstr>DistBig15</vt:lpstr>
      <vt:lpstr>DistNat0</vt:lpstr>
      <vt:lpstr>DistRd</vt:lpstr>
      <vt:lpstr>DistRd10</vt:lpstr>
      <vt:lpstr>DistRd9</vt:lpstr>
      <vt:lpstr>DistRdPD</vt:lpstr>
      <vt:lpstr>DistRdPU</vt:lpstr>
      <vt:lpstr>DisturbStress</vt:lpstr>
      <vt:lpstr>DomDepth3</vt:lpstr>
      <vt:lpstr>downwood0</vt:lpstr>
      <vt:lpstr>Drier</vt:lpstr>
      <vt:lpstr>DrierEx</vt:lpstr>
      <vt:lpstr>DryIntercept</vt:lpstr>
      <vt:lpstr>DuckHunt</vt:lpstr>
      <vt:lpstr>Elev_S</vt:lpstr>
      <vt:lpstr>Elev4</vt:lpstr>
      <vt:lpstr>EmPct12</vt:lpstr>
      <vt:lpstr>EmPct13</vt:lpstr>
      <vt:lpstr>EmSens1_C</vt:lpstr>
      <vt:lpstr>EmSens1_S</vt:lpstr>
      <vt:lpstr>Enrich</vt:lpstr>
      <vt:lpstr>Entrain</vt:lpstr>
      <vt:lpstr>Erodib_S</vt:lpstr>
      <vt:lpstr>Erodible2</vt:lpstr>
      <vt:lpstr>ErodibleSS</vt:lpstr>
      <vt:lpstr>ErodScore3</vt:lpstr>
      <vt:lpstr>ExportPot6</vt:lpstr>
      <vt:lpstr>Fdamage</vt:lpstr>
      <vt:lpstr>Fen2_</vt:lpstr>
      <vt:lpstr>FenMarsh</vt:lpstr>
      <vt:lpstr>Fertility</vt:lpstr>
      <vt:lpstr>Fish12a</vt:lpstr>
      <vt:lpstr>fISH13A</vt:lpstr>
      <vt:lpstr>Fish8</vt:lpstr>
      <vt:lpstr>FishAcc11</vt:lpstr>
      <vt:lpstr>Fishing</vt:lpstr>
      <vt:lpstr>Fishing10</vt:lpstr>
      <vt:lpstr>Fishing9</vt:lpstr>
      <vt:lpstr>FloDist1</vt:lpstr>
      <vt:lpstr>FloDist4</vt:lpstr>
      <vt:lpstr>FloDist6</vt:lpstr>
      <vt:lpstr>FloodBdg1</vt:lpstr>
      <vt:lpstr>FlowDist2</vt:lpstr>
      <vt:lpstr>FlowDist3</vt:lpstr>
      <vt:lpstr>Fluc2</vt:lpstr>
      <vt:lpstr>FlucPD</vt:lpstr>
      <vt:lpstr>Fluctu11</vt:lpstr>
      <vt:lpstr>Fluctu13</vt:lpstr>
      <vt:lpstr>Fluctu3</vt:lpstr>
      <vt:lpstr>Fluctu4</vt:lpstr>
      <vt:lpstr>Fluctu5</vt:lpstr>
      <vt:lpstr>Fluctu6</vt:lpstr>
      <vt:lpstr>Fluctu8</vt:lpstr>
      <vt:lpstr>Fluctua1</vt:lpstr>
      <vt:lpstr>Food8</vt:lpstr>
      <vt:lpstr>Forbs0</vt:lpstr>
      <vt:lpstr>ForestedPeat</vt:lpstr>
      <vt:lpstr>FragStress</vt:lpstr>
      <vt:lpstr>FreezeDura3</vt:lpstr>
      <vt:lpstr>Freezing</vt:lpstr>
      <vt:lpstr>Friction</vt:lpstr>
      <vt:lpstr>Fringe12</vt:lpstr>
      <vt:lpstr>Fringe12a</vt:lpstr>
      <vt:lpstr>Fringe13</vt:lpstr>
      <vt:lpstr>Fringe7a</vt:lpstr>
      <vt:lpstr>Fringe7b</vt:lpstr>
      <vt:lpstr>FrozDur4</vt:lpstr>
      <vt:lpstr>FrozDur6</vt:lpstr>
      <vt:lpstr>Frozen2</vt:lpstr>
      <vt:lpstr>FscoreSRM</vt:lpstr>
      <vt:lpstr>FscoreWBF</vt:lpstr>
      <vt:lpstr>FscoreWBN</vt:lpstr>
      <vt:lpstr>Gcover_S</vt:lpstr>
      <vt:lpstr>gcover0</vt:lpstr>
      <vt:lpstr>Gcover11</vt:lpstr>
      <vt:lpstr>Gcover14</vt:lpstr>
      <vt:lpstr>Gcover2</vt:lpstr>
      <vt:lpstr>Gcover3</vt:lpstr>
      <vt:lpstr>Gcover4</vt:lpstr>
      <vt:lpstr>Gcover6</vt:lpstr>
      <vt:lpstr>Gcover8</vt:lpstr>
      <vt:lpstr>GDD_S</vt:lpstr>
      <vt:lpstr>GDDpd</vt:lpstr>
      <vt:lpstr>girreg0</vt:lpstr>
      <vt:lpstr>Girreg1</vt:lpstr>
      <vt:lpstr>Girreg11</vt:lpstr>
      <vt:lpstr>Girreg14</vt:lpstr>
      <vt:lpstr>Girreg2</vt:lpstr>
      <vt:lpstr>Girreg3</vt:lpstr>
      <vt:lpstr>Girreg4</vt:lpstr>
      <vt:lpstr>Girreg8</vt:lpstr>
      <vt:lpstr>GirregCQ</vt:lpstr>
      <vt:lpstr>GirregPD</vt:lpstr>
      <vt:lpstr>GpA_2</vt:lpstr>
      <vt:lpstr>GpB_2</vt:lpstr>
      <vt:lpstr>GpC_2</vt:lpstr>
      <vt:lpstr>Gradient1</vt:lpstr>
      <vt:lpstr>Gradient12</vt:lpstr>
      <vt:lpstr>Gradient13</vt:lpstr>
      <vt:lpstr>Gradient2</vt:lpstr>
      <vt:lpstr>Gradient3</vt:lpstr>
      <vt:lpstr>Gradient4</vt:lpstr>
      <vt:lpstr>Gradient5</vt:lpstr>
      <vt:lpstr>Gradient6</vt:lpstr>
      <vt:lpstr>gramin0</vt:lpstr>
      <vt:lpstr>Groundw1</vt:lpstr>
      <vt:lpstr>Groundw10</vt:lpstr>
      <vt:lpstr>GroundW11</vt:lpstr>
      <vt:lpstr>Groundw2_</vt:lpstr>
      <vt:lpstr>Groundw3</vt:lpstr>
      <vt:lpstr>Groundw4</vt:lpstr>
      <vt:lpstr>GroundW5</vt:lpstr>
      <vt:lpstr>Groundw6</vt:lpstr>
      <vt:lpstr>Groundw8</vt:lpstr>
      <vt:lpstr>GroundW9</vt:lpstr>
      <vt:lpstr>GroundwDisch</vt:lpstr>
      <vt:lpstr>GroundwLF</vt:lpstr>
      <vt:lpstr>GrowthRate</vt:lpstr>
      <vt:lpstr>Gwater7</vt:lpstr>
      <vt:lpstr>GWpd</vt:lpstr>
      <vt:lpstr>GWsens</vt:lpstr>
      <vt:lpstr>herbdiv0</vt:lpstr>
      <vt:lpstr>HerbDiv8</vt:lpstr>
      <vt:lpstr>HerbDom1</vt:lpstr>
      <vt:lpstr>herbdom15</vt:lpstr>
      <vt:lpstr>HerbDom2</vt:lpstr>
      <vt:lpstr>herbsens0</vt:lpstr>
      <vt:lpstr>HerbUniq</vt:lpstr>
      <vt:lpstr>HerbUniq0</vt:lpstr>
      <vt:lpstr>HerbUniq12</vt:lpstr>
      <vt:lpstr>HerbUniq13</vt:lpstr>
      <vt:lpstr>HerbUniq14</vt:lpstr>
      <vt:lpstr>HerbUniq20</vt:lpstr>
      <vt:lpstr>HistAccum5</vt:lpstr>
      <vt:lpstr>HistAccum6</vt:lpstr>
      <vt:lpstr>Hydro10</vt:lpstr>
      <vt:lpstr>Hydro11</vt:lpstr>
      <vt:lpstr>Hydro12</vt:lpstr>
      <vt:lpstr>Hydro13</vt:lpstr>
      <vt:lpstr>Hydropd8</vt:lpstr>
      <vt:lpstr>Hydropd9</vt:lpstr>
      <vt:lpstr>HydroStress</vt:lpstr>
      <vt:lpstr>IBA</vt:lpstr>
      <vt:lpstr>IBA12a</vt:lpstr>
      <vt:lpstr>IBird12v</vt:lpstr>
      <vt:lpstr>Imperv4</vt:lpstr>
      <vt:lpstr>Imperv7</vt:lpstr>
      <vt:lpstr>ImpervCA</vt:lpstr>
      <vt:lpstr>ImpervCA3</vt:lpstr>
      <vt:lpstr>ImpervCA9</vt:lpstr>
      <vt:lpstr>ImpervPctSS</vt:lpstr>
      <vt:lpstr>Inclus11</vt:lpstr>
      <vt:lpstr>Inclus11a</vt:lpstr>
      <vt:lpstr>Inclus14</vt:lpstr>
      <vt:lpstr>Inclus4</vt:lpstr>
      <vt:lpstr>Inflo2</vt:lpstr>
      <vt:lpstr>Inflo3</vt:lpstr>
      <vt:lpstr>Inflo4</vt:lpstr>
      <vt:lpstr>InfloPD</vt:lpstr>
      <vt:lpstr>Inflow4a</vt:lpstr>
      <vt:lpstr>InFlowPD</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Invest</vt:lpstr>
      <vt:lpstr>InvScore2_</vt:lpstr>
      <vt:lpstr>Island13</vt:lpstr>
      <vt:lpstr>IsoDry_S</vt:lpstr>
      <vt:lpstr>IsoDry1</vt:lpstr>
      <vt:lpstr>ISOdry13</vt:lpstr>
      <vt:lpstr>ISOdry7</vt:lpstr>
      <vt:lpstr>ISOwet11</vt:lpstr>
      <vt:lpstr>ISOwet12</vt:lpstr>
      <vt:lpstr>IsoWet2</vt:lpstr>
      <vt:lpstr>IsoWet2a</vt:lpstr>
      <vt:lpstr>IsoWet2s</vt:lpstr>
      <vt:lpstr>ISOwet5</vt:lpstr>
      <vt:lpstr>IsoWet8</vt:lpstr>
      <vt:lpstr>Karst10</vt:lpstr>
      <vt:lpstr>Karst10a</vt:lpstr>
      <vt:lpstr>Karst11</vt:lpstr>
      <vt:lpstr>Karst16</vt:lpstr>
      <vt:lpstr>Karst16a</vt:lpstr>
      <vt:lpstr>Karst6</vt:lpstr>
      <vt:lpstr>Karst6a</vt:lpstr>
      <vt:lpstr>Karst7a</vt:lpstr>
      <vt:lpstr>Karst8</vt:lpstr>
      <vt:lpstr>Karst9</vt:lpstr>
      <vt:lpstr>Karst9a</vt:lpstr>
      <vt:lpstr>Lacus13a</vt:lpstr>
      <vt:lpstr>Lacus7</vt:lpstr>
      <vt:lpstr>Lacust13</vt:lpstr>
      <vt:lpstr>Lake10</vt:lpstr>
      <vt:lpstr>Lake10a</vt:lpstr>
      <vt:lpstr>Lake12</vt:lpstr>
      <vt:lpstr>Lake12a</vt:lpstr>
      <vt:lpstr>Lake3</vt:lpstr>
      <vt:lpstr>Lake3a</vt:lpstr>
      <vt:lpstr>LakeNear13</vt:lpstr>
      <vt:lpstr>LakeProx_S</vt:lpstr>
      <vt:lpstr>LakeProx13</vt:lpstr>
      <vt:lpstr>LakePU</vt:lpstr>
      <vt:lpstr>LiveStore</vt:lpstr>
      <vt:lpstr>LiveStore2</vt:lpstr>
      <vt:lpstr>LowerShed</vt:lpstr>
      <vt:lpstr>Lscape</vt:lpstr>
      <vt:lpstr>Lscape11</vt:lpstr>
      <vt:lpstr>Lscape12</vt:lpstr>
      <vt:lpstr>Lscape13</vt:lpstr>
      <vt:lpstr>Lscape14</vt:lpstr>
      <vt:lpstr>Lscape8</vt:lpstr>
      <vt:lpstr>Lscape9</vt:lpstr>
      <vt:lpstr>LscapePD</vt:lpstr>
      <vt:lpstr>MaxFluc2</vt:lpstr>
      <vt:lpstr>MethLimit5</vt:lpstr>
      <vt:lpstr>MitigaSite</vt:lpstr>
      <vt:lpstr>MossCov5</vt:lpstr>
      <vt:lpstr>MossPD</vt:lpstr>
      <vt:lpstr>Mudflat12</vt:lpstr>
      <vt:lpstr>NatCApct3</vt:lpstr>
      <vt:lpstr>NatCov2mi11</vt:lpstr>
      <vt:lpstr>NatVegCA</vt:lpstr>
      <vt:lpstr>NatVegCApd</vt:lpstr>
      <vt:lpstr>NatVegCUpct_S</vt:lpstr>
      <vt:lpstr>NatVegCUpct10</vt:lpstr>
      <vt:lpstr>NatVegCUpct9</vt:lpstr>
      <vt:lpstr>NatVegPct11</vt:lpstr>
      <vt:lpstr>NatVegPctCU8</vt:lpstr>
      <vt:lpstr>NatVegPctScape14</vt:lpstr>
      <vt:lpstr>NatVegProx_S</vt:lpstr>
      <vt:lpstr>NatVegProx11</vt:lpstr>
      <vt:lpstr>NatVegProx14</vt:lpstr>
      <vt:lpstr>NatVegSize_S</vt:lpstr>
      <vt:lpstr>NatVegSize11</vt:lpstr>
      <vt:lpstr>NatVegSize14</vt:lpstr>
      <vt:lpstr>NestSites</vt:lpstr>
      <vt:lpstr>NewWet</vt:lpstr>
      <vt:lpstr>NewWet_S</vt:lpstr>
      <vt:lpstr>NewWet5</vt:lpstr>
      <vt:lpstr>NewWet6</vt:lpstr>
      <vt:lpstr>NewWetNot6</vt:lpstr>
      <vt:lpstr>NewWetPD</vt:lpstr>
      <vt:lpstr>Nfix10</vt:lpstr>
      <vt:lpstr>Nfix14</vt:lpstr>
      <vt:lpstr>Nfix4</vt:lpstr>
      <vt:lpstr>Nfix9</vt:lpstr>
      <vt:lpstr>Nfixer6</vt:lpstr>
      <vt:lpstr>Nfixers8</vt:lpstr>
      <vt:lpstr>NfixPD</vt:lpstr>
      <vt:lpstr>NfixS</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NoOutlet5</vt:lpstr>
      <vt:lpstr>NoOutlet6</vt:lpstr>
      <vt:lpstr>NoPermW10</vt:lpstr>
      <vt:lpstr>NoPersis</vt:lpstr>
      <vt:lpstr>NoPonded</vt:lpstr>
      <vt:lpstr>NoSeasonal</vt:lpstr>
      <vt:lpstr>NotFen5</vt:lpstr>
      <vt:lpstr>NotNewWet</vt:lpstr>
      <vt:lpstr>NoWater3</vt:lpstr>
      <vt:lpstr>NoWater4a</vt:lpstr>
      <vt:lpstr>NsampDown</vt:lpstr>
      <vt:lpstr>NsampUp</vt:lpstr>
      <vt:lpstr>Nsource4</vt:lpstr>
      <vt:lpstr>NutrAvail6</vt:lpstr>
      <vt:lpstr>OpenPonded7</vt:lpstr>
      <vt:lpstr>OpenW</vt:lpstr>
      <vt:lpstr>Organic4</vt:lpstr>
      <vt:lpstr>OutDur2</vt:lpstr>
      <vt:lpstr>OutDur2_</vt:lpstr>
      <vt:lpstr>OutDur7</vt:lpstr>
      <vt:lpstr>OutDura_S</vt:lpstr>
      <vt:lpstr>OutDura1</vt:lpstr>
      <vt:lpstr>OutDura10</vt:lpstr>
      <vt:lpstr>OutDura3</vt:lpstr>
      <vt:lpstr>OutDura4</vt:lpstr>
      <vt:lpstr>OutDura5</vt:lpstr>
      <vt:lpstr>OutDura6</vt:lpstr>
      <vt:lpstr>OutDura9</vt:lpstr>
      <vt:lpstr>OutNone</vt:lpstr>
      <vt:lpstr>OutNone1</vt:lpstr>
      <vt:lpstr>OverRich</vt:lpstr>
      <vt:lpstr>Ownership</vt:lpstr>
      <vt:lpstr>OwnerSS</vt:lpstr>
      <vt:lpstr>PermWpct10</vt:lpstr>
      <vt:lpstr>PermWpct11</vt:lpstr>
      <vt:lpstr>PermWpct12</vt:lpstr>
      <vt:lpstr>PermWpct13</vt:lpstr>
      <vt:lpstr>PermWpct14</vt:lpstr>
      <vt:lpstr>PermWpct4</vt:lpstr>
      <vt:lpstr>PermWpct5</vt:lpstr>
      <vt:lpstr>PermWpct8</vt:lpstr>
      <vt:lpstr>PermWpct9</vt:lpstr>
      <vt:lpstr>Persis3</vt:lpstr>
      <vt:lpstr>persist0</vt:lpstr>
      <vt:lpstr>PhysAccum5</vt:lpstr>
      <vt:lpstr>PlantCov6</vt:lpstr>
      <vt:lpstr>Pload3</vt:lpstr>
      <vt:lpstr>PollenOn</vt:lpstr>
      <vt:lpstr>PondedPct6</vt:lpstr>
      <vt:lpstr>Ponding2</vt:lpstr>
      <vt:lpstr>PondNum11v</vt:lpstr>
      <vt:lpstr>PondNum12v</vt:lpstr>
      <vt:lpstr>PondNum13v</vt:lpstr>
      <vt:lpstr>PondPct4</vt:lpstr>
      <vt:lpstr>PondProx_S</vt:lpstr>
      <vt:lpstr>PondProx11</vt:lpstr>
      <vt:lpstr>PondProx12</vt:lpstr>
      <vt:lpstr>PondProx13</vt:lpstr>
      <vt:lpstr>PondProx14</vt:lpstr>
      <vt:lpstr>PondProx15</vt:lpstr>
      <vt:lpstr>PopCtr12</vt:lpstr>
      <vt:lpstr>PopCtr14</vt:lpstr>
      <vt:lpstr>PopCtr15</vt:lpstr>
      <vt:lpstr>PopCtr9</vt:lpstr>
      <vt:lpstr>PopCtrDisPU</vt:lpstr>
      <vt:lpstr>PopCtrDist</vt:lpstr>
      <vt:lpstr>PopDist10</vt:lpstr>
      <vt:lpstr>PopDist4</vt:lpstr>
      <vt:lpstr>F!Print_Area</vt:lpstr>
      <vt:lpstr>OF!Print_Area</vt:lpstr>
      <vt:lpstr>S!Print_Area</vt:lpstr>
      <vt:lpstr>Scores!Print_Area</vt:lpstr>
      <vt:lpstr>Produc</vt:lpstr>
      <vt:lpstr>Produc10</vt:lpstr>
      <vt:lpstr>Produc11</vt:lpstr>
      <vt:lpstr>Produc12</vt:lpstr>
      <vt:lpstr>Produc13</vt:lpstr>
      <vt:lpstr>Produc14</vt:lpstr>
      <vt:lpstr>Produc9</vt:lpstr>
      <vt:lpstr>Productiv</vt:lpstr>
      <vt:lpstr>Productiv6</vt:lpstr>
      <vt:lpstr>PsampDown3</vt:lpstr>
      <vt:lpstr>PsampUp3</vt:lpstr>
      <vt:lpstr>Rare12</vt:lpstr>
      <vt:lpstr>Rare13</vt:lpstr>
      <vt:lpstr>Rare14</vt:lpstr>
      <vt:lpstr>RareAll</vt:lpstr>
      <vt:lpstr>rareherb</vt:lpstr>
      <vt:lpstr>RareHerp</vt:lpstr>
      <vt:lpstr>RarePsp20</vt:lpstr>
      <vt:lpstr>RareSpp_S</vt:lpstr>
      <vt:lpstr>RareSpPD</vt:lpstr>
      <vt:lpstr>RareWclassPD</vt:lpstr>
      <vt:lpstr>RdBox</vt:lpstr>
      <vt:lpstr>RdBox14</vt:lpstr>
      <vt:lpstr>RdDis11</vt:lpstr>
      <vt:lpstr>RdDis13</vt:lpstr>
      <vt:lpstr>RdDist4</vt:lpstr>
      <vt:lpstr>RecPot</vt:lpstr>
      <vt:lpstr>RecreaPoten</vt:lpstr>
      <vt:lpstr>RecUse</vt:lpstr>
      <vt:lpstr>Redox4</vt:lpstr>
      <vt:lpstr>ResFish</vt:lpstr>
      <vt:lpstr>ResFishScore2_</vt:lpstr>
      <vt:lpstr>RoadCirc11</vt:lpstr>
      <vt:lpstr>Salt20</vt:lpstr>
      <vt:lpstr>SatPct_S</vt:lpstr>
      <vt:lpstr>SatPct10</vt:lpstr>
      <vt:lpstr>SatPct11</vt:lpstr>
      <vt:lpstr>SatPct12</vt:lpstr>
      <vt:lpstr>SatPct13</vt:lpstr>
      <vt:lpstr>SatPct14</vt:lpstr>
      <vt:lpstr>SatPct2v</vt:lpstr>
      <vt:lpstr>SatPct3</vt:lpstr>
      <vt:lpstr>SatPct4</vt:lpstr>
      <vt:lpstr>SatPct7</vt:lpstr>
      <vt:lpstr>SatPct8</vt:lpstr>
      <vt:lpstr>SatPct9</vt:lpstr>
      <vt:lpstr>SatPctPD</vt:lpstr>
      <vt:lpstr>Satur10</vt:lpstr>
      <vt:lpstr>SBMscore10</vt:lpstr>
      <vt:lpstr>ScapeLU11</vt:lpstr>
      <vt:lpstr>ScapeLU14</vt:lpstr>
      <vt:lpstr>SciUse</vt:lpstr>
      <vt:lpstr>ScorePLDf</vt:lpstr>
      <vt:lpstr>ScorePOLf</vt:lpstr>
      <vt:lpstr>ScoreSBM</vt:lpstr>
      <vt:lpstr>SeasPct1</vt:lpstr>
      <vt:lpstr>SeasPct2</vt:lpstr>
      <vt:lpstr>SeasPct8</vt:lpstr>
      <vt:lpstr>SeasWpct12</vt:lpstr>
      <vt:lpstr>SeasWpct13</vt:lpstr>
      <vt:lpstr>SeasWpct4</vt:lpstr>
      <vt:lpstr>SeasWpct5</vt:lpstr>
      <vt:lpstr>SeasWpct6</vt:lpstr>
      <vt:lpstr>SeasWpct9</vt:lpstr>
      <vt:lpstr>SeasWpctPD</vt:lpstr>
      <vt:lpstr>SedCA8</vt:lpstr>
      <vt:lpstr>SedCA8a</vt:lpstr>
      <vt:lpstr>SedDep20</vt:lpstr>
      <vt:lpstr>SedDisturb20</vt:lpstr>
      <vt:lpstr>SedExcess10</vt:lpstr>
      <vt:lpstr>Sedge5</vt:lpstr>
      <vt:lpstr>SedIn2</vt:lpstr>
      <vt:lpstr>SedIn9</vt:lpstr>
      <vt:lpstr>SedLoad</vt:lpstr>
      <vt:lpstr>Shade7</vt:lpstr>
      <vt:lpstr>Shade9</vt:lpstr>
      <vt:lpstr>ShadeIn7</vt:lpstr>
      <vt:lpstr>ShedPos1</vt:lpstr>
      <vt:lpstr>ShedPos2</vt:lpstr>
      <vt:lpstr>ShedPos7</vt:lpstr>
      <vt:lpstr>ShoreSlope13</vt:lpstr>
      <vt:lpstr>ShrubDiv0</vt:lpstr>
      <vt:lpstr>ShrubDiv14</vt:lpstr>
      <vt:lpstr>ShrubPattS</vt:lpstr>
      <vt:lpstr>ShrubSun11</vt:lpstr>
      <vt:lpstr>SizeHerbac13</vt:lpstr>
      <vt:lpstr>SizeHerbac14</vt:lpstr>
      <vt:lpstr>SizePD</vt:lpstr>
      <vt:lpstr>SizeVegConnec15</vt:lpstr>
      <vt:lpstr>SnagB13</vt:lpstr>
      <vt:lpstr>SnagD14</vt:lpstr>
      <vt:lpstr>Snags0</vt:lpstr>
      <vt:lpstr>Soil2_</vt:lpstr>
      <vt:lpstr>SoilDisturb</vt:lpstr>
      <vt:lpstr>SoilDisturb15</vt:lpstr>
      <vt:lpstr>SoilDisturb3</vt:lpstr>
      <vt:lpstr>SoilDisturb4</vt:lpstr>
      <vt:lpstr>SoilDisturb5</vt:lpstr>
      <vt:lpstr>SoilDisturb8</vt:lpstr>
      <vt:lpstr>SoilDisturb8a</vt:lpstr>
      <vt:lpstr>SoilTex_S</vt:lpstr>
      <vt:lpstr>SoilTex1</vt:lpstr>
      <vt:lpstr>SoilTex3</vt:lpstr>
      <vt:lpstr>SoilTex4</vt:lpstr>
      <vt:lpstr>SoilTex5</vt:lpstr>
      <vt:lpstr>SoilTex6</vt:lpstr>
      <vt:lpstr>SoilTexPD</vt:lpstr>
      <vt:lpstr>SongbMam</vt:lpstr>
      <vt:lpstr>SppArea</vt:lpstr>
      <vt:lpstr>Stain3</vt:lpstr>
      <vt:lpstr>Steep1</vt:lpstr>
      <vt:lpstr>Steep13</vt:lpstr>
      <vt:lpstr>Steep1ws</vt:lpstr>
      <vt:lpstr>Steep2ws</vt:lpstr>
      <vt:lpstr>Stress0</vt:lpstr>
      <vt:lpstr>Stress10</vt:lpstr>
      <vt:lpstr>Stress11</vt:lpstr>
      <vt:lpstr>Stress12</vt:lpstr>
      <vt:lpstr>Stress14</vt:lpstr>
      <vt:lpstr>Stress9</vt:lpstr>
      <vt:lpstr>Stressors13</vt:lpstr>
      <vt:lpstr>Stressors8</vt:lpstr>
      <vt:lpstr>StressPD</vt:lpstr>
      <vt:lpstr>Struc10</vt:lpstr>
      <vt:lpstr>Struc11</vt:lpstr>
      <vt:lpstr>Struc12</vt:lpstr>
      <vt:lpstr>Struc13</vt:lpstr>
      <vt:lpstr>Struc9</vt:lpstr>
      <vt:lpstr>StrucA</vt:lpstr>
      <vt:lpstr>StrucB</vt:lpstr>
      <vt:lpstr>Structure8</vt:lpstr>
      <vt:lpstr>Subsurf</vt:lpstr>
      <vt:lpstr>Subtypes8</vt:lpstr>
      <vt:lpstr>Swater</vt:lpstr>
      <vt:lpstr>SWOpd</vt:lpstr>
      <vt:lpstr>TerrFertilPD</vt:lpstr>
      <vt:lpstr>TerrStruc11</vt:lpstr>
      <vt:lpstr>ThruFlo1</vt:lpstr>
      <vt:lpstr>ThruFlo10</vt:lpstr>
      <vt:lpstr>ThruFlo2</vt:lpstr>
      <vt:lpstr>ThruFlo3</vt:lpstr>
      <vt:lpstr>ThruFlo4</vt:lpstr>
      <vt:lpstr>ThruFlo6</vt:lpstr>
      <vt:lpstr>ThruFlo8</vt:lpstr>
      <vt:lpstr>ThruFlo9</vt:lpstr>
      <vt:lpstr>TidalPD</vt:lpstr>
      <vt:lpstr>TidalProx12</vt:lpstr>
      <vt:lpstr>TidalProx8</vt:lpstr>
      <vt:lpstr>TidalProx9</vt:lpstr>
      <vt:lpstr>TidalProxPU</vt:lpstr>
      <vt:lpstr>TooSmall</vt:lpstr>
      <vt:lpstr>TooSteep</vt:lpstr>
      <vt:lpstr>TooSteep12</vt:lpstr>
      <vt:lpstr>TooSteep13</vt:lpstr>
      <vt:lpstr>ToxData10</vt:lpstr>
      <vt:lpstr>ToxData2</vt:lpstr>
      <vt:lpstr>ToxData9</vt:lpstr>
      <vt:lpstr>Toxic</vt:lpstr>
      <vt:lpstr>Toxic0</vt:lpstr>
      <vt:lpstr>Toxic11</vt:lpstr>
      <vt:lpstr>ToxicData</vt:lpstr>
      <vt:lpstr>ToxicIn11</vt:lpstr>
      <vt:lpstr>ToxicIn9</vt:lpstr>
      <vt:lpstr>toxics13</vt:lpstr>
      <vt:lpstr>ToxOnsite</vt:lpstr>
      <vt:lpstr>ToxUp2</vt:lpstr>
      <vt:lpstr>Transport1</vt:lpstr>
      <vt:lpstr>Transport3</vt:lpstr>
      <vt:lpstr>Transport4</vt:lpstr>
      <vt:lpstr>TransportSS</vt:lpstr>
      <vt:lpstr>TreeCanop4</vt:lpstr>
      <vt:lpstr>TreeCovS</vt:lpstr>
      <vt:lpstr>TreeDBHs</vt:lpstr>
      <vt:lpstr>TreeForm13</vt:lpstr>
      <vt:lpstr>TreeForm5</vt:lpstr>
      <vt:lpstr>Trees13</vt:lpstr>
      <vt:lpstr>TreeTyp13</vt:lpstr>
      <vt:lpstr>TreeTypes14</vt:lpstr>
      <vt:lpstr>TreeVar11</vt:lpstr>
      <vt:lpstr>Unif14</vt:lpstr>
      <vt:lpstr>UpEdge_S</vt:lpstr>
      <vt:lpstr>UpEdge14</vt:lpstr>
      <vt:lpstr>UpEdgeShape4</vt:lpstr>
      <vt:lpstr>VegPct5k15</vt:lpstr>
      <vt:lpstr>VegPctScape_S</vt:lpstr>
      <vt:lpstr>VegWabs3</vt:lpstr>
      <vt:lpstr>Visib12</vt:lpstr>
      <vt:lpstr>Visibility</vt:lpstr>
      <vt:lpstr>VisibWet</vt:lpstr>
      <vt:lpstr>VscoreSRM</vt:lpstr>
      <vt:lpstr>VscoreWBF</vt:lpstr>
      <vt:lpstr>VscoreWBN</vt:lpstr>
      <vt:lpstr>Vwidth11</vt:lpstr>
      <vt:lpstr>Vwidth14</vt:lpstr>
      <vt:lpstr>VwidthAbs_S</vt:lpstr>
      <vt:lpstr>VwidthAbs13</vt:lpstr>
      <vt:lpstr>VwidthAbs4</vt:lpstr>
      <vt:lpstr>VwidthAbs5</vt:lpstr>
      <vt:lpstr>VwidthAbs6</vt:lpstr>
      <vt:lpstr>WarmInflo7</vt:lpstr>
      <vt:lpstr>Warmth1</vt:lpstr>
      <vt:lpstr>warmth10</vt:lpstr>
      <vt:lpstr>warmth12</vt:lpstr>
      <vt:lpstr>Warmth2</vt:lpstr>
      <vt:lpstr>Warmth3</vt:lpstr>
      <vt:lpstr>Warmth4</vt:lpstr>
      <vt:lpstr>Warmth5</vt:lpstr>
      <vt:lpstr>Warmth6</vt:lpstr>
      <vt:lpstr>Warmth7</vt:lpstr>
      <vt:lpstr>warmth8</vt:lpstr>
      <vt:lpstr>WatEdgeSlope2</vt:lpstr>
      <vt:lpstr>Water10</vt:lpstr>
      <vt:lpstr>Water11</vt:lpstr>
      <vt:lpstr>Water12</vt:lpstr>
      <vt:lpstr>Water13</vt:lpstr>
      <vt:lpstr>Water14</vt:lpstr>
      <vt:lpstr>Water15</vt:lpstr>
      <vt:lpstr>Water3</vt:lpstr>
      <vt:lpstr>Water4</vt:lpstr>
      <vt:lpstr>Water7</vt:lpstr>
      <vt:lpstr>Water8</vt:lpstr>
      <vt:lpstr>Water9</vt:lpstr>
      <vt:lpstr>Waterscape11</vt:lpstr>
      <vt:lpstr>WBFscore10</vt:lpstr>
      <vt:lpstr>WBFscores</vt:lpstr>
      <vt:lpstr>WbirdF</vt:lpstr>
      <vt:lpstr>WbirdFeed</vt:lpstr>
      <vt:lpstr>WbirdFeed10</vt:lpstr>
      <vt:lpstr>WbirdNest</vt:lpstr>
      <vt:lpstr>WBNsiteS</vt:lpstr>
      <vt:lpstr>WeedSource</vt:lpstr>
      <vt:lpstr>WeedSourcePD</vt:lpstr>
      <vt:lpstr>WetIntercept</vt:lpstr>
      <vt:lpstr>WetPctCA2</vt:lpstr>
      <vt:lpstr>WetPctCA4</vt:lpstr>
      <vt:lpstr>WetSize_S</vt:lpstr>
      <vt:lpstr>Wetter</vt:lpstr>
      <vt:lpstr>Wetter5</vt:lpstr>
      <vt:lpstr>WetterEx</vt:lpstr>
      <vt:lpstr>Wettype10</vt:lpstr>
      <vt:lpstr>Wettype11</vt:lpstr>
      <vt:lpstr>Wettype12</vt:lpstr>
      <vt:lpstr>Wettype13</vt:lpstr>
      <vt:lpstr>Wettype2</vt:lpstr>
      <vt:lpstr>Wettype4</vt:lpstr>
      <vt:lpstr>Wettype5</vt:lpstr>
      <vt:lpstr>Wettype6</vt:lpstr>
      <vt:lpstr>Wettype8</vt:lpstr>
      <vt:lpstr>Wettype9</vt:lpstr>
      <vt:lpstr>WetTypeDiv11</vt:lpstr>
      <vt:lpstr>WetTypeDiv12</vt:lpstr>
      <vt:lpstr>WetTypeDiv14</vt:lpstr>
      <vt:lpstr>WettypePD</vt:lpstr>
      <vt:lpstr>WettypeS</vt:lpstr>
      <vt:lpstr>WidthAbs2</vt:lpstr>
      <vt:lpstr>WidthPD</vt:lpstr>
      <vt:lpstr>WoodAbove10</vt:lpstr>
      <vt:lpstr>WoodAbove11</vt:lpstr>
      <vt:lpstr>WoodAbove9</vt:lpstr>
      <vt:lpstr>WoodDown11</vt:lpstr>
      <vt:lpstr>WoodDown14</vt:lpstr>
      <vt:lpstr>WoodDown8</vt:lpstr>
      <vt:lpstr>WoodHerbMix11</vt:lpstr>
      <vt:lpstr>WoodHerbMix15</vt:lpstr>
      <vt:lpstr>WoodHerbMix8</vt:lpstr>
      <vt:lpstr>WoodPatt14</vt:lpstr>
      <vt:lpstr>WoodSpDom15</vt:lpstr>
      <vt:lpstr>Woody14</vt:lpstr>
      <vt:lpstr>woodydbh0</vt:lpstr>
      <vt:lpstr>WoodyHtDiv14</vt:lpstr>
      <vt:lpstr>WoodyHtDiv15</vt:lpstr>
      <vt:lpstr>WoodyHtForm0</vt:lpstr>
      <vt:lpstr>WoodySens2_S</vt:lpstr>
      <vt:lpstr>WoodyTyp4</vt:lpstr>
      <vt:lpstr>WoodyUniq</vt:lpstr>
      <vt:lpstr>WoodyUniq0</vt:lpstr>
      <vt:lpstr>WoodyUniq14</vt:lpstr>
      <vt:lpstr>WoodyUniq20</vt:lpstr>
      <vt:lpstr>WQstress</vt:lpstr>
      <vt:lpstr>Wscape</vt:lpstr>
      <vt:lpstr>Wscape14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Paul</cp:lastModifiedBy>
  <cp:lastPrinted>2011-10-06T03:58:50Z</cp:lastPrinted>
  <dcterms:created xsi:type="dcterms:W3CDTF">2007-07-23T17:47:56Z</dcterms:created>
  <dcterms:modified xsi:type="dcterms:W3CDTF">2016-05-04T01:20:56Z</dcterms:modified>
</cp:coreProperties>
</file>