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urrier.10100176\Documents\Excel Exposure Website\"/>
    </mc:Choice>
  </mc:AlternateContent>
  <bookViews>
    <workbookView xWindow="0" yWindow="0" windowWidth="28800" windowHeight="12210"/>
  </bookViews>
  <sheets>
    <sheet name="Assumptions" sheetId="1" r:id="rId1"/>
    <sheet name="Calculations" sheetId="5" r:id="rId2"/>
    <sheet name="P&amp;L" sheetId="2" r:id="rId3"/>
    <sheet name="Balance sheet" sheetId="3" r:id="rId4"/>
    <sheet name="Cash Flow" sheetId="4" r:id="rId5"/>
    <sheet name="Ratio analysis" sheetId="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/>
  <c r="G19" i="5"/>
  <c r="E19" i="5"/>
  <c r="E20" i="5" s="1"/>
  <c r="E21" i="5" s="1"/>
  <c r="F15" i="5"/>
  <c r="G15" i="5"/>
  <c r="E15" i="5"/>
  <c r="E16" i="5" s="1"/>
  <c r="D11" i="5"/>
  <c r="D13" i="5" s="1"/>
  <c r="D9" i="5"/>
  <c r="E6" i="5" s="1"/>
  <c r="F21" i="1"/>
  <c r="G21" i="1" s="1"/>
  <c r="E17" i="5" l="1"/>
  <c r="E11" i="5"/>
  <c r="E7" i="5" s="1"/>
  <c r="E16" i="3"/>
  <c r="F16" i="3" s="1"/>
  <c r="G16" i="3" s="1"/>
  <c r="F9" i="1"/>
  <c r="G9" i="1" s="1"/>
  <c r="E5" i="2"/>
  <c r="F6" i="1"/>
  <c r="G6" i="1" s="1"/>
  <c r="F7" i="1"/>
  <c r="G7" i="1" s="1"/>
  <c r="F8" i="1"/>
  <c r="G8" i="1" s="1"/>
  <c r="F10" i="1"/>
  <c r="G10" i="1" s="1"/>
  <c r="F11" i="1"/>
  <c r="G11" i="1" s="1"/>
  <c r="F12" i="1"/>
  <c r="G12" i="1" s="1"/>
  <c r="F5" i="1"/>
  <c r="G5" i="1" s="1"/>
  <c r="D17" i="4"/>
  <c r="E15" i="4" s="1"/>
  <c r="B30" i="5"/>
  <c r="D30" i="5"/>
  <c r="B32" i="5"/>
  <c r="D32" i="5"/>
  <c r="D19" i="1"/>
  <c r="E6" i="3" l="1"/>
  <c r="E18" i="6" s="1"/>
  <c r="E5" i="6"/>
  <c r="F16" i="5"/>
  <c r="F20" i="5"/>
  <c r="G20" i="5" s="1"/>
  <c r="G21" i="5" s="1"/>
  <c r="E12" i="4"/>
  <c r="E13" i="4" s="1"/>
  <c r="E12" i="5"/>
  <c r="E8" i="5" s="1"/>
  <c r="G16" i="5"/>
  <c r="F11" i="5"/>
  <c r="F7" i="5" s="1"/>
  <c r="D33" i="5"/>
  <c r="D27" i="5"/>
  <c r="E24" i="5" s="1"/>
  <c r="F21" i="5" l="1"/>
  <c r="F12" i="4"/>
  <c r="F13" i="4" s="1"/>
  <c r="F12" i="5"/>
  <c r="G17" i="5"/>
  <c r="E13" i="5"/>
  <c r="E9" i="5"/>
  <c r="F6" i="5" s="1"/>
  <c r="F17" i="5"/>
  <c r="G11" i="5"/>
  <c r="E12" i="2"/>
  <c r="F12" i="2" s="1"/>
  <c r="G12" i="2" s="1"/>
  <c r="G7" i="5" l="1"/>
  <c r="G12" i="4" s="1"/>
  <c r="G13" i="4" s="1"/>
  <c r="G12" i="5"/>
  <c r="G8" i="5" s="1"/>
  <c r="F8" i="5"/>
  <c r="F9" i="5" s="1"/>
  <c r="G6" i="5" s="1"/>
  <c r="F13" i="5"/>
  <c r="D15" i="2"/>
  <c r="G13" i="5" l="1"/>
  <c r="G9" i="5"/>
  <c r="E30" i="5"/>
  <c r="F5" i="2"/>
  <c r="E15" i="2"/>
  <c r="E7" i="4" s="1"/>
  <c r="E6" i="2"/>
  <c r="E7" i="3" s="1"/>
  <c r="F6" i="3" l="1"/>
  <c r="F18" i="6" s="1"/>
  <c r="F5" i="6"/>
  <c r="E31" i="5"/>
  <c r="E19" i="6"/>
  <c r="E12" i="3"/>
  <c r="F6" i="2"/>
  <c r="F7" i="3" s="1"/>
  <c r="G5" i="2"/>
  <c r="E7" i="2"/>
  <c r="F30" i="5" l="1"/>
  <c r="G6" i="3"/>
  <c r="G18" i="6" s="1"/>
  <c r="G5" i="6"/>
  <c r="F31" i="5"/>
  <c r="F19" i="6"/>
  <c r="E32" i="5"/>
  <c r="E33" i="5" s="1"/>
  <c r="E34" i="5" s="1"/>
  <c r="E20" i="6"/>
  <c r="F12" i="3"/>
  <c r="F15" i="2"/>
  <c r="F7" i="4" s="1"/>
  <c r="E5" i="3"/>
  <c r="E22" i="6" s="1"/>
  <c r="F7" i="2"/>
  <c r="G30" i="5"/>
  <c r="G6" i="2"/>
  <c r="G7" i="3" s="1"/>
  <c r="D18" i="3"/>
  <c r="D14" i="3"/>
  <c r="D9" i="3"/>
  <c r="D11" i="2"/>
  <c r="E11" i="2" s="1"/>
  <c r="F11" i="2" s="1"/>
  <c r="G11" i="2" s="1"/>
  <c r="D10" i="2"/>
  <c r="E10" i="2" s="1"/>
  <c r="F10" i="2" s="1"/>
  <c r="G10" i="2" s="1"/>
  <c r="D9" i="2"/>
  <c r="E9" i="2" s="1"/>
  <c r="F9" i="2" s="1"/>
  <c r="G9" i="2" s="1"/>
  <c r="D6" i="2"/>
  <c r="D20" i="1" s="1"/>
  <c r="F32" i="5" l="1"/>
  <c r="F33" i="5" s="1"/>
  <c r="F34" i="5" s="1"/>
  <c r="F9" i="4" s="1"/>
  <c r="F20" i="6"/>
  <c r="G31" i="5"/>
  <c r="G19" i="6"/>
  <c r="E21" i="6"/>
  <c r="G12" i="3"/>
  <c r="G20" i="6" s="1"/>
  <c r="F13" i="2"/>
  <c r="G7" i="2"/>
  <c r="G13" i="2" s="1"/>
  <c r="F5" i="3"/>
  <c r="F22" i="6" s="1"/>
  <c r="E13" i="2"/>
  <c r="E9" i="4"/>
  <c r="D7" i="2"/>
  <c r="D19" i="3"/>
  <c r="D21" i="3" s="1"/>
  <c r="E16" i="2" l="1"/>
  <c r="E12" i="6"/>
  <c r="G12" i="6"/>
  <c r="G6" i="6"/>
  <c r="F16" i="2"/>
  <c r="F12" i="6"/>
  <c r="F6" i="6"/>
  <c r="F21" i="6"/>
  <c r="G32" i="5"/>
  <c r="G33" i="5" s="1"/>
  <c r="G15" i="2"/>
  <c r="G7" i="4" s="1"/>
  <c r="D13" i="2"/>
  <c r="E6" i="6" s="1"/>
  <c r="G21" i="6" l="1"/>
  <c r="F18" i="2"/>
  <c r="F25" i="5" s="1"/>
  <c r="F11" i="6"/>
  <c r="E18" i="2"/>
  <c r="E11" i="6"/>
  <c r="G34" i="5"/>
  <c r="G9" i="4" s="1"/>
  <c r="G16" i="2"/>
  <c r="G5" i="3"/>
  <c r="G22" i="6" s="1"/>
  <c r="D16" i="2"/>
  <c r="F6" i="4" l="1"/>
  <c r="F19" i="2"/>
  <c r="G18" i="2"/>
  <c r="G6" i="4" s="1"/>
  <c r="G11" i="6"/>
  <c r="E6" i="4"/>
  <c r="E19" i="2"/>
  <c r="E25" i="5"/>
  <c r="D18" i="2"/>
  <c r="G25" i="5" l="1"/>
  <c r="E15" i="6"/>
  <c r="E13" i="6"/>
  <c r="E23" i="1"/>
  <c r="E17" i="3"/>
  <c r="E5" i="4"/>
  <c r="F8" i="6"/>
  <c r="F15" i="6"/>
  <c r="F13" i="6"/>
  <c r="F23" i="1"/>
  <c r="F5" i="4"/>
  <c r="G19" i="2"/>
  <c r="G23" i="1" s="1"/>
  <c r="J6" i="1" s="1"/>
  <c r="E13" i="1"/>
  <c r="E26" i="5" s="1"/>
  <c r="E8" i="4" s="1"/>
  <c r="F13" i="1"/>
  <c r="F26" i="5" s="1"/>
  <c r="D19" i="2"/>
  <c r="E8" i="6" s="1"/>
  <c r="F8" i="4" l="1"/>
  <c r="E10" i="4"/>
  <c r="G13" i="6"/>
  <c r="G8" i="6"/>
  <c r="G15" i="6"/>
  <c r="E18" i="3"/>
  <c r="E14" i="6" s="1"/>
  <c r="F17" i="3"/>
  <c r="F18" i="3" s="1"/>
  <c r="F14" i="6" s="1"/>
  <c r="G5" i="4"/>
  <c r="F10" i="4"/>
  <c r="E27" i="5"/>
  <c r="E13" i="3" s="1"/>
  <c r="E14" i="3" s="1"/>
  <c r="E19" i="3" s="1"/>
  <c r="G13" i="1"/>
  <c r="G26" i="5" s="1"/>
  <c r="F7" i="6" l="1"/>
  <c r="F16" i="4"/>
  <c r="G8" i="4"/>
  <c r="G10" i="4" s="1"/>
  <c r="G17" i="3"/>
  <c r="G18" i="3" s="1"/>
  <c r="G14" i="6" s="1"/>
  <c r="E16" i="4"/>
  <c r="E17" i="4" s="1"/>
  <c r="F24" i="5"/>
  <c r="F27" i="5" s="1"/>
  <c r="F13" i="3" s="1"/>
  <c r="F14" i="3" s="1"/>
  <c r="F19" i="3" s="1"/>
  <c r="G7" i="6" l="1"/>
  <c r="G16" i="4"/>
  <c r="F15" i="4"/>
  <c r="F17" i="4" s="1"/>
  <c r="G15" i="4" s="1"/>
  <c r="E8" i="3"/>
  <c r="E9" i="3" s="1"/>
  <c r="E21" i="3" s="1"/>
  <c r="G24" i="5"/>
  <c r="G27" i="5" s="1"/>
  <c r="G13" i="3" s="1"/>
  <c r="G14" i="3" s="1"/>
  <c r="G19" i="3" s="1"/>
  <c r="G17" i="4" l="1"/>
  <c r="F8" i="3"/>
  <c r="F9" i="3" s="1"/>
  <c r="F21" i="3" s="1"/>
  <c r="G8" i="3"/>
  <c r="G9" i="3" s="1"/>
  <c r="G21" i="3" s="1"/>
</calcChain>
</file>

<file path=xl/sharedStrings.xml><?xml version="1.0" encoding="utf-8"?>
<sst xmlns="http://schemas.openxmlformats.org/spreadsheetml/2006/main" count="151" uniqueCount="96">
  <si>
    <t>Sales growth</t>
  </si>
  <si>
    <t>COGS Margin</t>
  </si>
  <si>
    <t>Salaries</t>
  </si>
  <si>
    <t>Rent</t>
  </si>
  <si>
    <t>Recievable days</t>
  </si>
  <si>
    <t>Payable days</t>
  </si>
  <si>
    <t>Sales</t>
  </si>
  <si>
    <t>COGS</t>
  </si>
  <si>
    <t>General Expenses</t>
  </si>
  <si>
    <t>Marketing</t>
  </si>
  <si>
    <t>EBITDA</t>
  </si>
  <si>
    <t>Depreciation</t>
  </si>
  <si>
    <t>EBIT</t>
  </si>
  <si>
    <t>Net Income</t>
  </si>
  <si>
    <t>%</t>
  </si>
  <si>
    <t>Salaries growth</t>
  </si>
  <si>
    <t>Rent growth</t>
  </si>
  <si>
    <t>General expenses growth</t>
  </si>
  <si>
    <t>Marketing expenses growth</t>
  </si>
  <si>
    <t>Depreciation (straight line)</t>
  </si>
  <si>
    <t>Cash</t>
  </si>
  <si>
    <t>Fixed assets</t>
  </si>
  <si>
    <t>Debtors</t>
  </si>
  <si>
    <t>Creditors</t>
  </si>
  <si>
    <t>Total liabilities</t>
  </si>
  <si>
    <t>Historic</t>
  </si>
  <si>
    <t>Estimate</t>
  </si>
  <si>
    <t>Income statement</t>
  </si>
  <si>
    <t>Balance sheet</t>
  </si>
  <si>
    <t>$'000</t>
  </si>
  <si>
    <t>Assets</t>
  </si>
  <si>
    <t>Equity &amp; Liabilities</t>
  </si>
  <si>
    <t>Total Equity &amp; Liability</t>
  </si>
  <si>
    <t>DIFFERENCE</t>
  </si>
  <si>
    <t>ABC 123 Ltd</t>
  </si>
  <si>
    <t>% pa</t>
  </si>
  <si>
    <t>Corporate tax rate</t>
  </si>
  <si>
    <t>Working Capital</t>
  </si>
  <si>
    <t>Total working capital</t>
  </si>
  <si>
    <t>Paid</t>
  </si>
  <si>
    <t>Corporate tax paid</t>
  </si>
  <si>
    <t>$</t>
  </si>
  <si>
    <t>Changes in working capital</t>
  </si>
  <si>
    <t>Gross fixed asset</t>
  </si>
  <si>
    <t>Months</t>
  </si>
  <si>
    <t>Net profit</t>
  </si>
  <si>
    <t>Change in net profit for 2019</t>
  </si>
  <si>
    <t>Tax payable</t>
  </si>
  <si>
    <t>Inventory days</t>
  </si>
  <si>
    <t>Inventory</t>
  </si>
  <si>
    <t>New fixed asset 1 (gross value)</t>
  </si>
  <si>
    <t>New fixed asset 2 (gross value)</t>
  </si>
  <si>
    <t>Growth</t>
  </si>
  <si>
    <t>Profitability</t>
  </si>
  <si>
    <t>Return on Equity</t>
  </si>
  <si>
    <t>Asset management</t>
  </si>
  <si>
    <t>Opening Balance</t>
  </si>
  <si>
    <t>New Assets</t>
  </si>
  <si>
    <t>Closing Balance</t>
  </si>
  <si>
    <t>Gross Asset Value</t>
  </si>
  <si>
    <t>Accumulated Depreciation</t>
  </si>
  <si>
    <t>Net Asset Value</t>
  </si>
  <si>
    <t>New Fixed Asset - 1</t>
  </si>
  <si>
    <t>New Fixed Asset - 2</t>
  </si>
  <si>
    <t>Addition During Year</t>
  </si>
  <si>
    <t>Gross Profit</t>
  </si>
  <si>
    <t>Corporate Tax</t>
  </si>
  <si>
    <t>Fixed Assets</t>
  </si>
  <si>
    <t>Total Assets</t>
  </si>
  <si>
    <t>Tax Payable</t>
  </si>
  <si>
    <t>Share Capital</t>
  </si>
  <si>
    <t>Accumulated Income</t>
  </si>
  <si>
    <t>Total Equity</t>
  </si>
  <si>
    <t>Net Profit</t>
  </si>
  <si>
    <t>Tax Expense</t>
  </si>
  <si>
    <t>Actual Tax Paid</t>
  </si>
  <si>
    <t>Changes In Working Capital</t>
  </si>
  <si>
    <t>Operating Cashflow</t>
  </si>
  <si>
    <t>New Fixed Assets</t>
  </si>
  <si>
    <t>Investing Cashflow</t>
  </si>
  <si>
    <t>Opening Cash Balance</t>
  </si>
  <si>
    <t>Cash Flow</t>
  </si>
  <si>
    <t>Closing Cash Balance</t>
  </si>
  <si>
    <t>Revenue Growth</t>
  </si>
  <si>
    <t>EBITDA Growth</t>
  </si>
  <si>
    <t>Cash Flow Growth</t>
  </si>
  <si>
    <t>Net Income Growth</t>
  </si>
  <si>
    <t>EBIT Margin</t>
  </si>
  <si>
    <t>EBITDA Margin</t>
  </si>
  <si>
    <t>Net Income Margin</t>
  </si>
  <si>
    <t>Dividend Payment</t>
  </si>
  <si>
    <t>Receivable - Days</t>
  </si>
  <si>
    <t>Inventory - Days</t>
  </si>
  <si>
    <t>Payables - Days</t>
  </si>
  <si>
    <t>Working Capital to Sales</t>
  </si>
  <si>
    <t>Fixed Assets 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</si>
</sst>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\ &quot;E&quot;"/>
    <numFmt numFmtId="165" formatCode="_(* #,##0.0_);_(* \(#,##0.0\);_(* &quot;-&quot;??_);_(@_)"/>
    <numFmt numFmtId="166" formatCode="0.0"/>
    <numFmt numFmtId="167" formatCode="0.0%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 applyFill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/>
    <xf numFmtId="165" fontId="2" fillId="0" borderId="2" xfId="1" applyNumberFormat="1" applyFont="1" applyBorder="1"/>
    <xf numFmtId="0" fontId="2" fillId="0" borderId="2" xfId="0" applyFont="1" applyFill="1" applyBorder="1"/>
    <xf numFmtId="0" fontId="6" fillId="0" borderId="0" xfId="0" applyFont="1"/>
    <xf numFmtId="165" fontId="3" fillId="0" borderId="0" xfId="1" applyNumberFormat="1" applyFont="1" applyFill="1"/>
    <xf numFmtId="165" fontId="3" fillId="0" borderId="1" xfId="1" applyNumberFormat="1" applyFont="1" applyFill="1" applyBorder="1"/>
    <xf numFmtId="165" fontId="2" fillId="0" borderId="0" xfId="1" applyNumberFormat="1" applyFont="1" applyFill="1"/>
    <xf numFmtId="165" fontId="0" fillId="0" borderId="0" xfId="1" applyNumberFormat="1" applyFont="1" applyFill="1"/>
    <xf numFmtId="0" fontId="2" fillId="3" borderId="1" xfId="0" applyFont="1" applyFill="1" applyBorder="1"/>
    <xf numFmtId="17" fontId="2" fillId="3" borderId="1" xfId="0" applyNumberFormat="1" applyFont="1" applyFill="1" applyBorder="1"/>
    <xf numFmtId="0" fontId="2" fillId="3" borderId="1" xfId="0" applyNumberFormat="1" applyFont="1" applyFill="1" applyBorder="1"/>
    <xf numFmtId="165" fontId="0" fillId="0" borderId="0" xfId="1" applyNumberFormat="1" applyFont="1"/>
    <xf numFmtId="165" fontId="0" fillId="0" borderId="1" xfId="1" applyNumberFormat="1" applyFont="1" applyBorder="1"/>
    <xf numFmtId="165" fontId="2" fillId="0" borderId="0" xfId="1" applyNumberFormat="1" applyFont="1"/>
    <xf numFmtId="165" fontId="7" fillId="0" borderId="1" xfId="1" applyNumberFormat="1" applyFont="1" applyFill="1" applyBorder="1"/>
    <xf numFmtId="165" fontId="2" fillId="0" borderId="2" xfId="1" applyNumberFormat="1" applyFont="1" applyFill="1" applyBorder="1"/>
    <xf numFmtId="165" fontId="6" fillId="0" borderId="0" xfId="1" applyNumberFormat="1" applyFont="1"/>
    <xf numFmtId="165" fontId="3" fillId="2" borderId="0" xfId="1" applyNumberFormat="1" applyFont="1" applyFill="1"/>
    <xf numFmtId="0" fontId="2" fillId="3" borderId="1" xfId="0" applyNumberFormat="1" applyFont="1" applyFill="1" applyBorder="1" applyAlignment="1">
      <alignment horizontal="center"/>
    </xf>
    <xf numFmtId="166" fontId="3" fillId="2" borderId="0" xfId="0" applyNumberFormat="1" applyFont="1" applyFill="1"/>
    <xf numFmtId="167" fontId="3" fillId="2" borderId="0" xfId="2" applyNumberFormat="1" applyFont="1" applyFill="1"/>
    <xf numFmtId="168" fontId="0" fillId="0" borderId="0" xfId="1" applyNumberFormat="1" applyFont="1"/>
    <xf numFmtId="0" fontId="9" fillId="0" borderId="0" xfId="0" applyFont="1"/>
    <xf numFmtId="165" fontId="0" fillId="0" borderId="4" xfId="1" applyNumberFormat="1" applyFont="1" applyBorder="1"/>
    <xf numFmtId="165" fontId="0" fillId="0" borderId="3" xfId="1" applyNumberFormat="1" applyFont="1" applyBorder="1"/>
    <xf numFmtId="165" fontId="0" fillId="0" borderId="5" xfId="1" applyNumberFormat="1" applyFont="1" applyBorder="1"/>
    <xf numFmtId="165" fontId="0" fillId="0" borderId="0" xfId="1" applyNumberFormat="1" applyFont="1" applyBorder="1"/>
    <xf numFmtId="166" fontId="8" fillId="0" borderId="0" xfId="0" applyNumberFormat="1" applyFont="1"/>
    <xf numFmtId="0" fontId="0" fillId="0" borderId="0" xfId="0" applyFont="1"/>
    <xf numFmtId="165" fontId="1" fillId="0" borderId="0" xfId="1" applyNumberFormat="1" applyFont="1"/>
    <xf numFmtId="0" fontId="0" fillId="0" borderId="1" xfId="0" applyFont="1" applyBorder="1"/>
    <xf numFmtId="165" fontId="1" fillId="0" borderId="1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43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13" sqref="M13"/>
    </sheetView>
  </sheetViews>
  <sheetFormatPr defaultColWidth="8.85546875" defaultRowHeight="15" x14ac:dyDescent="0.25"/>
  <cols>
    <col min="1" max="1" width="1.85546875" customWidth="1"/>
    <col min="2" max="2" width="29" customWidth="1"/>
    <col min="5" max="6" width="9.28515625" bestFit="1" customWidth="1"/>
    <col min="7" max="7" width="9.42578125" bestFit="1" customWidth="1"/>
  </cols>
  <sheetData>
    <row r="1" spans="1:13" ht="19.5" x14ac:dyDescent="0.3">
      <c r="A1" s="8" t="s">
        <v>34</v>
      </c>
    </row>
    <row r="2" spans="1:13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13" x14ac:dyDescent="0.25">
      <c r="A3" s="22"/>
      <c r="B3" s="22" t="s">
        <v>29</v>
      </c>
      <c r="C3" s="23"/>
      <c r="D3" s="12">
        <v>2016</v>
      </c>
      <c r="E3" s="24">
        <v>2017</v>
      </c>
      <c r="F3" s="24">
        <v>2018</v>
      </c>
      <c r="G3" s="12">
        <v>2019</v>
      </c>
    </row>
    <row r="4" spans="1:13" ht="17.25" x14ac:dyDescent="0.3">
      <c r="A4" s="13" t="s">
        <v>27</v>
      </c>
      <c r="B4" s="4"/>
      <c r="C4" s="4"/>
      <c r="D4" s="9"/>
      <c r="I4" s="36" t="s">
        <v>46</v>
      </c>
    </row>
    <row r="5" spans="1:13" x14ac:dyDescent="0.25">
      <c r="B5" t="s">
        <v>0</v>
      </c>
      <c r="C5" t="s">
        <v>35</v>
      </c>
      <c r="D5" s="34"/>
      <c r="E5" s="34">
        <v>0.1</v>
      </c>
      <c r="F5" s="34">
        <f>E5</f>
        <v>0.1</v>
      </c>
      <c r="G5" s="34">
        <f>F5</f>
        <v>0.1</v>
      </c>
      <c r="K5" s="52" t="s">
        <v>0</v>
      </c>
      <c r="L5" s="52"/>
      <c r="M5" s="52"/>
    </row>
    <row r="6" spans="1:13" x14ac:dyDescent="0.25">
      <c r="B6" t="s">
        <v>1</v>
      </c>
      <c r="C6" s="1" t="s">
        <v>14</v>
      </c>
      <c r="D6" s="34">
        <v>0.5</v>
      </c>
      <c r="E6" s="34">
        <v>0.5</v>
      </c>
      <c r="F6" s="34">
        <f t="shared" ref="F6:G6" si="0">E6</f>
        <v>0.5</v>
      </c>
      <c r="G6" s="34">
        <f t="shared" si="0"/>
        <v>0.5</v>
      </c>
      <c r="J6" s="41">
        <f>G23</f>
        <v>332.7433087500001</v>
      </c>
      <c r="K6" s="1">
        <v>0.05</v>
      </c>
      <c r="L6" s="1">
        <v>0.1</v>
      </c>
      <c r="M6" s="1">
        <v>0.2</v>
      </c>
    </row>
    <row r="7" spans="1:13" x14ac:dyDescent="0.25">
      <c r="B7" t="s">
        <v>15</v>
      </c>
      <c r="C7" s="1" t="s">
        <v>14</v>
      </c>
      <c r="D7" s="34"/>
      <c r="E7" s="34">
        <v>0.05</v>
      </c>
      <c r="F7" s="34">
        <f t="shared" ref="F7:G7" si="1">E7</f>
        <v>0.05</v>
      </c>
      <c r="G7" s="34">
        <f t="shared" si="1"/>
        <v>0.05</v>
      </c>
      <c r="I7" s="51" t="s">
        <v>1</v>
      </c>
      <c r="J7" s="1">
        <v>0.45</v>
      </c>
      <c r="K7" s="37">
        <f t="dataTable" ref="K7:M9" dt2D="1" dtr="1" r1="E5" r2="E6"/>
        <v>306.81768375000001</v>
      </c>
      <c r="L7" s="38">
        <v>392.63830875000008</v>
      </c>
      <c r="M7" s="38">
        <v>589.15330874999995</v>
      </c>
    </row>
    <row r="8" spans="1:13" x14ac:dyDescent="0.25">
      <c r="B8" t="s">
        <v>16</v>
      </c>
      <c r="C8" s="1" t="s">
        <v>14</v>
      </c>
      <c r="D8" s="34"/>
      <c r="E8" s="34">
        <v>0</v>
      </c>
      <c r="F8" s="34">
        <f t="shared" ref="F8:G8" si="2">E8</f>
        <v>0</v>
      </c>
      <c r="G8" s="34">
        <f t="shared" si="2"/>
        <v>0</v>
      </c>
      <c r="I8" s="51"/>
      <c r="J8" s="1">
        <v>0.5</v>
      </c>
      <c r="K8" s="39">
        <v>254.72455875</v>
      </c>
      <c r="L8" s="40">
        <v>332.7433087500001</v>
      </c>
      <c r="M8" s="40">
        <v>511.39330874999996</v>
      </c>
    </row>
    <row r="9" spans="1:13" x14ac:dyDescent="0.25">
      <c r="B9" t="s">
        <v>17</v>
      </c>
      <c r="C9" s="1" t="s">
        <v>14</v>
      </c>
      <c r="D9" s="34"/>
      <c r="E9" s="34">
        <v>0.03</v>
      </c>
      <c r="F9" s="34">
        <f t="shared" ref="F9:G10" si="3">E9</f>
        <v>0.03</v>
      </c>
      <c r="G9" s="34">
        <f t="shared" si="3"/>
        <v>0.03</v>
      </c>
      <c r="I9" s="51"/>
      <c r="J9" s="1">
        <v>0.55000000000000004</v>
      </c>
      <c r="K9" s="39">
        <v>202.63143374999993</v>
      </c>
      <c r="L9" s="40">
        <v>272.84830875</v>
      </c>
      <c r="M9" s="40">
        <v>433.63330874999986</v>
      </c>
    </row>
    <row r="10" spans="1:13" x14ac:dyDescent="0.25">
      <c r="B10" t="s">
        <v>18</v>
      </c>
      <c r="C10" s="1" t="s">
        <v>14</v>
      </c>
      <c r="D10" s="34"/>
      <c r="E10" s="34">
        <v>0.03</v>
      </c>
      <c r="F10" s="34">
        <f t="shared" si="3"/>
        <v>0.03</v>
      </c>
      <c r="G10" s="34">
        <f t="shared" si="3"/>
        <v>0.03</v>
      </c>
    </row>
    <row r="11" spans="1:13" x14ac:dyDescent="0.25">
      <c r="B11" t="s">
        <v>19</v>
      </c>
      <c r="C11" s="1" t="s">
        <v>14</v>
      </c>
      <c r="D11" s="34">
        <v>0.25</v>
      </c>
      <c r="E11" s="34">
        <v>0.25</v>
      </c>
      <c r="F11" s="34">
        <f t="shared" ref="F11:G11" si="4">E11</f>
        <v>0.25</v>
      </c>
      <c r="G11" s="34">
        <f t="shared" si="4"/>
        <v>0.25</v>
      </c>
    </row>
    <row r="12" spans="1:13" x14ac:dyDescent="0.25">
      <c r="B12" t="s">
        <v>36</v>
      </c>
      <c r="C12" s="1" t="s">
        <v>14</v>
      </c>
      <c r="D12" s="34">
        <v>0.25</v>
      </c>
      <c r="E12" s="34">
        <v>0.25</v>
      </c>
      <c r="F12" s="34">
        <f t="shared" ref="F12:G12" si="5">E12</f>
        <v>0.25</v>
      </c>
      <c r="G12" s="34">
        <f t="shared" si="5"/>
        <v>0.25</v>
      </c>
    </row>
    <row r="13" spans="1:13" s="25" customFormat="1" x14ac:dyDescent="0.25">
      <c r="B13" t="s">
        <v>40</v>
      </c>
      <c r="C13" s="25" t="s">
        <v>41</v>
      </c>
      <c r="D13" s="31"/>
      <c r="E13" s="31">
        <f>'P&amp;L'!D18</f>
        <v>58.125</v>
      </c>
      <c r="F13" s="31">
        <f>'P&amp;L'!E18</f>
        <v>71.137500000000003</v>
      </c>
      <c r="G13" s="31">
        <f>'P&amp;L'!F18</f>
        <v>82.435375000000022</v>
      </c>
    </row>
    <row r="15" spans="1:13" x14ac:dyDescent="0.25">
      <c r="A15" s="13" t="s">
        <v>28</v>
      </c>
    </row>
    <row r="16" spans="1:13" x14ac:dyDescent="0.25">
      <c r="B16" t="s">
        <v>43</v>
      </c>
      <c r="C16" t="s">
        <v>41</v>
      </c>
      <c r="D16" s="33">
        <v>250</v>
      </c>
      <c r="E16" s="33">
        <v>250</v>
      </c>
      <c r="F16" s="33">
        <v>250</v>
      </c>
      <c r="G16" s="33">
        <v>250</v>
      </c>
    </row>
    <row r="17" spans="2:7" x14ac:dyDescent="0.25">
      <c r="B17" t="s">
        <v>50</v>
      </c>
      <c r="C17" t="s">
        <v>41</v>
      </c>
      <c r="D17" s="33"/>
      <c r="E17" s="33"/>
      <c r="F17" s="33">
        <v>50</v>
      </c>
      <c r="G17" s="33">
        <v>50</v>
      </c>
    </row>
    <row r="18" spans="2:7" x14ac:dyDescent="0.25">
      <c r="B18" t="s">
        <v>51</v>
      </c>
      <c r="C18" t="s">
        <v>41</v>
      </c>
      <c r="D18" s="33"/>
      <c r="E18" s="33"/>
      <c r="F18" s="33"/>
      <c r="G18" s="33">
        <v>50</v>
      </c>
    </row>
    <row r="19" spans="2:7" x14ac:dyDescent="0.25">
      <c r="B19" t="s">
        <v>4</v>
      </c>
      <c r="C19" t="s">
        <v>44</v>
      </c>
      <c r="D19" s="33">
        <f>'Balance sheet'!D6/'P&amp;L'!D5*12</f>
        <v>1</v>
      </c>
      <c r="E19" s="33">
        <v>2</v>
      </c>
      <c r="F19" s="33">
        <v>2</v>
      </c>
      <c r="G19" s="33">
        <v>2</v>
      </c>
    </row>
    <row r="20" spans="2:7" x14ac:dyDescent="0.25">
      <c r="B20" t="s">
        <v>5</v>
      </c>
      <c r="C20" t="s">
        <v>44</v>
      </c>
      <c r="D20" s="33">
        <f>'Balance sheet'!D8/'P&amp;L'!D6*12</f>
        <v>1</v>
      </c>
      <c r="E20" s="33">
        <v>1</v>
      </c>
      <c r="F20" s="33">
        <v>1</v>
      </c>
      <c r="G20" s="33">
        <v>1</v>
      </c>
    </row>
    <row r="21" spans="2:7" x14ac:dyDescent="0.25">
      <c r="B21" t="s">
        <v>48</v>
      </c>
      <c r="C21" t="s">
        <v>44</v>
      </c>
      <c r="D21" s="33"/>
      <c r="E21" s="33">
        <v>2</v>
      </c>
      <c r="F21" s="33">
        <f>E21</f>
        <v>2</v>
      </c>
      <c r="G21" s="33">
        <f>F21</f>
        <v>2</v>
      </c>
    </row>
    <row r="23" spans="2:7" x14ac:dyDescent="0.25">
      <c r="B23" t="s">
        <v>45</v>
      </c>
      <c r="E23" s="25">
        <f>'P&amp;L'!E19</f>
        <v>213.41250000000002</v>
      </c>
      <c r="F23" s="25">
        <f>'P&amp;L'!F19</f>
        <v>247.30612500000007</v>
      </c>
      <c r="G23" s="25">
        <f>'P&amp;L'!G19</f>
        <v>332.7433087500001</v>
      </c>
    </row>
    <row r="24" spans="2:7" x14ac:dyDescent="0.25">
      <c r="E24" s="35"/>
      <c r="F24" s="35"/>
      <c r="G24" s="35"/>
    </row>
  </sheetData>
  <scenarios current="2" show="2" sqref="G20">
    <scenario name="High" locked="1" count="2" user="Krupali Salot">
      <inputCells r="M8" val="0.2" numFmtId="167"/>
      <inputCells r="M9" val="0.45" numFmtId="167"/>
    </scenario>
    <scenario name="Medium" locked="1" count="2" user="Krupali Salot" comment="_x000a_Modified by Krupali Salot on 9/16/2017">
      <inputCells r="M8" val="0.1" numFmtId="167"/>
      <inputCells r="M9" val="0.5" numFmtId="167"/>
    </scenario>
    <scenario name="Low" locked="1" count="2" user="Krupali Salot" comment="_x000a_Modified by Krupali Salot on 9/16/2017">
      <inputCells r="M8" val="0.05" numFmtId="167"/>
      <inputCells r="M9" val="0.55" numFmtId="167"/>
    </scenario>
  </scenarios>
  <mergeCells count="2">
    <mergeCell ref="I7:I9"/>
    <mergeCell ref="K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4" sqref="L14"/>
    </sheetView>
  </sheetViews>
  <sheetFormatPr defaultColWidth="8.85546875" defaultRowHeight="15" x14ac:dyDescent="0.25"/>
  <cols>
    <col min="1" max="1" width="2.140625" customWidth="1"/>
    <col min="2" max="2" width="23.42578125" customWidth="1"/>
    <col min="3" max="3" width="9.28515625" customWidth="1"/>
  </cols>
  <sheetData>
    <row r="1" spans="1:7" ht="19.5" x14ac:dyDescent="0.3">
      <c r="A1" s="8" t="s">
        <v>34</v>
      </c>
    </row>
    <row r="2" spans="1:7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7" x14ac:dyDescent="0.25">
      <c r="A3" s="22"/>
      <c r="B3" s="22" t="s">
        <v>29</v>
      </c>
      <c r="C3" s="22"/>
      <c r="D3" s="12">
        <v>2016</v>
      </c>
      <c r="E3" s="24">
        <v>2017</v>
      </c>
      <c r="F3" s="24">
        <v>2018</v>
      </c>
      <c r="G3" s="12">
        <v>2019</v>
      </c>
    </row>
    <row r="5" spans="1:7" x14ac:dyDescent="0.25">
      <c r="A5" s="13" t="s">
        <v>21</v>
      </c>
      <c r="D5" s="25"/>
      <c r="E5" s="25"/>
      <c r="F5" s="25"/>
      <c r="G5" s="25"/>
    </row>
    <row r="6" spans="1:7" x14ac:dyDescent="0.25">
      <c r="B6" t="s">
        <v>56</v>
      </c>
      <c r="D6" s="25"/>
      <c r="E6" s="25">
        <f>D9</f>
        <v>125</v>
      </c>
      <c r="F6" s="25">
        <f>E9</f>
        <v>62.5</v>
      </c>
      <c r="G6" s="25">
        <f>F9</f>
        <v>37.5</v>
      </c>
    </row>
    <row r="7" spans="1:7" x14ac:dyDescent="0.25">
      <c r="B7" t="s">
        <v>57</v>
      </c>
      <c r="D7" s="25"/>
      <c r="E7" s="25">
        <f t="shared" ref="E7:G8" si="0">SUM(E11,E15,E19)-SUM(D11,D15,D19)</f>
        <v>0</v>
      </c>
      <c r="F7" s="25">
        <f t="shared" si="0"/>
        <v>50</v>
      </c>
      <c r="G7" s="25">
        <f t="shared" si="0"/>
        <v>50</v>
      </c>
    </row>
    <row r="8" spans="1:7" x14ac:dyDescent="0.25">
      <c r="B8" s="3" t="s">
        <v>11</v>
      </c>
      <c r="C8" s="3"/>
      <c r="D8" s="26"/>
      <c r="E8" s="26">
        <f t="shared" si="0"/>
        <v>62.5</v>
      </c>
      <c r="F8" s="26">
        <f t="shared" si="0"/>
        <v>75</v>
      </c>
      <c r="G8" s="26">
        <f t="shared" si="0"/>
        <v>25</v>
      </c>
    </row>
    <row r="9" spans="1:7" s="2" customFormat="1" x14ac:dyDescent="0.25">
      <c r="B9" s="2" t="s">
        <v>58</v>
      </c>
      <c r="D9" s="27">
        <f>'Balance sheet'!D5</f>
        <v>125</v>
      </c>
      <c r="E9" s="27">
        <f>E6+E7-E8</f>
        <v>62.5</v>
      </c>
      <c r="F9" s="27">
        <f>F6+F7-F8</f>
        <v>37.5</v>
      </c>
      <c r="G9" s="27">
        <f>G6+G7-G8</f>
        <v>62.5</v>
      </c>
    </row>
    <row r="10" spans="1:7" s="2" customFormat="1" x14ac:dyDescent="0.25">
      <c r="D10" s="27"/>
      <c r="E10" s="27"/>
      <c r="F10" s="27"/>
      <c r="G10" s="27"/>
    </row>
    <row r="11" spans="1:7" s="42" customFormat="1" x14ac:dyDescent="0.25">
      <c r="B11" s="42" t="s">
        <v>59</v>
      </c>
      <c r="D11" s="43">
        <f>Assumptions!E16</f>
        <v>250</v>
      </c>
      <c r="E11" s="43">
        <f>D11</f>
        <v>250</v>
      </c>
      <c r="F11" s="43">
        <f t="shared" ref="F11:G11" si="1">E11</f>
        <v>250</v>
      </c>
      <c r="G11" s="43">
        <f t="shared" si="1"/>
        <v>250</v>
      </c>
    </row>
    <row r="12" spans="1:7" s="42" customFormat="1" x14ac:dyDescent="0.25">
      <c r="B12" s="44" t="s">
        <v>60</v>
      </c>
      <c r="C12" s="44"/>
      <c r="D12" s="19">
        <v>125</v>
      </c>
      <c r="E12" s="45">
        <f>MIN(Assumptions!E$11*Calculations!E11+Calculations!D12,Calculations!E11)</f>
        <v>187.5</v>
      </c>
      <c r="F12" s="45">
        <f>MIN(Assumptions!F$11*Calculations!F11+Calculations!E12,Calculations!F11)</f>
        <v>250</v>
      </c>
      <c r="G12" s="45">
        <f>MIN(Assumptions!G$11*Calculations!G11+Calculations!F12,Calculations!G11)</f>
        <v>250</v>
      </c>
    </row>
    <row r="13" spans="1:7" s="2" customFormat="1" x14ac:dyDescent="0.25">
      <c r="B13" s="2" t="s">
        <v>61</v>
      </c>
      <c r="D13" s="27">
        <f>D11-D12</f>
        <v>125</v>
      </c>
      <c r="E13" s="27">
        <f>E11-E12</f>
        <v>62.5</v>
      </c>
      <c r="F13" s="27">
        <f t="shared" ref="F13:G13" si="2">F11-F12</f>
        <v>0</v>
      </c>
      <c r="G13" s="27">
        <f t="shared" si="2"/>
        <v>0</v>
      </c>
    </row>
    <row r="14" spans="1:7" s="2" customFormat="1" x14ac:dyDescent="0.25">
      <c r="D14" s="27"/>
      <c r="E14" s="27"/>
      <c r="F14" s="27"/>
      <c r="G14" s="27"/>
    </row>
    <row r="15" spans="1:7" s="42" customFormat="1" x14ac:dyDescent="0.25">
      <c r="B15" s="42" t="s">
        <v>62</v>
      </c>
      <c r="D15" s="43"/>
      <c r="E15" s="43">
        <f>Assumptions!E17</f>
        <v>0</v>
      </c>
      <c r="F15" s="43">
        <f>Assumptions!F17</f>
        <v>50</v>
      </c>
      <c r="G15" s="43">
        <f>Assumptions!G17</f>
        <v>50</v>
      </c>
    </row>
    <row r="16" spans="1:7" s="2" customFormat="1" x14ac:dyDescent="0.25">
      <c r="B16" s="44" t="s">
        <v>60</v>
      </c>
      <c r="C16" s="46"/>
      <c r="D16" s="47"/>
      <c r="E16" s="45">
        <f>MIN(Assumptions!E$11*Calculations!E15+Calculations!D16,Calculations!E15)</f>
        <v>0</v>
      </c>
      <c r="F16" s="45">
        <f>MIN(Assumptions!F$11*Calculations!F15+Calculations!E16,Calculations!F15)</f>
        <v>12.5</v>
      </c>
      <c r="G16" s="45">
        <f>MIN(Assumptions!G$11*Calculations!G15+Calculations!F16,Calculations!G15)</f>
        <v>25</v>
      </c>
    </row>
    <row r="17" spans="1:7" s="2" customFormat="1" x14ac:dyDescent="0.25">
      <c r="B17" s="2" t="s">
        <v>61</v>
      </c>
      <c r="D17" s="27"/>
      <c r="E17" s="27">
        <f>E15-E16</f>
        <v>0</v>
      </c>
      <c r="F17" s="27">
        <f t="shared" ref="F17" si="3">F15-F16</f>
        <v>37.5</v>
      </c>
      <c r="G17" s="27">
        <f t="shared" ref="G17" si="4">G15-G16</f>
        <v>25</v>
      </c>
    </row>
    <row r="18" spans="1:7" s="2" customFormat="1" x14ac:dyDescent="0.25">
      <c r="D18" s="27"/>
      <c r="E18" s="27"/>
      <c r="F18" s="27"/>
      <c r="G18" s="27"/>
    </row>
    <row r="19" spans="1:7" s="42" customFormat="1" x14ac:dyDescent="0.25">
      <c r="B19" s="42" t="s">
        <v>63</v>
      </c>
      <c r="D19" s="43"/>
      <c r="E19" s="43">
        <f>Assumptions!E18</f>
        <v>0</v>
      </c>
      <c r="F19" s="43">
        <f>Assumptions!F18</f>
        <v>0</v>
      </c>
      <c r="G19" s="43">
        <f>Assumptions!G18</f>
        <v>50</v>
      </c>
    </row>
    <row r="20" spans="1:7" s="2" customFormat="1" x14ac:dyDescent="0.25">
      <c r="B20" s="44" t="s">
        <v>60</v>
      </c>
      <c r="C20" s="46"/>
      <c r="D20" s="47"/>
      <c r="E20" s="45">
        <f>MIN(Assumptions!E$11*Calculations!E19+Calculations!D20,Calculations!E19)</f>
        <v>0</v>
      </c>
      <c r="F20" s="45">
        <f>MIN(Assumptions!F$11*Calculations!F19+Calculations!E20,Calculations!F19)</f>
        <v>0</v>
      </c>
      <c r="G20" s="45">
        <f>MIN(Assumptions!G$11*Calculations!G19+Calculations!F20,Calculations!G19)</f>
        <v>12.5</v>
      </c>
    </row>
    <row r="21" spans="1:7" s="2" customFormat="1" x14ac:dyDescent="0.25">
      <c r="B21" s="2" t="s">
        <v>61</v>
      </c>
      <c r="D21" s="27"/>
      <c r="E21" s="27">
        <f>E19-E20</f>
        <v>0</v>
      </c>
      <c r="F21" s="27">
        <f t="shared" ref="F21" si="5">F19-F20</f>
        <v>0</v>
      </c>
      <c r="G21" s="27">
        <f t="shared" ref="G21" si="6">G19-G20</f>
        <v>37.5</v>
      </c>
    </row>
    <row r="22" spans="1:7" s="2" customFormat="1" x14ac:dyDescent="0.25">
      <c r="D22" s="27"/>
      <c r="E22" s="27"/>
      <c r="F22" s="27"/>
      <c r="G22" s="27"/>
    </row>
    <row r="23" spans="1:7" x14ac:dyDescent="0.25">
      <c r="A23" s="13" t="s">
        <v>47</v>
      </c>
      <c r="D23" s="25"/>
    </row>
    <row r="24" spans="1:7" x14ac:dyDescent="0.25">
      <c r="B24" t="s">
        <v>56</v>
      </c>
      <c r="D24" s="25"/>
      <c r="E24" s="25">
        <f>D27</f>
        <v>40</v>
      </c>
      <c r="F24" s="25">
        <f>E27</f>
        <v>53.012500000000003</v>
      </c>
      <c r="G24" s="25">
        <f>F27</f>
        <v>64.310375000000008</v>
      </c>
    </row>
    <row r="25" spans="1:7" x14ac:dyDescent="0.25">
      <c r="B25" t="s">
        <v>64</v>
      </c>
      <c r="D25" s="25"/>
      <c r="E25" s="25">
        <f>'P&amp;L'!E18</f>
        <v>71.137500000000003</v>
      </c>
      <c r="F25" s="25">
        <f>'P&amp;L'!F18</f>
        <v>82.435375000000022</v>
      </c>
      <c r="G25" s="25">
        <f>'P&amp;L'!G18</f>
        <v>110.91443625000002</v>
      </c>
    </row>
    <row r="26" spans="1:7" x14ac:dyDescent="0.25">
      <c r="B26" s="3" t="s">
        <v>39</v>
      </c>
      <c r="C26" s="3"/>
      <c r="D26" s="26"/>
      <c r="E26" s="26">
        <f>Assumptions!E13</f>
        <v>58.125</v>
      </c>
      <c r="F26" s="26">
        <f>Assumptions!F13</f>
        <v>71.137500000000003</v>
      </c>
      <c r="G26" s="26">
        <f>Assumptions!G13</f>
        <v>82.435375000000022</v>
      </c>
    </row>
    <row r="27" spans="1:7" s="2" customFormat="1" x14ac:dyDescent="0.25">
      <c r="B27" s="2" t="s">
        <v>58</v>
      </c>
      <c r="D27" s="27">
        <f>'Balance sheet'!D13</f>
        <v>40</v>
      </c>
      <c r="E27" s="27">
        <f>E24+E25-E26</f>
        <v>53.012500000000003</v>
      </c>
      <c r="F27" s="27">
        <f>F24+F25-F26</f>
        <v>64.310375000000008</v>
      </c>
      <c r="G27" s="27">
        <f>G24+G25-G26</f>
        <v>92.789436249999994</v>
      </c>
    </row>
    <row r="28" spans="1:7" x14ac:dyDescent="0.25">
      <c r="D28" s="25"/>
    </row>
    <row r="29" spans="1:7" x14ac:dyDescent="0.25">
      <c r="A29" s="13" t="s">
        <v>37</v>
      </c>
      <c r="D29" s="25"/>
    </row>
    <row r="30" spans="1:7" x14ac:dyDescent="0.25">
      <c r="B30" t="str">
        <f>'Balance sheet'!B6</f>
        <v>Debtors</v>
      </c>
      <c r="D30" s="25">
        <f>'Balance sheet'!D6</f>
        <v>100</v>
      </c>
      <c r="E30" s="25">
        <f>'Balance sheet'!E6</f>
        <v>220</v>
      </c>
      <c r="F30" s="25">
        <f>'Balance sheet'!F6</f>
        <v>242.00000000000003</v>
      </c>
      <c r="G30" s="25">
        <f>'Balance sheet'!G6</f>
        <v>266.20000000000005</v>
      </c>
    </row>
    <row r="31" spans="1:7" x14ac:dyDescent="0.25">
      <c r="B31" t="s">
        <v>49</v>
      </c>
      <c r="D31" s="25"/>
      <c r="E31" s="25">
        <f>'Balance sheet'!E7</f>
        <v>110</v>
      </c>
      <c r="F31" s="25">
        <f>'Balance sheet'!F7</f>
        <v>121.00000000000001</v>
      </c>
      <c r="G31" s="25">
        <f>'Balance sheet'!G7</f>
        <v>133.10000000000002</v>
      </c>
    </row>
    <row r="32" spans="1:7" x14ac:dyDescent="0.25">
      <c r="B32" s="3" t="str">
        <f>'Balance sheet'!B12</f>
        <v>Creditors</v>
      </c>
      <c r="C32" s="3"/>
      <c r="D32" s="26">
        <f>'Balance sheet'!D12</f>
        <v>70</v>
      </c>
      <c r="E32" s="26">
        <f>'Balance sheet'!E12</f>
        <v>55</v>
      </c>
      <c r="F32" s="26">
        <f>'Balance sheet'!F12</f>
        <v>60.500000000000007</v>
      </c>
      <c r="G32" s="26">
        <f>'Balance sheet'!G12</f>
        <v>66.550000000000011</v>
      </c>
    </row>
    <row r="33" spans="2:7" s="2" customFormat="1" x14ac:dyDescent="0.25">
      <c r="B33" s="2" t="s">
        <v>38</v>
      </c>
      <c r="D33" s="27">
        <f>D30-D32</f>
        <v>30</v>
      </c>
      <c r="E33" s="27">
        <f>SUM(E30:E31)-E32</f>
        <v>275</v>
      </c>
      <c r="F33" s="27">
        <f t="shared" ref="F33:G33" si="7">SUM(F30:F31)-F32</f>
        <v>302.50000000000006</v>
      </c>
      <c r="G33" s="27">
        <f t="shared" si="7"/>
        <v>332.75000000000006</v>
      </c>
    </row>
    <row r="34" spans="2:7" s="2" customFormat="1" x14ac:dyDescent="0.25">
      <c r="B34" s="2" t="s">
        <v>42</v>
      </c>
      <c r="D34" s="27"/>
      <c r="E34" s="27">
        <f t="shared" ref="E34" si="8">D33-E33</f>
        <v>-245</v>
      </c>
      <c r="F34" s="27">
        <f t="shared" ref="F34" si="9">E33-F33</f>
        <v>-27.500000000000057</v>
      </c>
      <c r="G34" s="27">
        <f t="shared" ref="G34" si="10">F33-G33</f>
        <v>-30.25</v>
      </c>
    </row>
    <row r="35" spans="2:7" x14ac:dyDescent="0.25">
      <c r="D3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9" sqref="B19"/>
    </sheetView>
  </sheetViews>
  <sheetFormatPr defaultColWidth="8.85546875" defaultRowHeight="15" x14ac:dyDescent="0.25"/>
  <cols>
    <col min="1" max="1" width="1.85546875" customWidth="1"/>
    <col min="2" max="2" width="19.140625" bestFit="1" customWidth="1"/>
    <col min="3" max="3" width="19.140625" customWidth="1"/>
    <col min="4" max="4" width="9.42578125" bestFit="1" customWidth="1"/>
  </cols>
  <sheetData>
    <row r="1" spans="1:7" ht="19.5" x14ac:dyDescent="0.3">
      <c r="A1" s="8" t="s">
        <v>34</v>
      </c>
    </row>
    <row r="2" spans="1:7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7" s="2" customFormat="1" x14ac:dyDescent="0.25">
      <c r="A3" s="22"/>
      <c r="B3" s="22" t="s">
        <v>29</v>
      </c>
      <c r="C3" s="22"/>
      <c r="D3" s="12">
        <v>2016</v>
      </c>
      <c r="E3" s="24">
        <v>2017</v>
      </c>
      <c r="F3" s="24">
        <v>2018</v>
      </c>
      <c r="G3" s="12">
        <v>2019</v>
      </c>
    </row>
    <row r="4" spans="1:7" x14ac:dyDescent="0.25">
      <c r="A4" s="13" t="s">
        <v>27</v>
      </c>
      <c r="B4" s="4"/>
      <c r="C4" s="4"/>
      <c r="D4" s="5"/>
      <c r="E4" s="6"/>
      <c r="F4" s="6"/>
      <c r="G4" s="6"/>
    </row>
    <row r="5" spans="1:7" x14ac:dyDescent="0.25">
      <c r="B5" t="s">
        <v>6</v>
      </c>
      <c r="D5" s="18">
        <v>1200</v>
      </c>
      <c r="E5" s="25">
        <f>(1+Assumptions!E5)*'P&amp;L'!D5</f>
        <v>1320</v>
      </c>
      <c r="F5" s="25">
        <f>(1+Assumptions!F5)*'P&amp;L'!E5</f>
        <v>1452.0000000000002</v>
      </c>
      <c r="G5" s="25">
        <f>(1+Assumptions!G5)*'P&amp;L'!F5</f>
        <v>1597.2000000000003</v>
      </c>
    </row>
    <row r="6" spans="1:7" x14ac:dyDescent="0.25">
      <c r="B6" s="3" t="s">
        <v>7</v>
      </c>
      <c r="C6" s="3"/>
      <c r="D6" s="19">
        <f>D5*Assumptions!D6</f>
        <v>600</v>
      </c>
      <c r="E6" s="26">
        <f>Assumptions!E6*'P&amp;L'!E5</f>
        <v>660</v>
      </c>
      <c r="F6" s="26">
        <f>Assumptions!F6*'P&amp;L'!F5</f>
        <v>726.00000000000011</v>
      </c>
      <c r="G6" s="26">
        <f>Assumptions!G6*'P&amp;L'!G5</f>
        <v>798.60000000000014</v>
      </c>
    </row>
    <row r="7" spans="1:7" s="2" customFormat="1" x14ac:dyDescent="0.25">
      <c r="B7" s="2" t="s">
        <v>65</v>
      </c>
      <c r="D7" s="20">
        <f>D5-D6</f>
        <v>600</v>
      </c>
      <c r="E7" s="20">
        <f t="shared" ref="E7" si="0">E5-E6</f>
        <v>660</v>
      </c>
      <c r="F7" s="20">
        <f t="shared" ref="F7" si="1">F5-F6</f>
        <v>726.00000000000011</v>
      </c>
      <c r="G7" s="20">
        <f t="shared" ref="G7" si="2">G5-G6</f>
        <v>798.60000000000014</v>
      </c>
    </row>
    <row r="8" spans="1:7" x14ac:dyDescent="0.25">
      <c r="D8" s="21"/>
      <c r="E8" s="25"/>
      <c r="F8" s="25"/>
      <c r="G8" s="25"/>
    </row>
    <row r="9" spans="1:7" x14ac:dyDescent="0.25">
      <c r="B9" t="s">
        <v>2</v>
      </c>
      <c r="D9" s="18">
        <f>10*12</f>
        <v>120</v>
      </c>
      <c r="E9" s="25">
        <f>(1+Assumptions!E7)*'P&amp;L'!D9</f>
        <v>126</v>
      </c>
      <c r="F9" s="25">
        <f>(1+Assumptions!F7)*'P&amp;L'!E9</f>
        <v>132.30000000000001</v>
      </c>
      <c r="G9" s="25">
        <f>(1+Assumptions!G7)*'P&amp;L'!F9</f>
        <v>138.91500000000002</v>
      </c>
    </row>
    <row r="10" spans="1:7" x14ac:dyDescent="0.25">
      <c r="B10" t="s">
        <v>3</v>
      </c>
      <c r="D10" s="18">
        <f>10*12</f>
        <v>120</v>
      </c>
      <c r="E10" s="25">
        <f>(1+Assumptions!E8)*'P&amp;L'!D10</f>
        <v>120</v>
      </c>
      <c r="F10" s="25">
        <f>(1+Assumptions!F8)*'P&amp;L'!E10</f>
        <v>120</v>
      </c>
      <c r="G10" s="25">
        <f>(1+Assumptions!G8)*'P&amp;L'!F10</f>
        <v>120</v>
      </c>
    </row>
    <row r="11" spans="1:7" x14ac:dyDescent="0.25">
      <c r="B11" t="s">
        <v>8</v>
      </c>
      <c r="D11" s="18">
        <f>5*12</f>
        <v>60</v>
      </c>
      <c r="E11" s="25">
        <f>(1+Assumptions!E9)*'P&amp;L'!D11</f>
        <v>61.800000000000004</v>
      </c>
      <c r="F11" s="25">
        <f>(1+Assumptions!F9)*'P&amp;L'!E11</f>
        <v>63.654000000000003</v>
      </c>
      <c r="G11" s="25">
        <f>(1+Assumptions!G9)*'P&amp;L'!F11</f>
        <v>65.56362</v>
      </c>
    </row>
    <row r="12" spans="1:7" x14ac:dyDescent="0.25">
      <c r="B12" s="3" t="s">
        <v>9</v>
      </c>
      <c r="C12" s="3"/>
      <c r="D12" s="19">
        <v>5</v>
      </c>
      <c r="E12" s="26">
        <f>(1+Assumptions!E10)*'P&amp;L'!D12</f>
        <v>5.15</v>
      </c>
      <c r="F12" s="26">
        <f>(1+Assumptions!F10)*'P&amp;L'!E12</f>
        <v>5.3045000000000009</v>
      </c>
      <c r="G12" s="26">
        <f>(1+Assumptions!G10)*'P&amp;L'!F12</f>
        <v>5.4636350000000009</v>
      </c>
    </row>
    <row r="13" spans="1:7" s="2" customFormat="1" x14ac:dyDescent="0.25">
      <c r="B13" s="7" t="s">
        <v>10</v>
      </c>
      <c r="C13" s="7"/>
      <c r="D13" s="20">
        <f>D7-SUM(D9:D12)</f>
        <v>295</v>
      </c>
      <c r="E13" s="20">
        <f t="shared" ref="E13" si="3">E7-SUM(E9:E12)</f>
        <v>347.05</v>
      </c>
      <c r="F13" s="20">
        <f t="shared" ref="F13" si="4">F7-SUM(F9:F12)</f>
        <v>404.74150000000009</v>
      </c>
      <c r="G13" s="20">
        <f t="shared" ref="G13" si="5">G7-SUM(G9:G12)</f>
        <v>468.65774500000009</v>
      </c>
    </row>
    <row r="14" spans="1:7" x14ac:dyDescent="0.25">
      <c r="D14" s="21"/>
      <c r="E14" s="25"/>
      <c r="F14" s="25"/>
      <c r="G14" s="25"/>
    </row>
    <row r="15" spans="1:7" x14ac:dyDescent="0.25">
      <c r="B15" s="3" t="s">
        <v>11</v>
      </c>
      <c r="C15" s="3"/>
      <c r="D15" s="19">
        <f>250*Assumptions!D11</f>
        <v>62.5</v>
      </c>
      <c r="E15" s="28">
        <f>Calculations!E8</f>
        <v>62.5</v>
      </c>
      <c r="F15" s="28">
        <f>Calculations!F8</f>
        <v>75</v>
      </c>
      <c r="G15" s="28">
        <f>Calculations!G8</f>
        <v>25</v>
      </c>
    </row>
    <row r="16" spans="1:7" s="2" customFormat="1" x14ac:dyDescent="0.25">
      <c r="B16" s="2" t="s">
        <v>12</v>
      </c>
      <c r="D16" s="20">
        <f>D13-D15</f>
        <v>232.5</v>
      </c>
      <c r="E16" s="20">
        <f t="shared" ref="E16" si="6">E13-E15</f>
        <v>284.55</v>
      </c>
      <c r="F16" s="20">
        <f t="shared" ref="F16" si="7">F13-F15</f>
        <v>329.74150000000009</v>
      </c>
      <c r="G16" s="20">
        <f t="shared" ref="G16" si="8">G13-G15</f>
        <v>443.65774500000009</v>
      </c>
    </row>
    <row r="17" spans="2:7" x14ac:dyDescent="0.25">
      <c r="D17" s="21"/>
      <c r="E17" s="25"/>
      <c r="F17" s="25"/>
      <c r="G17" s="25"/>
    </row>
    <row r="18" spans="2:7" x14ac:dyDescent="0.25">
      <c r="B18" s="3" t="s">
        <v>66</v>
      </c>
      <c r="C18" s="3"/>
      <c r="D18" s="19">
        <f>D16*Assumptions!D12</f>
        <v>58.125</v>
      </c>
      <c r="E18" s="28">
        <f>E16*Assumptions!E12</f>
        <v>71.137500000000003</v>
      </c>
      <c r="F18" s="28">
        <f>F16*Assumptions!F12</f>
        <v>82.435375000000022</v>
      </c>
      <c r="G18" s="28">
        <f>G16*Assumptions!G12</f>
        <v>110.91443625000002</v>
      </c>
    </row>
    <row r="19" spans="2:7" s="2" customFormat="1" ht="15.75" thickBot="1" x14ac:dyDescent="0.3">
      <c r="B19" s="14" t="s">
        <v>13</v>
      </c>
      <c r="C19" s="14"/>
      <c r="D19" s="15">
        <f>D16-D18</f>
        <v>174.375</v>
      </c>
      <c r="E19" s="15">
        <f t="shared" ref="E19" si="9">E16-E18</f>
        <v>213.41250000000002</v>
      </c>
      <c r="F19" s="15">
        <f t="shared" ref="F19" si="10">F16-F18</f>
        <v>247.30612500000007</v>
      </c>
      <c r="G19" s="15">
        <f t="shared" ref="G19" si="11">G16-G18</f>
        <v>332.7433087500001</v>
      </c>
    </row>
    <row r="20" spans="2:7" ht="15.75" thickTop="1" x14ac:dyDescent="0.25"/>
  </sheetData>
  <scenarios current="0" show="0">
    <scenario name="high" locked="1" count="1" user="Krupali Salot" comment="Created by Krupali Salot on 9/16/2017">
      <inputCells r="E5" val="0.2" numFmtId="167"/>
    </scenario>
    <scenario name="low" locked="1" count="1" user="Krupali Salot" comment="Created by Krupali Salot on 9/16/2017">
      <inputCells r="E5" val="0.05" numFmtId="167"/>
    </scenario>
    <scenario name="medium" locked="1" count="1" user="Krupali Salot" comment="Created by Krupali Salot on 9/16/2017">
      <inputCells r="E5" val="0.1" numFmtId="167"/>
    </scenario>
  </scenario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ColWidth="8.85546875" defaultRowHeight="15" x14ac:dyDescent="0.25"/>
  <cols>
    <col min="1" max="1" width="1.85546875" customWidth="1"/>
    <col min="2" max="2" width="19.140625" bestFit="1" customWidth="1"/>
  </cols>
  <sheetData>
    <row r="1" spans="1:8" ht="19.5" x14ac:dyDescent="0.3">
      <c r="A1" s="8" t="s">
        <v>34</v>
      </c>
    </row>
    <row r="2" spans="1:8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8" x14ac:dyDescent="0.25">
      <c r="A3" s="22"/>
      <c r="B3" s="22" t="s">
        <v>29</v>
      </c>
      <c r="C3" s="23"/>
      <c r="D3" s="32">
        <v>2016</v>
      </c>
      <c r="E3" s="32">
        <v>2017</v>
      </c>
      <c r="F3" s="32">
        <v>2018</v>
      </c>
      <c r="G3" s="32">
        <v>2019</v>
      </c>
    </row>
    <row r="4" spans="1:8" x14ac:dyDescent="0.25">
      <c r="A4" s="13" t="s">
        <v>30</v>
      </c>
    </row>
    <row r="5" spans="1:8" x14ac:dyDescent="0.25">
      <c r="B5" t="s">
        <v>67</v>
      </c>
      <c r="D5" s="18">
        <v>125</v>
      </c>
      <c r="E5" s="25">
        <f>Calculations!E9</f>
        <v>62.5</v>
      </c>
      <c r="F5" s="25">
        <f>Calculations!F9</f>
        <v>37.5</v>
      </c>
      <c r="G5" s="25">
        <f>Calculations!G9</f>
        <v>62.5</v>
      </c>
    </row>
    <row r="6" spans="1:8" x14ac:dyDescent="0.25">
      <c r="B6" t="s">
        <v>22</v>
      </c>
      <c r="D6" s="18">
        <v>100</v>
      </c>
      <c r="E6" s="25">
        <f>Assumptions!E19*'P&amp;L'!E5/12</f>
        <v>220</v>
      </c>
      <c r="F6" s="25">
        <f>Assumptions!F19*'P&amp;L'!F5/12</f>
        <v>242.00000000000003</v>
      </c>
      <c r="G6" s="25">
        <f>Assumptions!G19*'P&amp;L'!G5/12</f>
        <v>266.20000000000005</v>
      </c>
    </row>
    <row r="7" spans="1:8" x14ac:dyDescent="0.25">
      <c r="B7" t="s">
        <v>49</v>
      </c>
      <c r="D7" s="18"/>
      <c r="E7" s="25">
        <f>Assumptions!E21/12*'P&amp;L'!E6</f>
        <v>110</v>
      </c>
      <c r="F7" s="25">
        <f>Assumptions!F21/12*'P&amp;L'!F6</f>
        <v>121.00000000000001</v>
      </c>
      <c r="G7" s="25">
        <f>Assumptions!G21/12*'P&amp;L'!G6</f>
        <v>133.10000000000002</v>
      </c>
    </row>
    <row r="8" spans="1:8" x14ac:dyDescent="0.25">
      <c r="B8" s="3" t="s">
        <v>20</v>
      </c>
      <c r="C8" s="3"/>
      <c r="D8" s="19">
        <v>50</v>
      </c>
      <c r="E8" s="26">
        <f>MAX('Cash Flow'!E17,0)</f>
        <v>93.925000000000011</v>
      </c>
      <c r="F8" s="26">
        <f>MAX('Cash Flow'!F17,0)</f>
        <v>350.02900000000005</v>
      </c>
      <c r="G8" s="26">
        <f>MAX('Cash Flow'!G17,0)</f>
        <v>656.00137000000018</v>
      </c>
      <c r="H8" s="48"/>
    </row>
    <row r="9" spans="1:8" s="2" customFormat="1" ht="15.75" thickBot="1" x14ac:dyDescent="0.3">
      <c r="B9" s="14" t="s">
        <v>68</v>
      </c>
      <c r="C9" s="14"/>
      <c r="D9" s="29">
        <f>SUM(D5:D8)</f>
        <v>275</v>
      </c>
      <c r="E9" s="29">
        <f>SUM(E5:E8)</f>
        <v>486.42500000000001</v>
      </c>
      <c r="F9" s="29">
        <f>SUM(F5:F8)</f>
        <v>750.529</v>
      </c>
      <c r="G9" s="29">
        <f>SUM(G5:G8)</f>
        <v>1117.8013700000001</v>
      </c>
    </row>
    <row r="10" spans="1:8" ht="15.75" thickTop="1" x14ac:dyDescent="0.25">
      <c r="D10" s="21"/>
      <c r="E10" s="25"/>
      <c r="F10" s="25"/>
      <c r="G10" s="25"/>
    </row>
    <row r="11" spans="1:8" x14ac:dyDescent="0.25">
      <c r="A11" s="13" t="s">
        <v>31</v>
      </c>
      <c r="D11" s="21"/>
      <c r="E11" s="25"/>
      <c r="F11" s="25"/>
      <c r="G11" s="25"/>
    </row>
    <row r="12" spans="1:8" x14ac:dyDescent="0.25">
      <c r="B12" t="s">
        <v>23</v>
      </c>
      <c r="D12" s="18">
        <v>70</v>
      </c>
      <c r="E12" s="25">
        <f>Assumptions!E20*'P&amp;L'!E6/12</f>
        <v>55</v>
      </c>
      <c r="F12" s="25">
        <f>Assumptions!F20*'P&amp;L'!F6/12</f>
        <v>60.500000000000007</v>
      </c>
      <c r="G12" s="25">
        <f>Assumptions!G20*'P&amp;L'!G6/12</f>
        <v>66.550000000000011</v>
      </c>
    </row>
    <row r="13" spans="1:8" x14ac:dyDescent="0.25">
      <c r="B13" s="3" t="s">
        <v>69</v>
      </c>
      <c r="C13" s="3"/>
      <c r="D13" s="19">
        <v>40</v>
      </c>
      <c r="E13" s="26">
        <f>Calculations!E27</f>
        <v>53.012500000000003</v>
      </c>
      <c r="F13" s="26">
        <f>Calculations!F27</f>
        <v>64.310375000000008</v>
      </c>
      <c r="G13" s="26">
        <f>Calculations!G27</f>
        <v>92.789436249999994</v>
      </c>
    </row>
    <row r="14" spans="1:8" s="2" customFormat="1" x14ac:dyDescent="0.25">
      <c r="B14" s="2" t="s">
        <v>24</v>
      </c>
      <c r="D14" s="20">
        <f>SUM(D12:D13)</f>
        <v>110</v>
      </c>
      <c r="E14" s="20">
        <f>SUM(E12:E13)</f>
        <v>108.0125</v>
      </c>
      <c r="F14" s="20">
        <f t="shared" ref="F14:G14" si="0">SUM(F12:F13)</f>
        <v>124.81037500000002</v>
      </c>
      <c r="G14" s="20">
        <f t="shared" si="0"/>
        <v>159.33943625000001</v>
      </c>
    </row>
    <row r="15" spans="1:8" x14ac:dyDescent="0.25">
      <c r="D15" s="21"/>
      <c r="E15" s="25"/>
      <c r="F15" s="25"/>
      <c r="G15" s="25"/>
    </row>
    <row r="16" spans="1:8" x14ac:dyDescent="0.25">
      <c r="B16" t="s">
        <v>70</v>
      </c>
      <c r="D16" s="18">
        <v>30</v>
      </c>
      <c r="E16" s="25">
        <f>D16</f>
        <v>30</v>
      </c>
      <c r="F16" s="25">
        <f t="shared" ref="F16:G16" si="1">E16</f>
        <v>30</v>
      </c>
      <c r="G16" s="25">
        <f t="shared" si="1"/>
        <v>30</v>
      </c>
    </row>
    <row r="17" spans="2:7" x14ac:dyDescent="0.25">
      <c r="B17" s="3" t="s">
        <v>71</v>
      </c>
      <c r="C17" s="3"/>
      <c r="D17" s="19">
        <v>135</v>
      </c>
      <c r="E17" s="26">
        <f>'P&amp;L'!E19+'Balance sheet'!D17</f>
        <v>348.41250000000002</v>
      </c>
      <c r="F17" s="26">
        <f>'P&amp;L'!F19+'Balance sheet'!E17</f>
        <v>595.71862500000009</v>
      </c>
      <c r="G17" s="26">
        <f>'P&amp;L'!G19+'Balance sheet'!F17</f>
        <v>928.46193375000018</v>
      </c>
    </row>
    <row r="18" spans="2:7" s="2" customFormat="1" x14ac:dyDescent="0.25">
      <c r="B18" s="2" t="s">
        <v>72</v>
      </c>
      <c r="D18" s="20">
        <f>SUM(D16:D17)</f>
        <v>165</v>
      </c>
      <c r="E18" s="20">
        <f>SUM(E16:E17)</f>
        <v>378.41250000000002</v>
      </c>
      <c r="F18" s="20">
        <f t="shared" ref="F18:G18" si="2">SUM(F16:F17)</f>
        <v>625.71862500000009</v>
      </c>
      <c r="G18" s="20">
        <f t="shared" si="2"/>
        <v>958.46193375000018</v>
      </c>
    </row>
    <row r="19" spans="2:7" s="2" customFormat="1" ht="15.75" thickBot="1" x14ac:dyDescent="0.3">
      <c r="B19" s="16" t="s">
        <v>32</v>
      </c>
      <c r="C19" s="14"/>
      <c r="D19" s="29">
        <f>D18+D14</f>
        <v>275</v>
      </c>
      <c r="E19" s="29">
        <f>E18+E14</f>
        <v>486.42500000000001</v>
      </c>
      <c r="F19" s="29">
        <f t="shared" ref="F19:G19" si="3">F18+F14</f>
        <v>750.52900000000011</v>
      </c>
      <c r="G19" s="29">
        <f t="shared" si="3"/>
        <v>1117.8013700000001</v>
      </c>
    </row>
    <row r="20" spans="2:7" s="17" customFormat="1" ht="15.75" thickTop="1" x14ac:dyDescent="0.25">
      <c r="D20" s="30"/>
      <c r="E20" s="30"/>
      <c r="F20" s="30"/>
      <c r="G20" s="30"/>
    </row>
    <row r="21" spans="2:7" s="17" customFormat="1" x14ac:dyDescent="0.25">
      <c r="B21" s="17" t="s">
        <v>33</v>
      </c>
      <c r="D21" s="30">
        <f>D19-D9</f>
        <v>0</v>
      </c>
      <c r="E21" s="30">
        <f>E19-E9</f>
        <v>0</v>
      </c>
      <c r="F21" s="30">
        <f>F19-F9</f>
        <v>0</v>
      </c>
      <c r="G21" s="30">
        <f>G19-G9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8" sqref="B18"/>
    </sheetView>
  </sheetViews>
  <sheetFormatPr defaultColWidth="8.85546875" defaultRowHeight="15" x14ac:dyDescent="0.25"/>
  <cols>
    <col min="1" max="1" width="1.85546875" customWidth="1"/>
    <col min="2" max="2" width="24.85546875" bestFit="1" customWidth="1"/>
  </cols>
  <sheetData>
    <row r="1" spans="1:7" ht="19.5" x14ac:dyDescent="0.3">
      <c r="A1" s="8" t="s">
        <v>34</v>
      </c>
    </row>
    <row r="2" spans="1:7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7" x14ac:dyDescent="0.25">
      <c r="A3" s="22"/>
      <c r="B3" s="22" t="s">
        <v>29</v>
      </c>
      <c r="C3" s="23"/>
      <c r="D3" s="12">
        <v>2016</v>
      </c>
      <c r="E3" s="24">
        <v>2017</v>
      </c>
      <c r="F3" s="24">
        <v>2018</v>
      </c>
      <c r="G3" s="12">
        <v>2019</v>
      </c>
    </row>
    <row r="5" spans="1:7" x14ac:dyDescent="0.25">
      <c r="B5" t="s">
        <v>73</v>
      </c>
      <c r="E5" s="25">
        <f>'P&amp;L'!E19</f>
        <v>213.41250000000002</v>
      </c>
      <c r="F5" s="25">
        <f>'P&amp;L'!F19</f>
        <v>247.30612500000007</v>
      </c>
      <c r="G5" s="25">
        <f>'P&amp;L'!G19</f>
        <v>332.7433087500001</v>
      </c>
    </row>
    <row r="6" spans="1:7" x14ac:dyDescent="0.25">
      <c r="B6" t="s">
        <v>74</v>
      </c>
      <c r="E6" s="25">
        <f>'P&amp;L'!E18</f>
        <v>71.137500000000003</v>
      </c>
      <c r="F6" s="25">
        <f>'P&amp;L'!F18</f>
        <v>82.435375000000022</v>
      </c>
      <c r="G6" s="25">
        <f>'P&amp;L'!G18</f>
        <v>110.91443625000002</v>
      </c>
    </row>
    <row r="7" spans="1:7" x14ac:dyDescent="0.25">
      <c r="B7" t="s">
        <v>11</v>
      </c>
      <c r="E7" s="25">
        <f>+'P&amp;L'!E15</f>
        <v>62.5</v>
      </c>
      <c r="F7" s="25">
        <f>+'P&amp;L'!F15</f>
        <v>75</v>
      </c>
      <c r="G7" s="25">
        <f>+'P&amp;L'!G15</f>
        <v>25</v>
      </c>
    </row>
    <row r="8" spans="1:7" x14ac:dyDescent="0.25">
      <c r="B8" t="s">
        <v>75</v>
      </c>
      <c r="E8" s="25">
        <f>-Calculations!E26</f>
        <v>-58.125</v>
      </c>
      <c r="F8" s="25">
        <f>-Calculations!F26</f>
        <v>-71.137500000000003</v>
      </c>
      <c r="G8" s="25">
        <f>-Calculations!G26</f>
        <v>-82.435375000000022</v>
      </c>
    </row>
    <row r="9" spans="1:7" x14ac:dyDescent="0.25">
      <c r="B9" s="3" t="s">
        <v>76</v>
      </c>
      <c r="C9" s="3"/>
      <c r="D9" s="3"/>
      <c r="E9" s="26">
        <f>Calculations!E34</f>
        <v>-245</v>
      </c>
      <c r="F9" s="26">
        <f>Calculations!F34</f>
        <v>-27.500000000000057</v>
      </c>
      <c r="G9" s="26">
        <f>Calculations!G34</f>
        <v>-30.25</v>
      </c>
    </row>
    <row r="10" spans="1:7" s="2" customFormat="1" x14ac:dyDescent="0.25">
      <c r="B10" s="2" t="s">
        <v>77</v>
      </c>
      <c r="E10" s="27">
        <f>SUM(E5:E9)</f>
        <v>43.925000000000011</v>
      </c>
      <c r="F10" s="27">
        <f t="shared" ref="F10:G10" si="0">SUM(F5:F9)</f>
        <v>306.10400000000004</v>
      </c>
      <c r="G10" s="27">
        <f t="shared" si="0"/>
        <v>355.97237000000007</v>
      </c>
    </row>
    <row r="11" spans="1:7" x14ac:dyDescent="0.25">
      <c r="E11" s="25"/>
      <c r="F11" s="25"/>
      <c r="G11" s="25"/>
    </row>
    <row r="12" spans="1:7" x14ac:dyDescent="0.25">
      <c r="B12" s="3" t="s">
        <v>78</v>
      </c>
      <c r="C12" s="3"/>
      <c r="D12" s="3"/>
      <c r="E12" s="26">
        <f>-Calculations!E7</f>
        <v>0</v>
      </c>
      <c r="F12" s="26">
        <f>-Calculations!F7</f>
        <v>-50</v>
      </c>
      <c r="G12" s="26">
        <f>-Calculations!G7</f>
        <v>-50</v>
      </c>
    </row>
    <row r="13" spans="1:7" s="2" customFormat="1" x14ac:dyDescent="0.25">
      <c r="B13" s="2" t="s">
        <v>79</v>
      </c>
      <c r="E13" s="27">
        <f>SUM(E12)</f>
        <v>0</v>
      </c>
      <c r="F13" s="27">
        <f t="shared" ref="F13:G13" si="1">SUM(F12)</f>
        <v>-50</v>
      </c>
      <c r="G13" s="27">
        <f t="shared" si="1"/>
        <v>-50</v>
      </c>
    </row>
    <row r="14" spans="1:7" x14ac:dyDescent="0.25">
      <c r="E14" s="25"/>
      <c r="F14" s="25"/>
      <c r="G14" s="25"/>
    </row>
    <row r="15" spans="1:7" x14ac:dyDescent="0.25">
      <c r="B15" t="s">
        <v>80</v>
      </c>
      <c r="E15" s="25">
        <f t="shared" ref="E15:G15" si="2">D17</f>
        <v>50</v>
      </c>
      <c r="F15" s="25">
        <f t="shared" si="2"/>
        <v>93.925000000000011</v>
      </c>
      <c r="G15" s="25">
        <f t="shared" si="2"/>
        <v>350.02900000000005</v>
      </c>
    </row>
    <row r="16" spans="1:7" x14ac:dyDescent="0.25">
      <c r="B16" t="s">
        <v>81</v>
      </c>
      <c r="E16" s="25">
        <f>E10+E13</f>
        <v>43.925000000000011</v>
      </c>
      <c r="F16" s="25">
        <f t="shared" ref="F16:G16" si="3">F10+F13</f>
        <v>256.10400000000004</v>
      </c>
      <c r="G16" s="25">
        <f t="shared" si="3"/>
        <v>305.97237000000007</v>
      </c>
    </row>
    <row r="17" spans="2:7" s="2" customFormat="1" x14ac:dyDescent="0.25">
      <c r="B17" s="2" t="s">
        <v>82</v>
      </c>
      <c r="D17" s="27">
        <f>'Balance sheet'!D8</f>
        <v>50</v>
      </c>
      <c r="E17" s="27">
        <f t="shared" ref="E17" si="4">SUM(E15:E16)</f>
        <v>93.925000000000011</v>
      </c>
      <c r="F17" s="27">
        <f t="shared" ref="F17" si="5">SUM(F15:F16)</f>
        <v>350.02900000000005</v>
      </c>
      <c r="G17" s="27">
        <f t="shared" ref="G17" si="6">SUM(G15:G16)</f>
        <v>656.00137000000018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workbookViewId="0">
      <selection activeCell="N23" sqref="N23"/>
    </sheetView>
  </sheetViews>
  <sheetFormatPr defaultColWidth="8.85546875" defaultRowHeight="15" x14ac:dyDescent="0.25"/>
  <cols>
    <col min="1" max="1" width="2" customWidth="1"/>
  </cols>
  <sheetData>
    <row r="1" spans="1:7" ht="19.5" x14ac:dyDescent="0.3">
      <c r="A1" s="8" t="s">
        <v>34</v>
      </c>
    </row>
    <row r="2" spans="1:7" x14ac:dyDescent="0.25">
      <c r="A2" s="10"/>
      <c r="B2" s="11"/>
      <c r="C2" s="11"/>
      <c r="D2" s="10" t="s">
        <v>25</v>
      </c>
      <c r="E2" s="10" t="s">
        <v>26</v>
      </c>
      <c r="F2" s="10" t="s">
        <v>26</v>
      </c>
      <c r="G2" s="10" t="s">
        <v>26</v>
      </c>
    </row>
    <row r="3" spans="1:7" x14ac:dyDescent="0.25">
      <c r="A3" s="22"/>
      <c r="B3" s="22" t="s">
        <v>29</v>
      </c>
      <c r="C3" s="23"/>
      <c r="D3" s="12">
        <v>2016</v>
      </c>
      <c r="E3" s="24">
        <v>2017</v>
      </c>
      <c r="F3" s="24">
        <v>2018</v>
      </c>
      <c r="G3" s="12">
        <v>2019</v>
      </c>
    </row>
    <row r="4" spans="1:7" x14ac:dyDescent="0.25">
      <c r="A4" s="2" t="s">
        <v>52</v>
      </c>
    </row>
    <row r="5" spans="1:7" x14ac:dyDescent="0.25">
      <c r="B5" t="s">
        <v>83</v>
      </c>
      <c r="E5" s="49">
        <f>'P&amp;L'!E5/'P&amp;L'!D5-1</f>
        <v>0.10000000000000009</v>
      </c>
      <c r="F5" s="49">
        <f>'P&amp;L'!F5/'P&amp;L'!E5-1</f>
        <v>0.10000000000000009</v>
      </c>
      <c r="G5" s="49">
        <f>'P&amp;L'!G5/'P&amp;L'!F5-1</f>
        <v>0.10000000000000009</v>
      </c>
    </row>
    <row r="6" spans="1:7" x14ac:dyDescent="0.25">
      <c r="B6" t="s">
        <v>84</v>
      </c>
      <c r="E6" s="49">
        <f>'P&amp;L'!E13/'P&amp;L'!D13-1</f>
        <v>0.17644067796610163</v>
      </c>
      <c r="F6" s="49">
        <f>'P&amp;L'!F13/'P&amp;L'!E13-1</f>
        <v>0.16623397205013712</v>
      </c>
      <c r="G6" s="49">
        <f>'P&amp;L'!G13/'P&amp;L'!F13-1</f>
        <v>0.15791868390071184</v>
      </c>
    </row>
    <row r="7" spans="1:7" x14ac:dyDescent="0.25">
      <c r="B7" t="s">
        <v>85</v>
      </c>
      <c r="E7" s="49"/>
      <c r="F7" s="49">
        <f>'Cash Flow'!F10/'Cash Flow'!E10-1</f>
        <v>5.9687877063175856</v>
      </c>
      <c r="G7" s="49">
        <f>'Cash Flow'!G10/'Cash Flow'!F10-1</f>
        <v>0.16291316023312352</v>
      </c>
    </row>
    <row r="8" spans="1:7" x14ac:dyDescent="0.25">
      <c r="B8" t="s">
        <v>86</v>
      </c>
      <c r="E8" s="49">
        <f>'P&amp;L'!E19/'P&amp;L'!D19-1</f>
        <v>0.22387096774193571</v>
      </c>
      <c r="F8" s="49">
        <f>'P&amp;L'!F19/'P&amp;L'!E19-1</f>
        <v>0.1588174310314534</v>
      </c>
      <c r="G8" s="49">
        <f>'P&amp;L'!G19/'P&amp;L'!F19-1</f>
        <v>0.34547136165754089</v>
      </c>
    </row>
    <row r="9" spans="1:7" x14ac:dyDescent="0.25">
      <c r="E9" s="49"/>
      <c r="F9" s="49"/>
      <c r="G9" s="49"/>
    </row>
    <row r="10" spans="1:7" x14ac:dyDescent="0.25">
      <c r="A10" s="2" t="s">
        <v>53</v>
      </c>
      <c r="E10" s="49"/>
      <c r="F10" s="49"/>
      <c r="G10" s="49"/>
    </row>
    <row r="11" spans="1:7" x14ac:dyDescent="0.25">
      <c r="B11" t="s">
        <v>87</v>
      </c>
      <c r="E11" s="49">
        <f>'P&amp;L'!E16/'P&amp;L'!E5</f>
        <v>0.21556818181818183</v>
      </c>
      <c r="F11" s="49">
        <f>'P&amp;L'!F16/'P&amp;L'!F5</f>
        <v>0.227094696969697</v>
      </c>
      <c r="G11" s="49">
        <f>'P&amp;L'!G16/'P&amp;L'!G5</f>
        <v>0.27777219196093161</v>
      </c>
    </row>
    <row r="12" spans="1:7" x14ac:dyDescent="0.25">
      <c r="B12" t="s">
        <v>88</v>
      </c>
      <c r="E12" s="49">
        <f>'P&amp;L'!E13/'P&amp;L'!E5</f>
        <v>0.26291666666666669</v>
      </c>
      <c r="F12" s="49">
        <f>'P&amp;L'!F13/'P&amp;L'!F5</f>
        <v>0.27874758953168044</v>
      </c>
      <c r="G12" s="49">
        <f>'P&amp;L'!G13/'P&amp;L'!G5</f>
        <v>0.29342458364638119</v>
      </c>
    </row>
    <row r="13" spans="1:7" x14ac:dyDescent="0.25">
      <c r="B13" t="s">
        <v>89</v>
      </c>
      <c r="E13" s="49">
        <f>'P&amp;L'!E19/'P&amp;L'!E5</f>
        <v>0.16167613636363637</v>
      </c>
      <c r="F13" s="49">
        <f>'P&amp;L'!F19/'P&amp;L'!F5</f>
        <v>0.17032102272727276</v>
      </c>
      <c r="G13" s="49">
        <f>'P&amp;L'!G19/'P&amp;L'!G5</f>
        <v>0.20832914397069874</v>
      </c>
    </row>
    <row r="14" spans="1:7" x14ac:dyDescent="0.25">
      <c r="B14" t="s">
        <v>54</v>
      </c>
      <c r="E14" s="49">
        <f>'P&amp;L'!E19/'Balance sheet'!E18</f>
        <v>0.56396789218115151</v>
      </c>
      <c r="F14" s="49">
        <f>'P&amp;L'!F19/'Balance sheet'!F18</f>
        <v>0.39523535838492907</v>
      </c>
      <c r="G14" s="49">
        <f>'P&amp;L'!G19/'Balance sheet'!G18</f>
        <v>0.34716382261331519</v>
      </c>
    </row>
    <row r="15" spans="1:7" x14ac:dyDescent="0.25">
      <c r="B15" t="s">
        <v>90</v>
      </c>
      <c r="E15" s="49">
        <f>'P&amp;L'!E21/'P&amp;L'!E19</f>
        <v>0</v>
      </c>
      <c r="F15" s="49">
        <f>'P&amp;L'!F21/'P&amp;L'!F19</f>
        <v>0</v>
      </c>
      <c r="G15" s="49">
        <f>'P&amp;L'!G21/'P&amp;L'!G19</f>
        <v>0</v>
      </c>
    </row>
    <row r="17" spans="1:7" x14ac:dyDescent="0.25">
      <c r="A17" s="2" t="s">
        <v>55</v>
      </c>
    </row>
    <row r="18" spans="1:7" x14ac:dyDescent="0.25">
      <c r="B18" t="s">
        <v>91</v>
      </c>
      <c r="E18" s="25">
        <f>'Balance sheet'!E6/'P&amp;L'!E5*365</f>
        <v>60.833333333333329</v>
      </c>
      <c r="F18" s="25">
        <f>'Balance sheet'!F6/'P&amp;L'!F5*365</f>
        <v>60.833333333333329</v>
      </c>
      <c r="G18" s="25">
        <f>'Balance sheet'!G6/'P&amp;L'!G5*365</f>
        <v>60.833333333333329</v>
      </c>
    </row>
    <row r="19" spans="1:7" x14ac:dyDescent="0.25">
      <c r="B19" t="s">
        <v>92</v>
      </c>
      <c r="E19" s="25">
        <f>'Balance sheet'!E7/'P&amp;L'!E6*365</f>
        <v>60.833333333333329</v>
      </c>
      <c r="F19" s="25">
        <f>'Balance sheet'!F7/'P&amp;L'!F6*365</f>
        <v>60.833333333333329</v>
      </c>
      <c r="G19" s="25">
        <f>'Balance sheet'!G7/'P&amp;L'!G6*365</f>
        <v>60.833333333333329</v>
      </c>
    </row>
    <row r="20" spans="1:7" x14ac:dyDescent="0.25">
      <c r="B20" t="s">
        <v>93</v>
      </c>
      <c r="E20" s="25">
        <f>'Balance sheet'!E12/'P&amp;L'!E6*365</f>
        <v>30.416666666666664</v>
      </c>
      <c r="F20" s="25">
        <f>'Balance sheet'!F12/'P&amp;L'!F6*365</f>
        <v>30.416666666666664</v>
      </c>
      <c r="G20" s="25">
        <f>'Balance sheet'!G12/'P&amp;L'!G6*365</f>
        <v>30.416666666666664</v>
      </c>
    </row>
    <row r="21" spans="1:7" x14ac:dyDescent="0.25">
      <c r="B21" t="s">
        <v>94</v>
      </c>
      <c r="E21" s="50">
        <f>Calculations!E33/'P&amp;L'!E5</f>
        <v>0.20833333333333334</v>
      </c>
      <c r="F21" s="50">
        <f>Calculations!F33/'P&amp;L'!F5</f>
        <v>0.20833333333333334</v>
      </c>
      <c r="G21" s="50">
        <f>Calculations!G33/'P&amp;L'!G5</f>
        <v>0.20833333333333334</v>
      </c>
    </row>
    <row r="22" spans="1:7" x14ac:dyDescent="0.25">
      <c r="B22" t="s">
        <v>95</v>
      </c>
      <c r="E22" s="49">
        <f>'Balance sheet'!E5/'P&amp;L'!E5</f>
        <v>4.7348484848484848E-2</v>
      </c>
      <c r="F22" s="49">
        <f>'Balance sheet'!F5/'P&amp;L'!F5</f>
        <v>2.5826446280991733E-2</v>
      </c>
      <c r="G22" s="49">
        <f>'Balance sheet'!G5/'P&amp;L'!G5</f>
        <v>3.9130979213623837E-2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Calculations</vt:lpstr>
      <vt:lpstr>P&amp;L</vt:lpstr>
      <vt:lpstr>Balance sheet</vt:lpstr>
      <vt:lpstr>Cash Flow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 Salot</dc:creator>
  <cp:lastModifiedBy>Benjamin Currier</cp:lastModifiedBy>
  <dcterms:created xsi:type="dcterms:W3CDTF">2017-09-08T05:02:16Z</dcterms:created>
  <dcterms:modified xsi:type="dcterms:W3CDTF">2018-05-07T19:46:55Z</dcterms:modified>
</cp:coreProperties>
</file>