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8de5e6e04a93b7d/Рабочий стол/Работы/7 семестр/МПС/MPS_Course_Work/"/>
    </mc:Choice>
  </mc:AlternateContent>
  <xr:revisionPtr revIDLastSave="152" documentId="8_{AE223CD1-AFB2-45CC-9FFC-597FEED66636}" xr6:coauthVersionLast="47" xr6:coauthVersionMax="47" xr10:uidLastSave="{1F80861E-A041-4E4F-9F49-517C012AD576}"/>
  <bookViews>
    <workbookView xWindow="1950" yWindow="1785" windowWidth="8070" windowHeight="8880" firstSheet="3" activeTab="6" xr2:uid="{00000000-000D-0000-FFFF-FFFF00000000}"/>
  </bookViews>
  <sheets>
    <sheet name="Функциональные требования" sheetId="1" r:id="rId1"/>
    <sheet name="Использованные источники" sheetId="2" r:id="rId2"/>
    <sheet name="VCP Protocol" sheetId="8" r:id="rId3"/>
    <sheet name="Функциональные блоки" sheetId="3" r:id="rId4"/>
    <sheet name="Компоненты" sheetId="4" r:id="rId5"/>
    <sheet name="Кварц" sheetId="5" r:id="rId6"/>
    <sheet name="DC-DC" sheetId="6" r:id="rId7"/>
    <sheet name="CAN Timing" sheetId="10" r:id="rId8"/>
    <sheet name="Функциональные объекты" sheetId="7" r:id="rId9"/>
    <sheet name="Недочеты" sheetId="9" r:id="rId10"/>
  </sheets>
  <definedNames>
    <definedName name="solver_adj" localSheetId="7" hidden="1">'CAN Timing'!$E$10:$H$10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0" localSheetId="7" hidden="1">'CAN Timing'!$R$7</definedName>
    <definedName name="solver_lhs1" localSheetId="7" hidden="1">'CAN Timing'!$E$10:$H$10</definedName>
    <definedName name="solver_lhs2" localSheetId="7" hidden="1">'CAN Timing'!$F$10</definedName>
    <definedName name="solver_lhs3" localSheetId="7" hidden="1">'CAN Timing'!$G$10</definedName>
    <definedName name="solver_lhs4" localSheetId="7" hidden="1">'CAN Timing'!$H$10</definedName>
    <definedName name="solver_lhs5" localSheetId="7" hidden="1">'CAN Timing'!$H$10</definedName>
    <definedName name="solver_lhs6" localSheetId="7" hidden="1">'CAN Timing'!$R$10</definedName>
    <definedName name="solver_lhs7" localSheetId="7" hidden="1">'CAN Timing'!$R$10</definedName>
    <definedName name="solver_lhs8" localSheetId="7" hidden="1">'CAN Timing'!$S$10</definedName>
    <definedName name="solver_lhs9" localSheetId="7" hidden="1">'CAN Timing'!$E$10</definedName>
    <definedName name="solver_lin" localSheetId="7" hidden="1">2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9</definedName>
    <definedName name="solver_nwt" localSheetId="7" hidden="1">1</definedName>
    <definedName name="solver_opt" localSheetId="7" hidden="1">'CAN Timing'!$Q$10</definedName>
    <definedName name="solver_pre" localSheetId="7" hidden="1">0.000001</definedName>
    <definedName name="solver_rbv" localSheetId="7" hidden="1">1</definedName>
    <definedName name="solver_rel0" localSheetId="7" hidden="1">3</definedName>
    <definedName name="solver_rel1" localSheetId="7" hidden="1">4</definedName>
    <definedName name="solver_rel2" localSheetId="7" hidden="1">1</definedName>
    <definedName name="solver_rel3" localSheetId="7" hidden="1">1</definedName>
    <definedName name="solver_rel4" localSheetId="7" hidden="1">1</definedName>
    <definedName name="solver_rel5" localSheetId="7" hidden="1">3</definedName>
    <definedName name="solver_rel6" localSheetId="7" hidden="1">3</definedName>
    <definedName name="solver_rel7" localSheetId="7" hidden="1">3</definedName>
    <definedName name="solver_rel8" localSheetId="7" hidden="1">3</definedName>
    <definedName name="solver_rel9" localSheetId="7" hidden="1">1</definedName>
    <definedName name="solver_rhs0" localSheetId="7" hidden="1">'CAN Timing'!$S$7</definedName>
    <definedName name="solver_rhs1" localSheetId="7" hidden="1">"целое"</definedName>
    <definedName name="solver_rhs2" localSheetId="7" hidden="1">'CAN Timing'!$W$10</definedName>
    <definedName name="solver_rhs3" localSheetId="7" hidden="1">'CAN Timing'!$X$10</definedName>
    <definedName name="solver_rhs4" localSheetId="7" hidden="1">'CAN Timing'!$Y$10</definedName>
    <definedName name="solver_rhs5" localSheetId="7" hidden="1">'CAN Timing'!$Z$10</definedName>
    <definedName name="solver_rhs6" localSheetId="7" hidden="1">'CAN Timing'!$O$10</definedName>
    <definedName name="solver_rhs7" localSheetId="7" hidden="1">'CAN Timing'!$S$10</definedName>
    <definedName name="solver_rhs8" localSheetId="7" hidden="1">'CAN Timing'!$B$5+1</definedName>
    <definedName name="solver_rhs9" localSheetId="7" hidden="1">'CAN Timing'!$V$10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0" l="1"/>
  <c r="Q7" i="10"/>
  <c r="AB8" i="10"/>
  <c r="AC8" i="10"/>
  <c r="AD8" i="10" a="1"/>
  <c r="AD8" i="10" s="1"/>
  <c r="AE8" i="10"/>
  <c r="AF8" i="10"/>
  <c r="AG8" i="10"/>
  <c r="AH8" i="10"/>
  <c r="AI8" i="10"/>
  <c r="AM8" i="10"/>
  <c r="AN8" i="10"/>
  <c r="AB9" i="10"/>
  <c r="AC9" i="10"/>
  <c r="AD9" i="10" a="1"/>
  <c r="AD9" i="10" s="1"/>
  <c r="AE9" i="10"/>
  <c r="AF9" i="10"/>
  <c r="AG9" i="10"/>
  <c r="AH9" i="10"/>
  <c r="AI9" i="10"/>
  <c r="AM9" i="10"/>
  <c r="AN9" i="10"/>
  <c r="AB10" i="10"/>
  <c r="AC10" i="10"/>
  <c r="AD10" i="10" a="1"/>
  <c r="AD10" i="10" s="1"/>
  <c r="AE10" i="10"/>
  <c r="AF10" i="10"/>
  <c r="AG10" i="10"/>
  <c r="AH10" i="10"/>
  <c r="AI10" i="10"/>
  <c r="AM10" i="10"/>
  <c r="AN10" i="10"/>
  <c r="AB5" i="10"/>
  <c r="AC5" i="10"/>
  <c r="AD5" i="10" a="1"/>
  <c r="AD5" i="10" s="1"/>
  <c r="AE5" i="10"/>
  <c r="AF5" i="10"/>
  <c r="AG5" i="10"/>
  <c r="AH5" i="10"/>
  <c r="AI5" i="10"/>
  <c r="AJ5" i="10"/>
  <c r="AK5" i="10"/>
  <c r="AL5" i="10"/>
  <c r="AM5" i="10"/>
  <c r="AN5" i="10"/>
  <c r="AB6" i="10"/>
  <c r="AC6" i="10"/>
  <c r="AD6" i="10" a="1"/>
  <c r="AD6" i="10" s="1"/>
  <c r="AE6" i="10"/>
  <c r="AF6" i="10"/>
  <c r="AG6" i="10"/>
  <c r="AH6" i="10"/>
  <c r="AI6" i="10"/>
  <c r="AJ6" i="10"/>
  <c r="AK6" i="10"/>
  <c r="AL6" i="10"/>
  <c r="AM6" i="10"/>
  <c r="AN6" i="10"/>
  <c r="AL7" i="10"/>
  <c r="AK7" i="10"/>
  <c r="AJ7" i="10"/>
  <c r="AI7" i="10"/>
  <c r="AH7" i="10"/>
  <c r="AG7" i="10"/>
  <c r="AF7" i="10"/>
  <c r="AE7" i="10"/>
  <c r="AD7" i="10" a="1"/>
  <c r="AD7" i="10" s="1"/>
  <c r="AC7" i="10"/>
  <c r="AB7" i="10"/>
  <c r="AN7" i="10"/>
  <c r="AM7" i="10"/>
  <c r="R6" i="10"/>
  <c r="S6" i="10"/>
  <c r="R7" i="10"/>
  <c r="S7" i="10"/>
  <c r="R8" i="10"/>
  <c r="S8" i="10"/>
  <c r="AL8" i="10" s="1"/>
  <c r="R9" i="10"/>
  <c r="AJ9" i="10" s="1"/>
  <c r="S9" i="10"/>
  <c r="AL9" i="10" s="1"/>
  <c r="R10" i="10"/>
  <c r="AJ10" i="10" s="1"/>
  <c r="S10" i="10"/>
  <c r="AL10" i="10" s="1"/>
  <c r="S5" i="10"/>
  <c r="R5" i="10"/>
  <c r="L6" i="10"/>
  <c r="M6" i="10"/>
  <c r="L7" i="10"/>
  <c r="N7" i="10" s="1"/>
  <c r="I7" i="10" s="1"/>
  <c r="M7" i="10"/>
  <c r="L8" i="10"/>
  <c r="N8" i="10" s="1"/>
  <c r="J8" i="10" s="1"/>
  <c r="Q8" i="10" s="1"/>
  <c r="M8" i="10"/>
  <c r="L9" i="10"/>
  <c r="M9" i="10"/>
  <c r="L10" i="10"/>
  <c r="N10" i="10" s="1"/>
  <c r="I10" i="10" s="1"/>
  <c r="M10" i="10"/>
  <c r="M5" i="10"/>
  <c r="L5" i="10"/>
  <c r="N5" i="10" s="1"/>
  <c r="I5" i="10" s="1"/>
  <c r="F2" i="10"/>
  <c r="D9" i="6"/>
  <c r="H3" i="6"/>
  <c r="F3" i="6"/>
  <c r="E11" i="5"/>
  <c r="F11" i="5" s="1"/>
  <c r="E10" i="5"/>
  <c r="E9" i="5"/>
  <c r="B11" i="5"/>
  <c r="F4" i="5"/>
  <c r="B9" i="5"/>
  <c r="AK10" i="10" l="1"/>
  <c r="AK9" i="10"/>
  <c r="AK8" i="10"/>
  <c r="AJ8" i="10"/>
  <c r="I8" i="10"/>
  <c r="J7" i="10"/>
  <c r="N9" i="10"/>
  <c r="J10" i="10"/>
  <c r="Q10" i="10" s="1"/>
  <c r="N6" i="10"/>
  <c r="J5" i="10"/>
  <c r="Q5" i="10" s="1"/>
  <c r="B3" i="6"/>
  <c r="F6" i="6" s="1"/>
  <c r="B6" i="6" s="1"/>
  <c r="J9" i="10" l="1"/>
  <c r="Q9" i="10" s="1"/>
  <c r="I9" i="10"/>
  <c r="J6" i="10"/>
  <c r="I6" i="10"/>
  <c r="G9" i="6"/>
  <c r="B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<sst xmlns="http://schemas.openxmlformats.org/spreadsheetml/2006/main" count="307" uniqueCount="231">
  <si>
    <t>Техническое задание для адаптера J2534</t>
  </si>
  <si>
    <t>Поддерживаемые функции:</t>
  </si>
  <si>
    <t>Общие характеристики:</t>
  </si>
  <si>
    <t xml:space="preserve">Работа в бортовых сетях +12В </t>
  </si>
  <si>
    <t>Поддержка CAN (J1962)</t>
  </si>
  <si>
    <t>Задачи устройства:</t>
  </si>
  <si>
    <t>Подключение к ТС посредством разъема J1962</t>
  </si>
  <si>
    <t>Наличие внешних выводов для подключения шин CAN</t>
  </si>
  <si>
    <t>В рамках одного сеанса J2534 одновременно:
а) Читать из двух различных шин CAN
б) Записывать в две различные шины CAN</t>
  </si>
  <si>
    <t>Список сокращений</t>
  </si>
  <si>
    <t>БС</t>
  </si>
  <si>
    <t>бортовая сеть</t>
  </si>
  <si>
    <t>ТС</t>
  </si>
  <si>
    <t>транспортное средство</t>
  </si>
  <si>
    <t xml:space="preserve">Питание устройства как от БС автомобиля, так и от USB +5V </t>
  </si>
  <si>
    <t>Соответствие информационного интерфейса стандарту J2534</t>
  </si>
  <si>
    <t>Связь с ЭВМ посредством USB</t>
  </si>
  <si>
    <t>Поддержка MS-CAN</t>
  </si>
  <si>
    <t>Питание от USB</t>
  </si>
  <si>
    <t>Передача данных по USB</t>
  </si>
  <si>
    <t>Микросхемы</t>
  </si>
  <si>
    <t>L9637</t>
  </si>
  <si>
    <t>LM317M</t>
  </si>
  <si>
    <t>Использованные документы</t>
  </si>
  <si>
    <t>Linear and Switching Voltage
Regulator Fundamentals</t>
  </si>
  <si>
    <t>https://www.ti.com/lit/an/snva558/snva558.pdf</t>
  </si>
  <si>
    <t>Номер</t>
  </si>
  <si>
    <t>Ссылка</t>
  </si>
  <si>
    <t>Название</t>
  </si>
  <si>
    <t>Дата обращения</t>
  </si>
  <si>
    <t>https://www.ti.com/lit/eb/slyy151a/slyy151a.pdf</t>
  </si>
  <si>
    <t>LDO Basics</t>
  </si>
  <si>
    <t>Debug connector</t>
  </si>
  <si>
    <t>Подключение отладочных интерфейсов JTAG/SWD к МК</t>
  </si>
  <si>
    <t>Подача питания на МК</t>
  </si>
  <si>
    <t>SAE J1962 connector</t>
  </si>
  <si>
    <t>Подключение питания +12В и земли</t>
  </si>
  <si>
    <t>Подключение HS CAN и MS CAN</t>
  </si>
  <si>
    <t>Подключение программируемого источника питания</t>
  </si>
  <si>
    <t>USB connector</t>
  </si>
  <si>
    <t>Подключение питания +5В</t>
  </si>
  <si>
    <t>Подключение линий данных USB к МК</t>
  </si>
  <si>
    <t>Power supply</t>
  </si>
  <si>
    <t>Одновременное питание от +12В и +5В</t>
  </si>
  <si>
    <t>Питание МК и периферии</t>
  </si>
  <si>
    <t>CAN transceiver</t>
  </si>
  <si>
    <t>Переключение между HS/MS CAN</t>
  </si>
  <si>
    <t>Programmable power supply</t>
  </si>
  <si>
    <t>Выбор выходного напряжения 5-20В</t>
  </si>
  <si>
    <t>Осуществление подачи напряжения на выходы 6, 9, 11, 12, 13, 14</t>
  </si>
  <si>
    <t>Замыкание на землю контакта 15</t>
  </si>
  <si>
    <t>Замер напряжения бортовой сети</t>
  </si>
  <si>
    <t>Main module</t>
  </si>
  <si>
    <t>Управление PPS</t>
  </si>
  <si>
    <t>Отправка и чтение из шины CAN</t>
  </si>
  <si>
    <t>Выбор шины CAN</t>
  </si>
  <si>
    <t>Измерение напряжения бортовой сети</t>
  </si>
  <si>
    <t>Работа с USB</t>
  </si>
  <si>
    <t>Работа с JTAG/SWD</t>
  </si>
  <si>
    <t>XL1509</t>
  </si>
  <si>
    <t>DC-DC Step Down</t>
  </si>
  <si>
    <t>Список компонентов</t>
  </si>
  <si>
    <t>Part Number</t>
  </si>
  <si>
    <t>Кол-во</t>
  </si>
  <si>
    <t>105450-0101</t>
  </si>
  <si>
    <t>(тык)</t>
  </si>
  <si>
    <t>Type-C Receptable Top-Mount</t>
  </si>
  <si>
    <t>GD32F105RBT6</t>
  </si>
  <si>
    <t>Microcontroller</t>
  </si>
  <si>
    <t>https://gct.co/usb-connector/usb-orientations-and-mount-types</t>
  </si>
  <si>
    <t>USB Orientation &amp; Mount Types</t>
  </si>
  <si>
    <t>https://ru.wikipedia.org/wiki/USB_Type-C</t>
  </si>
  <si>
    <t>USB Type-C</t>
  </si>
  <si>
    <t>https://static.chipdip.ru/lib/977/DOC005977245.pdf</t>
  </si>
  <si>
    <t>PLS</t>
  </si>
  <si>
    <t>https://www.st.com/resource/en/datasheet/usblc6-2.pdf</t>
  </si>
  <si>
    <t>USBLC6-2 Datasheet</t>
  </si>
  <si>
    <t>https://static.chipdip.ru/lib/472/DOC014472505.pdf</t>
  </si>
  <si>
    <t>http://digitrode.ru/articles/1697-usb-type-c-raspinovka-rezhimy-i-osobennosti-primeneniya.html</t>
  </si>
  <si>
    <t>USB Type C: распиновка, режимы и особенности применения</t>
  </si>
  <si>
    <t>https://habr.com/ru/company/ntc-vulkan/blog/496882/</t>
  </si>
  <si>
    <t>Как начать использовать USB Type-C в своих разработках</t>
  </si>
  <si>
    <t>Oscillator design guide</t>
  </si>
  <si>
    <t>https://www.st.com/resource/en/application_note/an2867-oscillator-design-guide-for-stm8afals-stm32-mcus-and-mpus-stmicroelectronics.pdf</t>
  </si>
  <si>
    <t>TAXM8M4RDBCCT2T</t>
  </si>
  <si>
    <t>Crystal Oscillator</t>
  </si>
  <si>
    <t>Расчет цепей кварцевого резонатора:</t>
  </si>
  <si>
    <t>g_mcrit</t>
  </si>
  <si>
    <t>Параметры резонатора</t>
  </si>
  <si>
    <t>gain_margin</t>
  </si>
  <si>
    <t>F, MHz</t>
  </si>
  <si>
    <t>ESR, Ohm</t>
  </si>
  <si>
    <t>C_0, pF</t>
  </si>
  <si>
    <t>C_L, pF</t>
  </si>
  <si>
    <t>A/V</t>
  </si>
  <si>
    <t>Константы</t>
  </si>
  <si>
    <t>g_m, A/V</t>
  </si>
  <si>
    <t>Переменные:</t>
  </si>
  <si>
    <t>R_EXT</t>
  </si>
  <si>
    <t>g_mcritREXT</t>
  </si>
  <si>
    <t>Iqmax</t>
  </si>
  <si>
    <t>Dlmax, uW</t>
  </si>
  <si>
    <t>Iq</t>
  </si>
  <si>
    <t>IQREXT</t>
  </si>
  <si>
    <t>https://habr.com/ru/post/190012/</t>
  </si>
  <si>
    <t>Интерфейс JTAG? — Это очень просто</t>
  </si>
  <si>
    <t>STM32 microcontroller debug toolbox</t>
  </si>
  <si>
    <t>https://www.st.com/resource/en/application_note/an4989-stm32-microcontroller-debug-toolbox-stmicroelectronics.pdf</t>
  </si>
  <si>
    <t>https://www.ti.com/lit/an/snva559c/snva559c.pdf?ts=1668033055473&amp;ref_url=https%253A%252F%252Fwww.ti.com%252Fpower-management%252Fnon-isolated-dc-dc-switching-regulators%252Foverview.html</t>
  </si>
  <si>
    <t>Switching regulator fundamentals</t>
  </si>
  <si>
    <t>https://www.ti.com/lit/ml/slua366/slua366.pdf</t>
  </si>
  <si>
    <t>https://www.ti.com/lit/ds/symlink/tps563201.pdf?ts=1668072977388</t>
  </si>
  <si>
    <t>TPS56320x Datasheet</t>
  </si>
  <si>
    <t>PCB Layout Guidelines for Power Controllers</t>
  </si>
  <si>
    <t>DC-DC</t>
  </si>
  <si>
    <t>IIp-p</t>
  </si>
  <si>
    <t>x</t>
  </si>
  <si>
    <t>-</t>
  </si>
  <si>
    <t>Iipeak</t>
  </si>
  <si>
    <t>+</t>
  </si>
  <si>
    <t>ILO(RMS)</t>
  </si>
  <si>
    <t>Altium Academy Youtube Channel</t>
  </si>
  <si>
    <t>https://www.youtube.com/@AltiumAcademy</t>
  </si>
  <si>
    <t>https://www.youtube.com/@EEVblog</t>
  </si>
  <si>
    <t>EEVblog Youtube Channel</t>
  </si>
  <si>
    <t>Altium Education</t>
  </si>
  <si>
    <t>https://education.altium.com/</t>
  </si>
  <si>
    <t>USB-COM:</t>
  </si>
  <si>
    <t xml:space="preserve">Установка скорости соединения </t>
  </si>
  <si>
    <t>Взаимодействие с ПК</t>
  </si>
  <si>
    <t>Communication Interface:</t>
  </si>
  <si>
    <t>Обработка сигналов от COM</t>
  </si>
  <si>
    <t>Вызов необходимых обработчиков от Control</t>
  </si>
  <si>
    <t>Обратная связь к ПК</t>
  </si>
  <si>
    <t>CAN_MCP2515:</t>
  </si>
  <si>
    <t>Инициализация MCP2515</t>
  </si>
  <si>
    <t>Настройка параметров CAN</t>
  </si>
  <si>
    <t>Установка фильтров</t>
  </si>
  <si>
    <t>Обработка прерываний (чтение/отправка сообщений)</t>
  </si>
  <si>
    <t>Control:</t>
  </si>
  <si>
    <t>Управление интерфейсами</t>
  </si>
  <si>
    <t>Обработка команд от интерфейса взаимодействия</t>
  </si>
  <si>
    <t>Service:</t>
  </si>
  <si>
    <t>Первичная настройка МК и периферии</t>
  </si>
  <si>
    <t>Входные сигналы</t>
  </si>
  <si>
    <t>Выходные сигналы</t>
  </si>
  <si>
    <t>https://wiki.stmicroelectronics.cn/stm32mcu/wiki/Introduction_to_USB_with_STM32</t>
  </si>
  <si>
    <t>Introduction to USB with STM32</t>
  </si>
  <si>
    <t>Команда</t>
  </si>
  <si>
    <t>Входной синтаксис</t>
  </si>
  <si>
    <t>Выходной синтаксис</t>
  </si>
  <si>
    <t>PassThruConnect</t>
  </si>
  <si>
    <t>Все числа в шестнадцатиричной системе</t>
  </si>
  <si>
    <t>1 (ChannelID) 
/
NOT_SUPPORTED (Error Code)</t>
  </si>
  <si>
    <t>PassThruDisconnect</t>
  </si>
  <si>
    <t>OK (Error Code)</t>
  </si>
  <si>
    <t>PassThruReadMsgs</t>
  </si>
  <si>
    <t xml:space="preserve">disconnect 1 (ChannelID) </t>
  </si>
  <si>
    <t>PassThruWriteMsgs</t>
  </si>
  <si>
    <t>Ограничения</t>
  </si>
  <si>
    <t>Нет возможности отправить несколько сообщений за раз</t>
  </si>
  <si>
    <t>PassThruStartPeriodicMsg</t>
  </si>
  <si>
    <t>PassThruStopPeriodicMsg</t>
  </si>
  <si>
    <t>3 (MsgID) 
/
ERROR (Error Code)</t>
  </si>
  <si>
    <t>PassThruStartMsgFilter</t>
  </si>
  <si>
    <t>5 (MsgID) 
/
ERROR (Error Code)</t>
  </si>
  <si>
    <t>PassThruStopMsgFilter</t>
  </si>
  <si>
    <t>PassThruSetProgrammingVoltage</t>
  </si>
  <si>
    <t>PassThruReadVersion</t>
  </si>
  <si>
    <t>readversion</t>
  </si>
  <si>
    <t>PassThruGetLastError</t>
  </si>
  <si>
    <t>getlasterror</t>
  </si>
  <si>
    <t>Error String
/
ERROR (Error Code)</t>
  </si>
  <si>
    <t>Firmware version string
/
ERROR (Error Code)</t>
  </si>
  <si>
    <t>PassThruIoctl</t>
  </si>
  <si>
    <t>Output structure
/
ERROR (Error Code)</t>
  </si>
  <si>
    <t>ioctl 1,7,9032ad214f (ChannelID, IoctlID, Input)</t>
  </si>
  <si>
    <t>setprogvoltage 6,20000 (PinNumber, Voltage)</t>
  </si>
  <si>
    <t>stopmsgfilter 1,5 (ChannelID, MsgID)</t>
  </si>
  <si>
    <t>startmsgfilter 1,0,21df432ab432,2123afc321,21ad3424 (ChannelID, FilterType, MaskMsg, PatternMsg, FlowControlMsg)</t>
  </si>
  <si>
    <t>stopperiodicmsgs 1,3 (ChannelID, MsgID)</t>
  </si>
  <si>
    <t>startperiodicmsgs 1,01A4C3D29D93F2A000C,100 (ChannelID, Msg, TimeInterval)</t>
  </si>
  <si>
    <t>writemsgs 1,01A4C3D29D93F2A000C (ChannelID, Msg)</t>
  </si>
  <si>
    <t>readmsgs 1,2,10 (ChannelID, NumMsgs, Timeout)</t>
  </si>
  <si>
    <t xml:space="preserve">connect 5,c001 (ProtocolID, Flags) </t>
  </si>
  <si>
    <t>Сообщения протокола, разделенные '\r'
/
ERROR (Error Code)</t>
  </si>
  <si>
    <t>PassThruIoctl (GET_CONFIG)</t>
  </si>
  <si>
    <t>Список параметров, разделенные '\r'
/
ERROR (Error Code)</t>
  </si>
  <si>
    <t>12.1</t>
  </si>
  <si>
    <t>12.2</t>
  </si>
  <si>
    <t>PassThruIoctl (SET_CONFIG)</t>
  </si>
  <si>
    <t>OK (Error Code) (или список кодов ошибок)</t>
  </si>
  <si>
    <r>
      <t>ioctl 1,1,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04"/>
        <scheme val="minor"/>
      </rPr>
      <t>2,3,5,6,9</t>
    </r>
    <r>
      <rPr>
        <sz val="11"/>
        <rFont val="Calibri"/>
        <family val="2"/>
        <charset val="204"/>
        <scheme val="minor"/>
      </rPr>
      <t xml:space="preserve"> (</t>
    </r>
    <r>
      <rPr>
        <sz val="11"/>
        <color rgb="FF7030A0"/>
        <rFont val="Calibri"/>
        <family val="2"/>
        <charset val="204"/>
        <scheme val="minor"/>
      </rPr>
      <t>количество</t>
    </r>
    <r>
      <rPr>
        <sz val="11"/>
        <rFont val="Calibri"/>
        <family val="2"/>
        <charset val="204"/>
        <scheme val="minor"/>
      </rPr>
      <t xml:space="preserve"> и список запрашиваемых </t>
    </r>
    <r>
      <rPr>
        <sz val="11"/>
        <color rgb="FFFF0000"/>
        <rFont val="Calibri"/>
        <family val="2"/>
        <charset val="204"/>
        <scheme val="minor"/>
      </rPr>
      <t>параметров</t>
    </r>
    <r>
      <rPr>
        <sz val="11"/>
        <rFont val="Calibri"/>
        <family val="2"/>
        <charset val="204"/>
        <scheme val="minor"/>
      </rPr>
      <t>)</t>
    </r>
  </si>
  <si>
    <r>
      <t>ioctl 1,2,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rgb="FF00B050"/>
        <rFont val="Calibri"/>
        <family val="2"/>
        <charset val="204"/>
        <scheme val="minor"/>
      </rPr>
      <t>500</t>
    </r>
    <r>
      <rPr>
        <sz val="11"/>
        <color rgb="FFFF0000"/>
        <rFont val="Calibri"/>
        <family val="2"/>
        <charset val="204"/>
        <scheme val="minor"/>
      </rPr>
      <t>,3,</t>
    </r>
    <r>
      <rPr>
        <sz val="11"/>
        <color rgb="FF00B050"/>
        <rFont val="Calibri"/>
        <family val="2"/>
        <charset val="204"/>
        <scheme val="minor"/>
      </rPr>
      <t>200</t>
    </r>
    <r>
      <rPr>
        <sz val="11"/>
        <color rgb="FFFF0000"/>
        <rFont val="Calibri"/>
        <family val="2"/>
        <charset val="204"/>
        <scheme val="minor"/>
      </rPr>
      <t>,5,</t>
    </r>
    <r>
      <rPr>
        <sz val="11"/>
        <color rgb="FF00B050"/>
        <rFont val="Calibri"/>
        <family val="2"/>
        <charset val="204"/>
        <scheme val="minor"/>
      </rPr>
      <t>600</t>
    </r>
    <r>
      <rPr>
        <sz val="11"/>
        <color rgb="FFFF0000"/>
        <rFont val="Calibri"/>
        <family val="2"/>
        <charset val="204"/>
        <scheme val="minor"/>
      </rPr>
      <t>,6,</t>
    </r>
    <r>
      <rPr>
        <sz val="11"/>
        <color rgb="FF00B050"/>
        <rFont val="Calibri"/>
        <family val="2"/>
        <charset val="204"/>
        <scheme val="minor"/>
      </rPr>
      <t>1</t>
    </r>
    <r>
      <rPr>
        <sz val="11"/>
        <color rgb="FFFF0000"/>
        <rFont val="Calibri"/>
        <family val="2"/>
        <charset val="204"/>
        <scheme val="minor"/>
      </rPr>
      <t>,9,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rFont val="Calibri"/>
        <family val="2"/>
        <charset val="204"/>
        <scheme val="minor"/>
      </rPr>
      <t xml:space="preserve"> (количество пар, </t>
    </r>
    <r>
      <rPr>
        <sz val="11"/>
        <color rgb="FFFF0000"/>
        <rFont val="Calibri"/>
        <family val="2"/>
        <charset val="204"/>
        <scheme val="minor"/>
      </rPr>
      <t>параметров</t>
    </r>
    <r>
      <rPr>
        <sz val="11"/>
        <rFont val="Calibri"/>
        <family val="2"/>
        <charset val="204"/>
        <scheme val="minor"/>
      </rPr>
      <t xml:space="preserve"> и </t>
    </r>
    <r>
      <rPr>
        <sz val="11"/>
        <color rgb="FF00B050"/>
        <rFont val="Calibri"/>
        <family val="2"/>
        <charset val="204"/>
        <scheme val="minor"/>
      </rPr>
      <t>значений</t>
    </r>
    <r>
      <rPr>
        <sz val="11"/>
        <rFont val="Calibri"/>
        <family val="2"/>
        <charset val="204"/>
        <scheme val="minor"/>
      </rPr>
      <t>)</t>
    </r>
  </si>
  <si>
    <t>Светодиоды возможно имеет смысл подключать к 5V линии.</t>
  </si>
  <si>
    <t>Светодиодами стоит управлять в режиме открытого коллектора</t>
  </si>
  <si>
    <t>Расчет тока светодиодов проведен неверно (номиналов резисторов)</t>
  </si>
  <si>
    <t>Проверить выбранную катушку на ток</t>
  </si>
  <si>
    <t>Скорость тактирования</t>
  </si>
  <si>
    <t>МГц</t>
  </si>
  <si>
    <t>Sample Point</t>
  </si>
  <si>
    <t>BRP</t>
  </si>
  <si>
    <t>SJW</t>
  </si>
  <si>
    <t>PRSEG</t>
  </si>
  <si>
    <t>SAM</t>
  </si>
  <si>
    <t>BTLMODE</t>
  </si>
  <si>
    <t>PHSEG1</t>
  </si>
  <si>
    <t>PHSEG2</t>
  </si>
  <si>
    <t>SOF</t>
  </si>
  <si>
    <t>WAKFIL</t>
  </si>
  <si>
    <t>Скорость, кГц</t>
  </si>
  <si>
    <t>Результирующие</t>
  </si>
  <si>
    <t>Подбираемые</t>
  </si>
  <si>
    <t>Tq</t>
  </si>
  <si>
    <t>Bit Time</t>
  </si>
  <si>
    <t>Desirable Bit Time</t>
  </si>
  <si>
    <t>Tdelay</t>
  </si>
  <si>
    <t>SyncSeg</t>
  </si>
  <si>
    <t>Func</t>
  </si>
  <si>
    <t>PRSEG MAX</t>
  </si>
  <si>
    <t>BRP MAX</t>
  </si>
  <si>
    <t>PHSEG1 MAX</t>
  </si>
  <si>
    <t>PHSEG2 MAX</t>
  </si>
  <si>
    <t>PHSEG2 MIN</t>
  </si>
  <si>
    <t>PS+PS1</t>
  </si>
  <si>
    <t>PS2</t>
  </si>
  <si>
    <t>Вычисления</t>
  </si>
  <si>
    <t>Плата</t>
  </si>
  <si>
    <t>Код</t>
  </si>
  <si>
    <t>Возвращаемое значение метода isCapableOf должно зависеть не только от интерфейса</t>
  </si>
  <si>
    <t>Класс MCP2515 не разделяет расширенные и стандартные кадры и не может работать с ISO15765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</si>
</sst>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49" fontId="0" fillId="0" borderId="0" xfId="0" applyNumberFormat="1"/>
    <xf numFmtId="2" fontId="0" fillId="2" borderId="28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1" fontId="0" fillId="2" borderId="0" xfId="0" applyNumberFormat="1" applyFill="1"/>
    <xf numFmtId="2" fontId="0" fillId="3" borderId="28" xfId="0" applyNumberFormat="1" applyFill="1" applyBorder="1"/>
    <xf numFmtId="0" fontId="0" fillId="3" borderId="28" xfId="0" quotePrefix="1" applyFill="1" applyBorder="1"/>
    <xf numFmtId="11" fontId="0" fillId="3" borderId="0" xfId="0" applyNumberFormat="1" applyFill="1"/>
    <xf numFmtId="0" fontId="0" fillId="3" borderId="0" xfId="0" applyFill="1" applyAlignment="1">
      <alignment horizontal="center" vertical="center"/>
    </xf>
    <xf numFmtId="11" fontId="0" fillId="3" borderId="28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1" fontId="0" fillId="4" borderId="0" xfId="0" applyNumberFormat="1" applyFill="1"/>
    <xf numFmtId="0" fontId="0" fillId="4" borderId="0" xfId="0" applyFill="1"/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9" xfId="0" applyBorder="1"/>
    <xf numFmtId="0" fontId="3" fillId="0" borderId="9" xfId="0" applyFont="1" applyBorder="1"/>
    <xf numFmtId="0" fontId="0" fillId="5" borderId="9" xfId="0" applyFill="1" applyBorder="1"/>
    <xf numFmtId="0" fontId="0" fillId="0" borderId="9" xfId="0" quotePrefix="1" applyBorder="1" applyAlignment="1">
      <alignment horizontal="right"/>
    </xf>
    <xf numFmtId="0" fontId="0" fillId="4" borderId="9" xfId="0" applyFill="1" applyBorder="1"/>
    <xf numFmtId="0" fontId="0" fillId="0" borderId="10" xfId="0" applyBorder="1"/>
    <xf numFmtId="0" fontId="0" fillId="0" borderId="12" xfId="0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7" xfId="0" applyFill="1" applyBorder="1"/>
    <xf numFmtId="0" fontId="0" fillId="0" borderId="11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0" fillId="7" borderId="14" xfId="0" applyFill="1" applyBorder="1"/>
    <xf numFmtId="0" fontId="0" fillId="7" borderId="17" xfId="0" applyFill="1" applyBorder="1"/>
    <xf numFmtId="0" fontId="0" fillId="0" borderId="4" xfId="0" applyBorder="1" applyAlignment="1">
      <alignment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9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16</xdr:col>
      <xdr:colOff>77495</xdr:colOff>
      <xdr:row>19</xdr:row>
      <xdr:rowOff>19239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8BECE1-1B3C-4D18-9E35-CF1789A5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286000"/>
          <a:ext cx="9278645" cy="135273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ct.co/usb-connector/usb-orientations-and-mount-types" TargetMode="External"/><Relationship Id="rId2" Type="http://schemas.openxmlformats.org/officeDocument/2006/relationships/hyperlink" Target="https://www.ti.com/lit/eb/slyy151a/slyy151a.pdf" TargetMode="External"/><Relationship Id="rId1" Type="http://schemas.openxmlformats.org/officeDocument/2006/relationships/hyperlink" Target="https://www.ti.com/lit/an/snva558/snva55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t.com/resource/en/datasheet/usblc6-2.pdf" TargetMode="External"/><Relationship Id="rId4" Type="http://schemas.openxmlformats.org/officeDocument/2006/relationships/hyperlink" Target="https://ru.wikipedia.org/wiki/USB_Type-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gigadevice.com/microcontroller/gd32f105rbt6/" TargetMode="External"/><Relationship Id="rId1" Type="http://schemas.openxmlformats.org/officeDocument/2006/relationships/hyperlink" Target="https://www.molex.com/molex/products/part-detail/io_connectors/10545001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workbookViewId="0">
      <selection activeCell="K26" sqref="K26:K27"/>
    </sheetView>
  </sheetViews>
  <sheetFormatPr defaultRowHeight="15" x14ac:dyDescent="0.25"/>
  <cols>
    <col min="16" max="16" width="18.5703125" customWidth="1"/>
  </cols>
  <sheetData>
    <row r="1" spans="2:16" ht="15.75" thickBot="1" x14ac:dyDescent="0.3"/>
    <row r="2" spans="2:16" ht="15.75" thickBot="1" x14ac:dyDescent="0.3">
      <c r="B2" s="76" t="s">
        <v>0</v>
      </c>
      <c r="C2" s="77"/>
      <c r="D2" s="77"/>
      <c r="E2" s="77"/>
      <c r="F2" s="77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x14ac:dyDescent="0.25">
      <c r="B3" s="76" t="s">
        <v>1</v>
      </c>
      <c r="C3" s="77"/>
      <c r="D3" s="77"/>
      <c r="E3" s="77"/>
      <c r="F3" s="78"/>
      <c r="G3" s="76" t="s">
        <v>2</v>
      </c>
      <c r="H3" s="77"/>
      <c r="I3" s="77"/>
      <c r="J3" s="77"/>
      <c r="K3" s="78"/>
      <c r="L3" s="76" t="s">
        <v>5</v>
      </c>
      <c r="M3" s="77"/>
      <c r="N3" s="77"/>
      <c r="O3" s="77"/>
      <c r="P3" s="78"/>
    </row>
    <row r="4" spans="2:16" x14ac:dyDescent="0.25">
      <c r="B4" s="1">
        <v>1</v>
      </c>
      <c r="C4" s="68"/>
      <c r="D4" s="68"/>
      <c r="E4" s="68"/>
      <c r="F4" s="69"/>
      <c r="G4" s="1">
        <v>1</v>
      </c>
      <c r="H4" s="68" t="s">
        <v>3</v>
      </c>
      <c r="I4" s="68"/>
      <c r="J4" s="68"/>
      <c r="K4" s="69"/>
      <c r="L4" s="1">
        <v>1</v>
      </c>
      <c r="M4" s="70" t="s">
        <v>6</v>
      </c>
      <c r="N4" s="70"/>
      <c r="O4" s="70"/>
      <c r="P4" s="71"/>
    </row>
    <row r="5" spans="2:16" x14ac:dyDescent="0.25">
      <c r="B5" s="1">
        <v>2</v>
      </c>
      <c r="C5" s="68"/>
      <c r="D5" s="68"/>
      <c r="E5" s="68"/>
      <c r="F5" s="69"/>
      <c r="G5" s="1">
        <v>2</v>
      </c>
      <c r="H5" s="68" t="s">
        <v>4</v>
      </c>
      <c r="I5" s="68"/>
      <c r="J5" s="68"/>
      <c r="K5" s="69"/>
      <c r="L5" s="83">
        <v>2</v>
      </c>
      <c r="M5" s="81" t="s">
        <v>7</v>
      </c>
      <c r="N5" s="81"/>
      <c r="O5" s="81"/>
      <c r="P5" s="82"/>
    </row>
    <row r="6" spans="2:16" x14ac:dyDescent="0.25">
      <c r="B6" s="1"/>
      <c r="C6" s="68"/>
      <c r="D6" s="68"/>
      <c r="E6" s="68"/>
      <c r="F6" s="69"/>
      <c r="G6" s="1">
        <v>3</v>
      </c>
      <c r="H6" s="68" t="s">
        <v>17</v>
      </c>
      <c r="I6" s="68"/>
      <c r="J6" s="68"/>
      <c r="K6" s="69"/>
      <c r="L6" s="83"/>
      <c r="M6" s="81"/>
      <c r="N6" s="81"/>
      <c r="O6" s="81"/>
      <c r="P6" s="82"/>
    </row>
    <row r="7" spans="2:16" ht="15" customHeight="1" x14ac:dyDescent="0.25">
      <c r="B7" s="1"/>
      <c r="C7" s="68"/>
      <c r="D7" s="68"/>
      <c r="E7" s="68"/>
      <c r="F7" s="69"/>
      <c r="G7" s="67">
        <v>4</v>
      </c>
      <c r="H7" s="86" t="s">
        <v>7</v>
      </c>
      <c r="I7" s="86"/>
      <c r="J7" s="86"/>
      <c r="K7" s="87"/>
      <c r="L7" s="1">
        <v>3</v>
      </c>
      <c r="M7" s="68" t="s">
        <v>16</v>
      </c>
      <c r="N7" s="68"/>
      <c r="O7" s="68"/>
      <c r="P7" s="69"/>
    </row>
    <row r="8" spans="2:16" x14ac:dyDescent="0.25">
      <c r="B8" s="1"/>
      <c r="C8" s="68"/>
      <c r="D8" s="68"/>
      <c r="E8" s="68"/>
      <c r="F8" s="69"/>
      <c r="G8" s="67"/>
      <c r="H8" s="86"/>
      <c r="I8" s="86"/>
      <c r="J8" s="86"/>
      <c r="K8" s="87"/>
      <c r="L8" s="83">
        <v>4</v>
      </c>
      <c r="M8" s="84" t="s">
        <v>14</v>
      </c>
      <c r="N8" s="84"/>
      <c r="O8" s="84"/>
      <c r="P8" s="85"/>
    </row>
    <row r="9" spans="2:16" x14ac:dyDescent="0.25">
      <c r="B9" s="1"/>
      <c r="C9" s="68"/>
      <c r="D9" s="68"/>
      <c r="E9" s="68"/>
      <c r="F9" s="69"/>
      <c r="G9" s="1">
        <v>5</v>
      </c>
      <c r="H9" s="68" t="s">
        <v>18</v>
      </c>
      <c r="I9" s="68"/>
      <c r="J9" s="68"/>
      <c r="K9" s="69"/>
      <c r="L9" s="83"/>
      <c r="M9" s="84"/>
      <c r="N9" s="84"/>
      <c r="O9" s="84"/>
      <c r="P9" s="85"/>
    </row>
    <row r="10" spans="2:16" ht="15" customHeight="1" x14ac:dyDescent="0.25">
      <c r="B10" s="1"/>
      <c r="C10" s="68"/>
      <c r="D10" s="68"/>
      <c r="E10" s="68"/>
      <c r="F10" s="69"/>
      <c r="G10" s="1">
        <v>6</v>
      </c>
      <c r="H10" s="68" t="s">
        <v>19</v>
      </c>
      <c r="I10" s="68"/>
      <c r="J10" s="68"/>
      <c r="K10" s="69"/>
      <c r="L10" s="83">
        <v>5</v>
      </c>
      <c r="M10" s="84" t="s">
        <v>15</v>
      </c>
      <c r="N10" s="84"/>
      <c r="O10" s="84"/>
      <c r="P10" s="85"/>
    </row>
    <row r="11" spans="2:16" x14ac:dyDescent="0.25">
      <c r="B11" s="1"/>
      <c r="C11" s="68"/>
      <c r="D11" s="68"/>
      <c r="E11" s="68"/>
      <c r="F11" s="69"/>
      <c r="G11" s="1"/>
      <c r="H11" s="68"/>
      <c r="I11" s="68"/>
      <c r="J11" s="68"/>
      <c r="K11" s="69"/>
      <c r="L11" s="83"/>
      <c r="M11" s="84"/>
      <c r="N11" s="84"/>
      <c r="O11" s="84"/>
      <c r="P11" s="85"/>
    </row>
    <row r="12" spans="2:16" ht="15" customHeight="1" x14ac:dyDescent="0.25">
      <c r="B12" s="1"/>
      <c r="C12" s="68"/>
      <c r="D12" s="68"/>
      <c r="E12" s="68"/>
      <c r="F12" s="69"/>
      <c r="G12" s="1"/>
      <c r="H12" s="68"/>
      <c r="I12" s="68"/>
      <c r="J12" s="68"/>
      <c r="K12" s="69"/>
      <c r="L12" s="83">
        <v>6</v>
      </c>
      <c r="M12" s="81" t="s">
        <v>8</v>
      </c>
      <c r="N12" s="81"/>
      <c r="O12" s="81"/>
      <c r="P12" s="82"/>
    </row>
    <row r="13" spans="2:16" x14ac:dyDescent="0.25">
      <c r="B13" s="1"/>
      <c r="C13" s="68"/>
      <c r="D13" s="68"/>
      <c r="E13" s="68"/>
      <c r="F13" s="69"/>
      <c r="G13" s="1"/>
      <c r="H13" s="68"/>
      <c r="I13" s="68"/>
      <c r="J13" s="68"/>
      <c r="K13" s="69"/>
      <c r="L13" s="83"/>
      <c r="M13" s="81"/>
      <c r="N13" s="81"/>
      <c r="O13" s="81"/>
      <c r="P13" s="82"/>
    </row>
    <row r="14" spans="2:16" x14ac:dyDescent="0.25">
      <c r="B14" s="1"/>
      <c r="C14" s="68"/>
      <c r="D14" s="68"/>
      <c r="E14" s="68"/>
      <c r="F14" s="69"/>
      <c r="G14" s="1"/>
      <c r="H14" s="68"/>
      <c r="I14" s="68"/>
      <c r="J14" s="68"/>
      <c r="K14" s="69"/>
      <c r="L14" s="83"/>
      <c r="M14" s="81"/>
      <c r="N14" s="81"/>
      <c r="O14" s="81"/>
      <c r="P14" s="82"/>
    </row>
    <row r="15" spans="2:16" x14ac:dyDescent="0.25">
      <c r="B15" s="1"/>
      <c r="C15" s="68"/>
      <c r="D15" s="68"/>
      <c r="E15" s="68"/>
      <c r="F15" s="69"/>
      <c r="G15" s="1"/>
      <c r="H15" s="70"/>
      <c r="I15" s="70"/>
      <c r="J15" s="70"/>
      <c r="K15" s="71"/>
      <c r="L15" s="1"/>
      <c r="M15" s="68"/>
      <c r="N15" s="68"/>
      <c r="O15" s="68"/>
      <c r="P15" s="69"/>
    </row>
    <row r="16" spans="2:16" x14ac:dyDescent="0.25">
      <c r="B16" s="1"/>
      <c r="C16" s="68"/>
      <c r="D16" s="68"/>
      <c r="E16" s="68"/>
      <c r="F16" s="69"/>
      <c r="G16" s="1"/>
      <c r="H16" s="70"/>
      <c r="I16" s="70"/>
      <c r="J16" s="70"/>
      <c r="K16" s="71"/>
      <c r="L16" s="1"/>
      <c r="M16" s="68"/>
      <c r="N16" s="68"/>
      <c r="O16" s="68"/>
      <c r="P16" s="69"/>
    </row>
    <row r="17" spans="2:16" x14ac:dyDescent="0.25">
      <c r="B17" s="1"/>
      <c r="C17" s="68"/>
      <c r="D17" s="68"/>
      <c r="E17" s="68"/>
      <c r="F17" s="69"/>
      <c r="G17" s="1"/>
      <c r="H17" s="70"/>
      <c r="I17" s="70"/>
      <c r="J17" s="70"/>
      <c r="K17" s="71"/>
      <c r="L17" s="1"/>
      <c r="M17" s="70"/>
      <c r="N17" s="70"/>
      <c r="O17" s="70"/>
      <c r="P17" s="71"/>
    </row>
    <row r="18" spans="2:16" x14ac:dyDescent="0.25">
      <c r="B18" s="1"/>
      <c r="C18" s="68"/>
      <c r="D18" s="68"/>
      <c r="E18" s="68"/>
      <c r="F18" s="69"/>
      <c r="G18" s="1"/>
      <c r="H18" s="70"/>
      <c r="I18" s="70"/>
      <c r="J18" s="70"/>
      <c r="K18" s="71"/>
      <c r="L18" s="1"/>
      <c r="M18" s="70"/>
      <c r="N18" s="70"/>
      <c r="O18" s="70"/>
      <c r="P18" s="71"/>
    </row>
    <row r="19" spans="2:16" ht="15.75" thickBot="1" x14ac:dyDescent="0.3">
      <c r="B19" s="2"/>
      <c r="C19" s="72"/>
      <c r="D19" s="72"/>
      <c r="E19" s="72"/>
      <c r="F19" s="73"/>
      <c r="G19" s="2"/>
      <c r="H19" s="74"/>
      <c r="I19" s="74"/>
      <c r="J19" s="74"/>
      <c r="K19" s="75"/>
      <c r="L19" s="2"/>
      <c r="M19" s="74"/>
      <c r="N19" s="74"/>
      <c r="O19" s="74"/>
      <c r="P19" s="75"/>
    </row>
    <row r="20" spans="2:16" ht="15.75" thickBot="1" x14ac:dyDescent="0.3"/>
    <row r="21" spans="2:16" ht="15.75" thickBot="1" x14ac:dyDescent="0.3">
      <c r="B21" s="76" t="s">
        <v>9</v>
      </c>
      <c r="C21" s="77"/>
      <c r="D21" s="77"/>
      <c r="E21" s="77"/>
      <c r="F21" s="78"/>
      <c r="H21" t="s">
        <v>20</v>
      </c>
    </row>
    <row r="22" spans="2:16" x14ac:dyDescent="0.25">
      <c r="B22" s="5" t="s">
        <v>10</v>
      </c>
      <c r="C22" s="79" t="s">
        <v>11</v>
      </c>
      <c r="D22" s="79"/>
      <c r="E22" s="79"/>
      <c r="F22" s="80"/>
      <c r="H22" t="s">
        <v>22</v>
      </c>
    </row>
    <row r="23" spans="2:16" x14ac:dyDescent="0.25">
      <c r="B23" s="1" t="s">
        <v>12</v>
      </c>
      <c r="C23" s="70" t="s">
        <v>13</v>
      </c>
      <c r="D23" s="70"/>
      <c r="E23" s="70"/>
      <c r="F23" s="71"/>
      <c r="H23" t="s">
        <v>21</v>
      </c>
    </row>
    <row r="24" spans="2:16" x14ac:dyDescent="0.25">
      <c r="B24" s="1"/>
      <c r="C24" s="70"/>
      <c r="D24" s="70"/>
      <c r="E24" s="70"/>
      <c r="F24" s="71"/>
      <c r="H24" t="s">
        <v>59</v>
      </c>
      <c r="I24" t="s">
        <v>60</v>
      </c>
    </row>
    <row r="25" spans="2:16" x14ac:dyDescent="0.25">
      <c r="B25" s="1"/>
      <c r="C25" s="70"/>
      <c r="D25" s="70"/>
      <c r="E25" s="70"/>
      <c r="F25" s="71"/>
    </row>
    <row r="26" spans="2:16" x14ac:dyDescent="0.25">
      <c r="B26" s="1"/>
      <c r="C26" s="70"/>
      <c r="D26" s="70"/>
      <c r="E26" s="70"/>
      <c r="F26" s="71"/>
    </row>
    <row r="27" spans="2:16" x14ac:dyDescent="0.25">
      <c r="B27" s="1"/>
      <c r="C27" s="70"/>
      <c r="D27" s="70"/>
      <c r="E27" s="70"/>
      <c r="F27" s="71"/>
    </row>
    <row r="28" spans="2:16" x14ac:dyDescent="0.25">
      <c r="B28" s="1"/>
      <c r="C28" s="70"/>
      <c r="D28" s="70"/>
      <c r="E28" s="70"/>
      <c r="F28" s="71"/>
    </row>
    <row r="29" spans="2:16" x14ac:dyDescent="0.25">
      <c r="B29" s="1"/>
      <c r="C29" s="70"/>
      <c r="D29" s="70"/>
      <c r="E29" s="70"/>
      <c r="F29" s="71"/>
    </row>
    <row r="30" spans="2:16" ht="15.75" thickBot="1" x14ac:dyDescent="0.3">
      <c r="B30" s="2"/>
      <c r="C30" s="74"/>
      <c r="D30" s="74"/>
      <c r="E30" s="74"/>
      <c r="F30" s="75"/>
    </row>
  </sheetData>
  <mergeCells count="61">
    <mergeCell ref="B2:F2"/>
    <mergeCell ref="B3:F3"/>
    <mergeCell ref="G3:K3"/>
    <mergeCell ref="H4:K4"/>
    <mergeCell ref="H5:K5"/>
    <mergeCell ref="H17:K17"/>
    <mergeCell ref="H18:K18"/>
    <mergeCell ref="H9:K9"/>
    <mergeCell ref="H10:K10"/>
    <mergeCell ref="H11:K11"/>
    <mergeCell ref="H12:K12"/>
    <mergeCell ref="L3:P3"/>
    <mergeCell ref="M4:P4"/>
    <mergeCell ref="H13:K13"/>
    <mergeCell ref="H14:K14"/>
    <mergeCell ref="H15:K15"/>
    <mergeCell ref="H6:K6"/>
    <mergeCell ref="M12:P14"/>
    <mergeCell ref="L12:L14"/>
    <mergeCell ref="M5:P6"/>
    <mergeCell ref="L5:L6"/>
    <mergeCell ref="M8:P9"/>
    <mergeCell ref="L8:L9"/>
    <mergeCell ref="M10:P11"/>
    <mergeCell ref="L10:L11"/>
    <mergeCell ref="H7:K8"/>
    <mergeCell ref="M18:P18"/>
    <mergeCell ref="M19:P19"/>
    <mergeCell ref="C4:F4"/>
    <mergeCell ref="C5:F5"/>
    <mergeCell ref="C6:F6"/>
    <mergeCell ref="C7:F7"/>
    <mergeCell ref="C8:F8"/>
    <mergeCell ref="C9:F9"/>
    <mergeCell ref="C10:F10"/>
    <mergeCell ref="C11:F11"/>
    <mergeCell ref="M7:P7"/>
    <mergeCell ref="M15:P15"/>
    <mergeCell ref="M16:P16"/>
    <mergeCell ref="M17:P17"/>
    <mergeCell ref="H19:K19"/>
    <mergeCell ref="H16:K16"/>
    <mergeCell ref="C30:F30"/>
    <mergeCell ref="B21:F21"/>
    <mergeCell ref="C22:F22"/>
    <mergeCell ref="C23:F23"/>
    <mergeCell ref="C24:F24"/>
    <mergeCell ref="C25:F25"/>
    <mergeCell ref="C26:F26"/>
    <mergeCell ref="G7:G8"/>
    <mergeCell ref="C12:F12"/>
    <mergeCell ref="C27:F27"/>
    <mergeCell ref="C28:F28"/>
    <mergeCell ref="C29:F29"/>
    <mergeCell ref="C18:F18"/>
    <mergeCell ref="C19:F19"/>
    <mergeCell ref="C13:F13"/>
    <mergeCell ref="C14:F14"/>
    <mergeCell ref="C15:F15"/>
    <mergeCell ref="C16:F16"/>
    <mergeCell ref="C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219B-0FC9-408A-A2E3-34F5CACED5E6}">
  <dimension ref="B2:F37"/>
  <sheetViews>
    <sheetView zoomScale="130" zoomScaleNormal="130" workbookViewId="0">
      <selection activeCell="D18" sqref="D18"/>
    </sheetView>
  </sheetViews>
  <sheetFormatPr defaultRowHeight="15" x14ac:dyDescent="0.25"/>
  <cols>
    <col min="3" max="3" width="44.42578125" customWidth="1"/>
    <col min="5" max="5" width="16.28515625" bestFit="1" customWidth="1"/>
  </cols>
  <sheetData>
    <row r="2" spans="2:6" x14ac:dyDescent="0.25">
      <c r="B2" t="s">
        <v>23</v>
      </c>
    </row>
    <row r="3" spans="2:6" x14ac:dyDescent="0.25">
      <c r="B3" t="s">
        <v>26</v>
      </c>
      <c r="C3" t="s">
        <v>28</v>
      </c>
      <c r="D3" t="s">
        <v>27</v>
      </c>
      <c r="E3" t="s">
        <v>29</v>
      </c>
    </row>
    <row r="4" spans="2:6" ht="30" x14ac:dyDescent="0.25">
      <c r="B4">
        <v>1</v>
      </c>
      <c r="C4" s="6" t="s">
        <v>24</v>
      </c>
      <c r="D4" s="8" t="s">
        <v>25</v>
      </c>
      <c r="E4" s="7">
        <v>44829</v>
      </c>
    </row>
    <row r="5" spans="2:6" x14ac:dyDescent="0.25">
      <c r="B5">
        <v>2</v>
      </c>
      <c r="C5" t="s">
        <v>31</v>
      </c>
      <c r="D5" s="8" t="s">
        <v>30</v>
      </c>
      <c r="E5" s="7">
        <v>44829</v>
      </c>
    </row>
    <row r="6" spans="2:6" x14ac:dyDescent="0.25">
      <c r="B6">
        <v>3</v>
      </c>
      <c r="C6" t="s">
        <v>70</v>
      </c>
      <c r="D6" s="8" t="s">
        <v>69</v>
      </c>
      <c r="E6" s="7">
        <v>44849</v>
      </c>
    </row>
    <row r="7" spans="2:6" x14ac:dyDescent="0.25">
      <c r="B7">
        <v>4</v>
      </c>
      <c r="C7" t="s">
        <v>72</v>
      </c>
      <c r="D7" s="8" t="s">
        <v>71</v>
      </c>
      <c r="E7" s="7">
        <v>44849</v>
      </c>
    </row>
    <row r="8" spans="2:6" x14ac:dyDescent="0.25">
      <c r="B8">
        <v>5</v>
      </c>
      <c r="C8" t="s">
        <v>76</v>
      </c>
      <c r="D8" s="8" t="s">
        <v>75</v>
      </c>
      <c r="E8" s="7">
        <v>44850</v>
      </c>
      <c r="F8" t="s">
        <v>77</v>
      </c>
    </row>
    <row r="9" spans="2:6" x14ac:dyDescent="0.25">
      <c r="B9">
        <v>6</v>
      </c>
      <c r="C9" t="s">
        <v>79</v>
      </c>
      <c r="D9" t="s">
        <v>78</v>
      </c>
      <c r="E9" s="7">
        <v>44851</v>
      </c>
    </row>
    <row r="10" spans="2:6" x14ac:dyDescent="0.25">
      <c r="B10">
        <v>7</v>
      </c>
      <c r="C10" t="s">
        <v>81</v>
      </c>
      <c r="D10" t="s">
        <v>80</v>
      </c>
      <c r="E10" s="7">
        <v>44851</v>
      </c>
    </row>
    <row r="11" spans="2:6" x14ac:dyDescent="0.25">
      <c r="B11">
        <v>8</v>
      </c>
      <c r="C11" t="s">
        <v>82</v>
      </c>
      <c r="D11" t="s">
        <v>83</v>
      </c>
      <c r="E11" s="7">
        <v>44857</v>
      </c>
    </row>
    <row r="12" spans="2:6" x14ac:dyDescent="0.25">
      <c r="B12">
        <v>9</v>
      </c>
      <c r="C12" t="s">
        <v>105</v>
      </c>
      <c r="D12" t="s">
        <v>104</v>
      </c>
      <c r="E12" s="7">
        <v>44858</v>
      </c>
    </row>
    <row r="13" spans="2:6" x14ac:dyDescent="0.25">
      <c r="B13">
        <v>10</v>
      </c>
      <c r="C13" t="s">
        <v>106</v>
      </c>
      <c r="D13" t="s">
        <v>107</v>
      </c>
      <c r="E13" s="7">
        <v>44858</v>
      </c>
    </row>
    <row r="14" spans="2:6" x14ac:dyDescent="0.25">
      <c r="B14">
        <v>11</v>
      </c>
      <c r="C14" t="s">
        <v>109</v>
      </c>
      <c r="D14" t="s">
        <v>108</v>
      </c>
      <c r="E14" s="7">
        <v>44875</v>
      </c>
    </row>
    <row r="15" spans="2:6" x14ac:dyDescent="0.25">
      <c r="B15">
        <v>12</v>
      </c>
      <c r="C15" t="s">
        <v>112</v>
      </c>
      <c r="D15" t="s">
        <v>111</v>
      </c>
      <c r="E15" s="7">
        <v>44875</v>
      </c>
    </row>
    <row r="16" spans="2:6" x14ac:dyDescent="0.25">
      <c r="B16">
        <v>13</v>
      </c>
      <c r="C16" t="s">
        <v>113</v>
      </c>
      <c r="D16" t="s">
        <v>110</v>
      </c>
      <c r="E16" s="7">
        <v>44875</v>
      </c>
    </row>
    <row r="17" spans="2:5" x14ac:dyDescent="0.25">
      <c r="B17">
        <v>14</v>
      </c>
      <c r="C17" t="s">
        <v>121</v>
      </c>
      <c r="D17" t="s">
        <v>122</v>
      </c>
      <c r="E17" s="7">
        <v>44879</v>
      </c>
    </row>
    <row r="18" spans="2:5" x14ac:dyDescent="0.25">
      <c r="B18">
        <v>15</v>
      </c>
      <c r="C18" t="s">
        <v>124</v>
      </c>
      <c r="D18" t="s">
        <v>123</v>
      </c>
      <c r="E18" s="7">
        <v>44878</v>
      </c>
    </row>
    <row r="19" spans="2:5" x14ac:dyDescent="0.25">
      <c r="B19">
        <v>16</v>
      </c>
      <c r="C19" t="s">
        <v>125</v>
      </c>
      <c r="D19" t="s">
        <v>126</v>
      </c>
      <c r="E19" s="7">
        <v>44828</v>
      </c>
    </row>
    <row r="20" spans="2:5" x14ac:dyDescent="0.25">
      <c r="B20">
        <v>17</v>
      </c>
      <c r="C20" t="s">
        <v>147</v>
      </c>
      <c r="D20" t="s">
        <v>146</v>
      </c>
      <c r="E20" s="7">
        <v>44914</v>
      </c>
    </row>
    <row r="21" spans="2:5" x14ac:dyDescent="0.25">
      <c r="B21">
        <v>18</v>
      </c>
    </row>
    <row r="22" spans="2:5" x14ac:dyDescent="0.25">
      <c r="B22">
        <v>19</v>
      </c>
    </row>
    <row r="23" spans="2:5" x14ac:dyDescent="0.25">
      <c r="B23">
        <v>20</v>
      </c>
    </row>
    <row r="24" spans="2:5" x14ac:dyDescent="0.25">
      <c r="B24">
        <v>21</v>
      </c>
    </row>
    <row r="25" spans="2:5" x14ac:dyDescent="0.25">
      <c r="B25">
        <v>22</v>
      </c>
    </row>
    <row r="26" spans="2:5" x14ac:dyDescent="0.25">
      <c r="B26">
        <v>23</v>
      </c>
    </row>
    <row r="27" spans="2:5" x14ac:dyDescent="0.25">
      <c r="B27">
        <v>24</v>
      </c>
    </row>
    <row r="28" spans="2:5" x14ac:dyDescent="0.25">
      <c r="B28">
        <v>25</v>
      </c>
    </row>
    <row r="29" spans="2:5" x14ac:dyDescent="0.25">
      <c r="B29">
        <v>26</v>
      </c>
    </row>
    <row r="30" spans="2:5" x14ac:dyDescent="0.25">
      <c r="B30">
        <v>27</v>
      </c>
    </row>
    <row r="31" spans="2:5" x14ac:dyDescent="0.25">
      <c r="B31">
        <v>28</v>
      </c>
    </row>
    <row r="32" spans="2:5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  <row r="35" spans="2:2" x14ac:dyDescent="0.25">
      <c r="B35">
        <v>32</v>
      </c>
    </row>
    <row r="36" spans="2:2" x14ac:dyDescent="0.25">
      <c r="B36">
        <v>33</v>
      </c>
    </row>
    <row r="37" spans="2:2" x14ac:dyDescent="0.25">
      <c r="B37">
        <v>34</v>
      </c>
    </row>
  </sheetData>
  <hyperlinks>
    <hyperlink ref="D4" r:id="rId1" xr:uid="{DF123D5A-8559-466A-B2C7-63C9AA8F70E2}"/>
    <hyperlink ref="D5" r:id="rId2" xr:uid="{33CE2530-2EAB-4DFC-BF55-DD2E961BEE6D}"/>
    <hyperlink ref="D6" r:id="rId3" xr:uid="{F555BE35-4B25-4783-B74D-BCE814ED77E7}"/>
    <hyperlink ref="D7" r:id="rId4" xr:uid="{20D35BC7-ED84-489E-A008-069DED5434B1}"/>
    <hyperlink ref="D8" r:id="rId5" xr:uid="{6748F357-BDCD-41ED-A567-AE3D93EAE39D}"/>
  </hyperlinks>
  <pageMargins left="0.7" right="0.7" top="0.75" bottom="0.75" header="0.3" footer="0.3"/>
  <pageSetup paperSize="9"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CC47-8DF6-4EAE-923D-653C13CC3D25}">
  <dimension ref="A2:E57"/>
  <sheetViews>
    <sheetView topLeftCell="A22" zoomScale="145" zoomScaleNormal="145" workbookViewId="0">
      <selection activeCell="C20" sqref="C20"/>
    </sheetView>
  </sheetViews>
  <sheetFormatPr defaultRowHeight="15" x14ac:dyDescent="0.25"/>
  <cols>
    <col min="2" max="2" width="24" customWidth="1"/>
    <col min="3" max="3" width="72.7109375" customWidth="1"/>
  </cols>
  <sheetData>
    <row r="2" spans="1:5" x14ac:dyDescent="0.25">
      <c r="A2" s="44">
        <v>1</v>
      </c>
      <c r="B2" s="44" t="s">
        <v>148</v>
      </c>
      <c r="C2" s="46" t="s">
        <v>151</v>
      </c>
      <c r="E2" t="s">
        <v>152</v>
      </c>
    </row>
    <row r="3" spans="1:5" x14ac:dyDescent="0.25">
      <c r="A3" s="44"/>
      <c r="B3" s="44" t="s">
        <v>149</v>
      </c>
      <c r="C3" s="44" t="s">
        <v>184</v>
      </c>
    </row>
    <row r="4" spans="1:5" ht="45" x14ac:dyDescent="0.25">
      <c r="A4" s="44"/>
      <c r="B4" s="44" t="s">
        <v>150</v>
      </c>
      <c r="C4" s="26" t="s">
        <v>153</v>
      </c>
    </row>
    <row r="5" spans="1:5" x14ac:dyDescent="0.25">
      <c r="A5" s="44"/>
      <c r="B5" s="44"/>
      <c r="C5" s="44"/>
    </row>
    <row r="6" spans="1:5" x14ac:dyDescent="0.25">
      <c r="A6" s="44">
        <v>2</v>
      </c>
      <c r="B6" s="44" t="s">
        <v>148</v>
      </c>
      <c r="C6" s="46" t="s">
        <v>154</v>
      </c>
    </row>
    <row r="7" spans="1:5" x14ac:dyDescent="0.25">
      <c r="A7" s="44"/>
      <c r="B7" s="44" t="s">
        <v>149</v>
      </c>
      <c r="C7" s="44" t="s">
        <v>157</v>
      </c>
    </row>
    <row r="8" spans="1:5" x14ac:dyDescent="0.25">
      <c r="A8" s="44"/>
      <c r="B8" s="44" t="s">
        <v>150</v>
      </c>
      <c r="C8" s="26" t="s">
        <v>155</v>
      </c>
    </row>
    <row r="9" spans="1:5" x14ac:dyDescent="0.25">
      <c r="A9" s="44"/>
      <c r="B9" s="44"/>
      <c r="C9" s="44"/>
    </row>
    <row r="10" spans="1:5" x14ac:dyDescent="0.25">
      <c r="A10" s="44">
        <v>3</v>
      </c>
      <c r="B10" s="44" t="s">
        <v>148</v>
      </c>
      <c r="C10" s="46" t="s">
        <v>156</v>
      </c>
    </row>
    <row r="11" spans="1:5" x14ac:dyDescent="0.25">
      <c r="A11" s="44"/>
      <c r="B11" s="44" t="s">
        <v>149</v>
      </c>
      <c r="C11" s="44" t="s">
        <v>183</v>
      </c>
    </row>
    <row r="12" spans="1:5" ht="45" x14ac:dyDescent="0.25">
      <c r="A12" s="44"/>
      <c r="B12" s="44" t="s">
        <v>150</v>
      </c>
      <c r="C12" s="26" t="s">
        <v>185</v>
      </c>
    </row>
    <row r="13" spans="1:5" x14ac:dyDescent="0.25">
      <c r="A13" s="44"/>
      <c r="B13" s="44"/>
      <c r="C13" s="44"/>
    </row>
    <row r="14" spans="1:5" x14ac:dyDescent="0.25">
      <c r="A14" s="44">
        <v>4</v>
      </c>
      <c r="B14" s="44" t="s">
        <v>148</v>
      </c>
      <c r="C14" s="46" t="s">
        <v>158</v>
      </c>
    </row>
    <row r="15" spans="1:5" x14ac:dyDescent="0.25">
      <c r="A15" s="44"/>
      <c r="B15" s="44" t="s">
        <v>149</v>
      </c>
      <c r="C15" s="44" t="s">
        <v>182</v>
      </c>
    </row>
    <row r="16" spans="1:5" x14ac:dyDescent="0.25">
      <c r="A16" s="44"/>
      <c r="B16" s="44" t="s">
        <v>150</v>
      </c>
      <c r="C16" s="26" t="s">
        <v>155</v>
      </c>
    </row>
    <row r="17" spans="1:3" x14ac:dyDescent="0.25">
      <c r="A17" s="44"/>
      <c r="B17" s="45" t="s">
        <v>159</v>
      </c>
      <c r="C17" s="44" t="s">
        <v>160</v>
      </c>
    </row>
    <row r="18" spans="1:3" x14ac:dyDescent="0.25">
      <c r="A18" s="44"/>
      <c r="B18" s="44"/>
      <c r="C18" s="44"/>
    </row>
    <row r="19" spans="1:3" x14ac:dyDescent="0.25">
      <c r="A19" s="44">
        <v>5</v>
      </c>
      <c r="B19" s="44" t="s">
        <v>148</v>
      </c>
      <c r="C19" s="44" t="s">
        <v>161</v>
      </c>
    </row>
    <row r="20" spans="1:3" x14ac:dyDescent="0.25">
      <c r="A20" s="44"/>
      <c r="B20" s="44" t="s">
        <v>149</v>
      </c>
      <c r="C20" s="44" t="s">
        <v>181</v>
      </c>
    </row>
    <row r="21" spans="1:3" ht="45" x14ac:dyDescent="0.25">
      <c r="A21" s="44"/>
      <c r="B21" s="44" t="s">
        <v>150</v>
      </c>
      <c r="C21" s="26" t="s">
        <v>163</v>
      </c>
    </row>
    <row r="22" spans="1:3" x14ac:dyDescent="0.25">
      <c r="A22" s="44"/>
      <c r="B22" s="44"/>
      <c r="C22" s="44"/>
    </row>
    <row r="23" spans="1:3" x14ac:dyDescent="0.25">
      <c r="A23" s="44">
        <v>6</v>
      </c>
      <c r="B23" s="44" t="s">
        <v>148</v>
      </c>
      <c r="C23" s="44" t="s">
        <v>162</v>
      </c>
    </row>
    <row r="24" spans="1:3" x14ac:dyDescent="0.25">
      <c r="A24" s="44"/>
      <c r="B24" s="44" t="s">
        <v>149</v>
      </c>
      <c r="C24" s="44" t="s">
        <v>180</v>
      </c>
    </row>
    <row r="25" spans="1:3" x14ac:dyDescent="0.25">
      <c r="A25" s="44"/>
      <c r="B25" s="44" t="s">
        <v>150</v>
      </c>
      <c r="C25" s="26" t="s">
        <v>155</v>
      </c>
    </row>
    <row r="26" spans="1:3" x14ac:dyDescent="0.25">
      <c r="A26" s="44"/>
      <c r="B26" s="44"/>
      <c r="C26" s="44"/>
    </row>
    <row r="27" spans="1:3" x14ac:dyDescent="0.25">
      <c r="A27" s="44">
        <v>7</v>
      </c>
      <c r="B27" s="44" t="s">
        <v>148</v>
      </c>
      <c r="C27" s="44" t="s">
        <v>164</v>
      </c>
    </row>
    <row r="28" spans="1:3" ht="30" x14ac:dyDescent="0.25">
      <c r="A28" s="44"/>
      <c r="B28" s="44" t="s">
        <v>149</v>
      </c>
      <c r="C28" s="26" t="s">
        <v>179</v>
      </c>
    </row>
    <row r="29" spans="1:3" ht="45" x14ac:dyDescent="0.25">
      <c r="A29" s="44"/>
      <c r="B29" s="44" t="s">
        <v>150</v>
      </c>
      <c r="C29" s="26" t="s">
        <v>165</v>
      </c>
    </row>
    <row r="30" spans="1:3" x14ac:dyDescent="0.25">
      <c r="A30" s="44"/>
      <c r="B30" s="44"/>
      <c r="C30" s="44"/>
    </row>
    <row r="31" spans="1:3" x14ac:dyDescent="0.25">
      <c r="A31" s="44">
        <v>8</v>
      </c>
      <c r="B31" s="44" t="s">
        <v>148</v>
      </c>
      <c r="C31" s="44" t="s">
        <v>166</v>
      </c>
    </row>
    <row r="32" spans="1:3" x14ac:dyDescent="0.25">
      <c r="A32" s="44"/>
      <c r="B32" s="44" t="s">
        <v>149</v>
      </c>
      <c r="C32" s="26" t="s">
        <v>178</v>
      </c>
    </row>
    <row r="33" spans="1:3" x14ac:dyDescent="0.25">
      <c r="A33" s="44"/>
      <c r="B33" s="44" t="s">
        <v>150</v>
      </c>
      <c r="C33" s="26" t="s">
        <v>155</v>
      </c>
    </row>
    <row r="34" spans="1:3" x14ac:dyDescent="0.25">
      <c r="A34" s="44"/>
      <c r="B34" s="44"/>
      <c r="C34" s="44"/>
    </row>
    <row r="35" spans="1:3" x14ac:dyDescent="0.25">
      <c r="A35" s="44">
        <v>9</v>
      </c>
      <c r="B35" s="44" t="s">
        <v>148</v>
      </c>
      <c r="C35" s="44" t="s">
        <v>167</v>
      </c>
    </row>
    <row r="36" spans="1:3" x14ac:dyDescent="0.25">
      <c r="A36" s="44"/>
      <c r="B36" s="44" t="s">
        <v>149</v>
      </c>
      <c r="C36" s="44" t="s">
        <v>177</v>
      </c>
    </row>
    <row r="37" spans="1:3" x14ac:dyDescent="0.25">
      <c r="A37" s="44"/>
      <c r="B37" s="44" t="s">
        <v>150</v>
      </c>
      <c r="C37" s="26" t="s">
        <v>155</v>
      </c>
    </row>
    <row r="38" spans="1:3" x14ac:dyDescent="0.25">
      <c r="A38" s="44"/>
      <c r="B38" s="44"/>
      <c r="C38" s="44"/>
    </row>
    <row r="39" spans="1:3" x14ac:dyDescent="0.25">
      <c r="A39" s="44">
        <v>10</v>
      </c>
      <c r="B39" s="44" t="s">
        <v>148</v>
      </c>
      <c r="C39" s="44" t="s">
        <v>168</v>
      </c>
    </row>
    <row r="40" spans="1:3" x14ac:dyDescent="0.25">
      <c r="A40" s="44"/>
      <c r="B40" s="44" t="s">
        <v>149</v>
      </c>
      <c r="C40" s="44" t="s">
        <v>169</v>
      </c>
    </row>
    <row r="41" spans="1:3" ht="45" x14ac:dyDescent="0.25">
      <c r="A41" s="44"/>
      <c r="B41" s="44" t="s">
        <v>150</v>
      </c>
      <c r="C41" s="26" t="s">
        <v>173</v>
      </c>
    </row>
    <row r="42" spans="1:3" x14ac:dyDescent="0.25">
      <c r="A42" s="44"/>
      <c r="B42" s="44"/>
      <c r="C42" s="44"/>
    </row>
    <row r="43" spans="1:3" x14ac:dyDescent="0.25">
      <c r="A43" s="44">
        <v>11</v>
      </c>
      <c r="B43" s="44" t="s">
        <v>148</v>
      </c>
      <c r="C43" s="44" t="s">
        <v>170</v>
      </c>
    </row>
    <row r="44" spans="1:3" x14ac:dyDescent="0.25">
      <c r="A44" s="44"/>
      <c r="B44" s="44" t="s">
        <v>149</v>
      </c>
      <c r="C44" s="44" t="s">
        <v>171</v>
      </c>
    </row>
    <row r="45" spans="1:3" ht="45" x14ac:dyDescent="0.25">
      <c r="A45" s="44"/>
      <c r="B45" s="44" t="s">
        <v>150</v>
      </c>
      <c r="C45" s="26" t="s">
        <v>172</v>
      </c>
    </row>
    <row r="46" spans="1:3" x14ac:dyDescent="0.25">
      <c r="A46" s="44"/>
      <c r="B46" s="44"/>
      <c r="C46" s="44"/>
    </row>
    <row r="47" spans="1:3" x14ac:dyDescent="0.25">
      <c r="A47" s="44">
        <v>12</v>
      </c>
      <c r="B47" s="44" t="s">
        <v>148</v>
      </c>
      <c r="C47" s="44" t="s">
        <v>174</v>
      </c>
    </row>
    <row r="48" spans="1:3" x14ac:dyDescent="0.25">
      <c r="A48" s="44"/>
      <c r="B48" s="44" t="s">
        <v>149</v>
      </c>
      <c r="C48" s="44" t="s">
        <v>176</v>
      </c>
    </row>
    <row r="49" spans="1:3" ht="45" x14ac:dyDescent="0.25">
      <c r="A49" s="44"/>
      <c r="B49" s="44" t="s">
        <v>150</v>
      </c>
      <c r="C49" s="26" t="s">
        <v>175</v>
      </c>
    </row>
    <row r="50" spans="1:3" x14ac:dyDescent="0.25">
      <c r="A50" s="44"/>
      <c r="B50" s="44"/>
      <c r="C50" s="44"/>
    </row>
    <row r="51" spans="1:3" x14ac:dyDescent="0.25">
      <c r="A51" s="47" t="s">
        <v>188</v>
      </c>
      <c r="B51" s="44" t="s">
        <v>148</v>
      </c>
      <c r="C51" s="44" t="s">
        <v>186</v>
      </c>
    </row>
    <row r="52" spans="1:3" x14ac:dyDescent="0.25">
      <c r="A52" s="44"/>
      <c r="B52" s="44" t="s">
        <v>149</v>
      </c>
      <c r="C52" s="44" t="s">
        <v>192</v>
      </c>
    </row>
    <row r="53" spans="1:3" ht="45" x14ac:dyDescent="0.25">
      <c r="A53" s="44"/>
      <c r="B53" s="44" t="s">
        <v>150</v>
      </c>
      <c r="C53" s="26" t="s">
        <v>187</v>
      </c>
    </row>
    <row r="54" spans="1:3" x14ac:dyDescent="0.25">
      <c r="A54" s="44"/>
      <c r="B54" s="44"/>
      <c r="C54" s="44"/>
    </row>
    <row r="55" spans="1:3" x14ac:dyDescent="0.25">
      <c r="A55" s="47" t="s">
        <v>189</v>
      </c>
      <c r="B55" s="44" t="s">
        <v>148</v>
      </c>
      <c r="C55" s="44" t="s">
        <v>190</v>
      </c>
    </row>
    <row r="56" spans="1:3" x14ac:dyDescent="0.25">
      <c r="A56" s="44"/>
      <c r="B56" s="44" t="s">
        <v>149</v>
      </c>
      <c r="C56" s="44" t="s">
        <v>193</v>
      </c>
    </row>
    <row r="57" spans="1:3" x14ac:dyDescent="0.25">
      <c r="A57" s="44"/>
      <c r="B57" s="44" t="s">
        <v>150</v>
      </c>
      <c r="C57" s="26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1F16-30F3-4A29-90DF-4BE1F7680BC8}">
  <dimension ref="B1:R16"/>
  <sheetViews>
    <sheetView workbookViewId="0">
      <selection activeCell="H19" sqref="H19"/>
    </sheetView>
  </sheetViews>
  <sheetFormatPr defaultRowHeight="15" x14ac:dyDescent="0.25"/>
  <cols>
    <col min="18" max="18" width="9.140625" customWidth="1"/>
  </cols>
  <sheetData>
    <row r="1" spans="2:18" ht="15.75" thickBot="1" x14ac:dyDescent="0.3"/>
    <row r="2" spans="2:18" x14ac:dyDescent="0.25">
      <c r="B2" s="91" t="s">
        <v>32</v>
      </c>
      <c r="C2" s="92"/>
      <c r="D2" s="92"/>
      <c r="E2" s="92"/>
      <c r="F2" s="93"/>
      <c r="H2" s="91" t="s">
        <v>35</v>
      </c>
      <c r="I2" s="92"/>
      <c r="J2" s="92"/>
      <c r="K2" s="92"/>
      <c r="L2" s="93"/>
      <c r="N2" s="106" t="s">
        <v>52</v>
      </c>
      <c r="O2" s="107"/>
      <c r="P2" s="107"/>
      <c r="Q2" s="107"/>
      <c r="R2" s="108"/>
    </row>
    <row r="3" spans="2:18" x14ac:dyDescent="0.25">
      <c r="B3" s="90">
        <v>1</v>
      </c>
      <c r="C3" s="88" t="s">
        <v>33</v>
      </c>
      <c r="D3" s="88"/>
      <c r="E3" s="88"/>
      <c r="F3" s="89"/>
      <c r="H3" s="10">
        <v>1</v>
      </c>
      <c r="I3" s="96" t="s">
        <v>36</v>
      </c>
      <c r="J3" s="96"/>
      <c r="K3" s="96"/>
      <c r="L3" s="97"/>
      <c r="N3" s="10">
        <v>1</v>
      </c>
      <c r="O3" s="109" t="s">
        <v>53</v>
      </c>
      <c r="P3" s="110"/>
      <c r="Q3" s="110"/>
      <c r="R3" s="111"/>
    </row>
    <row r="4" spans="2:18" x14ac:dyDescent="0.25">
      <c r="B4" s="90"/>
      <c r="C4" s="88"/>
      <c r="D4" s="88"/>
      <c r="E4" s="88"/>
      <c r="F4" s="89"/>
      <c r="H4" s="10">
        <v>2</v>
      </c>
      <c r="I4" s="96" t="s">
        <v>37</v>
      </c>
      <c r="J4" s="96"/>
      <c r="K4" s="96"/>
      <c r="L4" s="97"/>
      <c r="N4" s="10">
        <v>2</v>
      </c>
      <c r="O4" s="109" t="s">
        <v>54</v>
      </c>
      <c r="P4" s="110"/>
      <c r="Q4" s="110"/>
      <c r="R4" s="111"/>
    </row>
    <row r="5" spans="2:18" ht="15.75" thickBot="1" x14ac:dyDescent="0.3">
      <c r="B5" s="9">
        <v>2</v>
      </c>
      <c r="C5" s="94" t="s">
        <v>34</v>
      </c>
      <c r="D5" s="94"/>
      <c r="E5" s="94"/>
      <c r="F5" s="95"/>
      <c r="H5" s="102">
        <v>3</v>
      </c>
      <c r="I5" s="98" t="s">
        <v>38</v>
      </c>
      <c r="J5" s="98"/>
      <c r="K5" s="98"/>
      <c r="L5" s="99"/>
      <c r="N5" s="10">
        <v>3</v>
      </c>
      <c r="O5" s="109" t="s">
        <v>55</v>
      </c>
      <c r="P5" s="110"/>
      <c r="Q5" s="110"/>
      <c r="R5" s="111"/>
    </row>
    <row r="6" spans="2:18" ht="15.75" thickBot="1" x14ac:dyDescent="0.3">
      <c r="H6" s="103"/>
      <c r="I6" s="100"/>
      <c r="J6" s="100"/>
      <c r="K6" s="100"/>
      <c r="L6" s="101"/>
      <c r="N6" s="10">
        <v>4</v>
      </c>
      <c r="O6" s="109" t="s">
        <v>56</v>
      </c>
      <c r="P6" s="110"/>
      <c r="Q6" s="110"/>
      <c r="R6" s="111"/>
    </row>
    <row r="7" spans="2:18" ht="15.75" thickBot="1" x14ac:dyDescent="0.3">
      <c r="N7" s="10">
        <v>5</v>
      </c>
      <c r="O7" s="109" t="s">
        <v>57</v>
      </c>
      <c r="P7" s="110"/>
      <c r="Q7" s="110"/>
      <c r="R7" s="111"/>
    </row>
    <row r="8" spans="2:18" ht="15.75" thickBot="1" x14ac:dyDescent="0.3">
      <c r="B8" s="106" t="s">
        <v>42</v>
      </c>
      <c r="C8" s="107"/>
      <c r="D8" s="107"/>
      <c r="E8" s="107"/>
      <c r="F8" s="108"/>
      <c r="H8" s="106" t="s">
        <v>39</v>
      </c>
      <c r="I8" s="107"/>
      <c r="J8" s="107"/>
      <c r="K8" s="107"/>
      <c r="L8" s="108"/>
      <c r="N8" s="9">
        <v>6</v>
      </c>
      <c r="O8" s="112" t="s">
        <v>58</v>
      </c>
      <c r="P8" s="113"/>
      <c r="Q8" s="113"/>
      <c r="R8" s="114"/>
    </row>
    <row r="9" spans="2:18" x14ac:dyDescent="0.25">
      <c r="B9" s="10">
        <v>1</v>
      </c>
      <c r="C9" s="109" t="s">
        <v>43</v>
      </c>
      <c r="D9" s="110"/>
      <c r="E9" s="110"/>
      <c r="F9" s="111"/>
      <c r="H9" s="10">
        <v>1</v>
      </c>
      <c r="I9" s="109" t="s">
        <v>40</v>
      </c>
      <c r="J9" s="110"/>
      <c r="K9" s="110"/>
      <c r="L9" s="111"/>
    </row>
    <row r="10" spans="2:18" ht="15.75" thickBot="1" x14ac:dyDescent="0.3">
      <c r="B10" s="10">
        <v>2</v>
      </c>
      <c r="C10" s="109" t="s">
        <v>44</v>
      </c>
      <c r="D10" s="110"/>
      <c r="E10" s="110"/>
      <c r="F10" s="111"/>
      <c r="H10" s="9">
        <v>2</v>
      </c>
      <c r="I10" s="112" t="s">
        <v>41</v>
      </c>
      <c r="J10" s="113"/>
      <c r="K10" s="113"/>
      <c r="L10" s="114"/>
    </row>
    <row r="11" spans="2:18" ht="15.75" thickBot="1" x14ac:dyDescent="0.3">
      <c r="B11" s="13">
        <v>3</v>
      </c>
      <c r="C11" s="104" t="s">
        <v>51</v>
      </c>
      <c r="D11" s="104"/>
      <c r="E11" s="104"/>
      <c r="F11" s="105"/>
    </row>
    <row r="12" spans="2:18" ht="15.75" thickBot="1" x14ac:dyDescent="0.3"/>
    <row r="13" spans="2:18" x14ac:dyDescent="0.25">
      <c r="B13" s="91" t="s">
        <v>45</v>
      </c>
      <c r="C13" s="92"/>
      <c r="D13" s="92"/>
      <c r="E13" s="92"/>
      <c r="F13" s="93"/>
      <c r="H13" s="91" t="s">
        <v>47</v>
      </c>
      <c r="I13" s="92"/>
      <c r="J13" s="92"/>
      <c r="K13" s="92"/>
      <c r="L13" s="93"/>
    </row>
    <row r="14" spans="2:18" ht="15.75" thickBot="1" x14ac:dyDescent="0.3">
      <c r="B14" s="9">
        <v>1</v>
      </c>
      <c r="C14" s="11" t="s">
        <v>46</v>
      </c>
      <c r="D14" s="11"/>
      <c r="E14" s="11"/>
      <c r="F14" s="12"/>
      <c r="H14" s="10">
        <v>1</v>
      </c>
      <c r="I14" s="109" t="s">
        <v>48</v>
      </c>
      <c r="J14" s="110"/>
      <c r="K14" s="110"/>
      <c r="L14" s="111"/>
    </row>
    <row r="15" spans="2:18" x14ac:dyDescent="0.25">
      <c r="H15" s="10">
        <v>2</v>
      </c>
      <c r="I15" s="109" t="s">
        <v>49</v>
      </c>
      <c r="J15" s="110"/>
      <c r="K15" s="110"/>
      <c r="L15" s="111"/>
    </row>
    <row r="16" spans="2:18" ht="15.75" thickBot="1" x14ac:dyDescent="0.3">
      <c r="H16" s="9">
        <v>3</v>
      </c>
      <c r="I16" s="112" t="s">
        <v>50</v>
      </c>
      <c r="J16" s="113"/>
      <c r="K16" s="113"/>
      <c r="L16" s="114"/>
    </row>
  </sheetData>
  <mergeCells count="28">
    <mergeCell ref="O8:R8"/>
    <mergeCell ref="N2:R2"/>
    <mergeCell ref="O3:R3"/>
    <mergeCell ref="O4:R4"/>
    <mergeCell ref="O5:R5"/>
    <mergeCell ref="O6:R6"/>
    <mergeCell ref="O7:R7"/>
    <mergeCell ref="B13:F13"/>
    <mergeCell ref="H13:L13"/>
    <mergeCell ref="I14:L14"/>
    <mergeCell ref="I15:L15"/>
    <mergeCell ref="I16:L16"/>
    <mergeCell ref="C11:F11"/>
    <mergeCell ref="H8:L8"/>
    <mergeCell ref="I9:L9"/>
    <mergeCell ref="I10:L10"/>
    <mergeCell ref="B8:F8"/>
    <mergeCell ref="C9:F9"/>
    <mergeCell ref="C10:F10"/>
    <mergeCell ref="C3:F4"/>
    <mergeCell ref="B3:B4"/>
    <mergeCell ref="B2:F2"/>
    <mergeCell ref="C5:F5"/>
    <mergeCell ref="H2:L2"/>
    <mergeCell ref="I3:L3"/>
    <mergeCell ref="I4:L4"/>
    <mergeCell ref="I5:L6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D05E-6233-48A7-9EB5-0E2D40608129}">
  <dimension ref="B2:I26"/>
  <sheetViews>
    <sheetView workbookViewId="0">
      <selection activeCell="C6" sqref="C6"/>
    </sheetView>
  </sheetViews>
  <sheetFormatPr defaultRowHeight="15" x14ac:dyDescent="0.25"/>
  <cols>
    <col min="3" max="3" width="14" bestFit="1" customWidth="1"/>
    <col min="4" max="4" width="29.140625" customWidth="1"/>
  </cols>
  <sheetData>
    <row r="2" spans="2:9" x14ac:dyDescent="0.25">
      <c r="B2" s="115" t="s">
        <v>61</v>
      </c>
      <c r="C2" s="115"/>
      <c r="D2" s="115"/>
      <c r="E2" s="115"/>
      <c r="F2" s="115"/>
    </row>
    <row r="3" spans="2:9" x14ac:dyDescent="0.25">
      <c r="B3" t="s">
        <v>26</v>
      </c>
      <c r="C3" t="s">
        <v>62</v>
      </c>
      <c r="D3" t="s">
        <v>28</v>
      </c>
      <c r="E3" t="s">
        <v>63</v>
      </c>
      <c r="F3" t="s">
        <v>27</v>
      </c>
    </row>
    <row r="4" spans="2:9" x14ac:dyDescent="0.25">
      <c r="B4">
        <v>1</v>
      </c>
      <c r="C4" s="14" t="s">
        <v>64</v>
      </c>
      <c r="D4" s="6" t="s">
        <v>66</v>
      </c>
      <c r="E4">
        <v>1</v>
      </c>
      <c r="F4" s="8" t="s">
        <v>65</v>
      </c>
      <c r="H4" t="s">
        <v>74</v>
      </c>
      <c r="I4" t="s">
        <v>73</v>
      </c>
    </row>
    <row r="5" spans="2:9" x14ac:dyDescent="0.25">
      <c r="B5">
        <v>2</v>
      </c>
      <c r="C5" s="14" t="s">
        <v>67</v>
      </c>
      <c r="D5" t="s">
        <v>68</v>
      </c>
      <c r="E5">
        <v>1</v>
      </c>
      <c r="F5" s="8" t="s">
        <v>65</v>
      </c>
    </row>
    <row r="6" spans="2:9" x14ac:dyDescent="0.25">
      <c r="B6">
        <v>3</v>
      </c>
      <c r="C6" s="14" t="s">
        <v>84</v>
      </c>
      <c r="D6" t="s">
        <v>85</v>
      </c>
      <c r="F6" t="s">
        <v>65</v>
      </c>
    </row>
    <row r="7" spans="2:9" x14ac:dyDescent="0.25">
      <c r="B7">
        <v>4</v>
      </c>
      <c r="C7" s="14"/>
      <c r="F7" t="s">
        <v>65</v>
      </c>
    </row>
    <row r="8" spans="2:9" x14ac:dyDescent="0.25">
      <c r="B8">
        <v>5</v>
      </c>
      <c r="C8" s="14"/>
      <c r="F8" t="s">
        <v>65</v>
      </c>
    </row>
    <row r="9" spans="2:9" x14ac:dyDescent="0.25">
      <c r="B9">
        <v>6</v>
      </c>
      <c r="C9" s="14"/>
      <c r="F9" t="s">
        <v>65</v>
      </c>
    </row>
    <row r="10" spans="2:9" x14ac:dyDescent="0.25">
      <c r="B10">
        <v>7</v>
      </c>
      <c r="C10" s="14"/>
      <c r="F10" t="s">
        <v>65</v>
      </c>
    </row>
    <row r="11" spans="2:9" x14ac:dyDescent="0.25">
      <c r="B11">
        <v>8</v>
      </c>
      <c r="C11" s="14"/>
      <c r="F11" t="s">
        <v>65</v>
      </c>
    </row>
    <row r="12" spans="2:9" x14ac:dyDescent="0.25">
      <c r="B12">
        <v>9</v>
      </c>
      <c r="C12" s="14"/>
      <c r="F12" t="s">
        <v>65</v>
      </c>
    </row>
    <row r="13" spans="2:9" x14ac:dyDescent="0.25">
      <c r="B13">
        <v>10</v>
      </c>
      <c r="C13" s="14"/>
      <c r="F13" t="s">
        <v>65</v>
      </c>
    </row>
    <row r="14" spans="2:9" x14ac:dyDescent="0.25">
      <c r="B14">
        <v>11</v>
      </c>
      <c r="C14" s="14"/>
      <c r="F14" t="s">
        <v>65</v>
      </c>
    </row>
    <row r="15" spans="2:9" x14ac:dyDescent="0.25">
      <c r="B15">
        <v>12</v>
      </c>
      <c r="C15" s="14"/>
      <c r="F15" t="s">
        <v>65</v>
      </c>
    </row>
    <row r="16" spans="2:9" x14ac:dyDescent="0.25">
      <c r="B16">
        <v>13</v>
      </c>
      <c r="C16" s="14"/>
      <c r="F16" t="s">
        <v>65</v>
      </c>
    </row>
    <row r="17" spans="2:6" x14ac:dyDescent="0.25">
      <c r="B17">
        <v>14</v>
      </c>
      <c r="C17" s="14"/>
      <c r="F17" t="s">
        <v>65</v>
      </c>
    </row>
    <row r="18" spans="2:6" x14ac:dyDescent="0.25">
      <c r="B18">
        <v>15</v>
      </c>
      <c r="C18" s="14"/>
      <c r="F18" t="s">
        <v>65</v>
      </c>
    </row>
    <row r="19" spans="2:6" x14ac:dyDescent="0.25">
      <c r="B19">
        <v>16</v>
      </c>
      <c r="C19" s="14"/>
      <c r="F19" t="s">
        <v>65</v>
      </c>
    </row>
    <row r="20" spans="2:6" x14ac:dyDescent="0.25">
      <c r="B20">
        <v>17</v>
      </c>
      <c r="C20" s="14"/>
      <c r="F20" t="s">
        <v>65</v>
      </c>
    </row>
    <row r="21" spans="2:6" x14ac:dyDescent="0.25">
      <c r="B21">
        <v>18</v>
      </c>
      <c r="C21" s="14"/>
      <c r="F21" t="s">
        <v>65</v>
      </c>
    </row>
    <row r="22" spans="2:6" x14ac:dyDescent="0.25">
      <c r="B22">
        <v>19</v>
      </c>
      <c r="C22" s="14"/>
      <c r="F22" t="s">
        <v>65</v>
      </c>
    </row>
    <row r="23" spans="2:6" x14ac:dyDescent="0.25">
      <c r="B23">
        <v>20</v>
      </c>
      <c r="C23" s="14"/>
      <c r="F23" t="s">
        <v>65</v>
      </c>
    </row>
    <row r="24" spans="2:6" x14ac:dyDescent="0.25">
      <c r="B24">
        <v>21</v>
      </c>
      <c r="C24" s="14"/>
      <c r="F24" t="s">
        <v>65</v>
      </c>
    </row>
    <row r="25" spans="2:6" x14ac:dyDescent="0.25">
      <c r="B25">
        <v>22</v>
      </c>
      <c r="C25" s="14"/>
      <c r="F25" t="s">
        <v>65</v>
      </c>
    </row>
    <row r="26" spans="2:6" x14ac:dyDescent="0.25">
      <c r="B26">
        <v>23</v>
      </c>
      <c r="C26" s="14"/>
      <c r="F26" t="s">
        <v>65</v>
      </c>
    </row>
  </sheetData>
  <mergeCells count="1">
    <mergeCell ref="B2:F2"/>
  </mergeCells>
  <hyperlinks>
    <hyperlink ref="F4" r:id="rId1" xr:uid="{D98CA41D-72DF-401C-A484-1AF33BBDFABE}"/>
    <hyperlink ref="F5" r:id="rId2" xr:uid="{95FE4F08-9AC2-4826-AF78-85C46F15B2BC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6609-B959-48DF-8897-F1C9078A146D}">
  <dimension ref="A1:H11"/>
  <sheetViews>
    <sheetView workbookViewId="0">
      <selection activeCell="M8" sqref="M8"/>
    </sheetView>
  </sheetViews>
  <sheetFormatPr defaultRowHeight="15" x14ac:dyDescent="0.25"/>
  <cols>
    <col min="1" max="1" width="11.85546875" bestFit="1" customWidth="1"/>
    <col min="2" max="2" width="8.28515625" bestFit="1" customWidth="1"/>
    <col min="3" max="3" width="9.42578125" bestFit="1" customWidth="1"/>
    <col min="5" max="5" width="10.5703125" bestFit="1" customWidth="1"/>
  </cols>
  <sheetData>
    <row r="1" spans="1:8" x14ac:dyDescent="0.25">
      <c r="A1" s="115" t="s">
        <v>86</v>
      </c>
      <c r="B1" s="115"/>
      <c r="C1" s="115"/>
      <c r="D1" s="115"/>
      <c r="E1" s="115"/>
      <c r="F1" s="115"/>
    </row>
    <row r="2" spans="1:8" x14ac:dyDescent="0.25">
      <c r="A2" s="115" t="s">
        <v>88</v>
      </c>
      <c r="B2" s="115"/>
      <c r="C2" s="115"/>
      <c r="D2" s="115"/>
      <c r="F2" s="115" t="s">
        <v>95</v>
      </c>
      <c r="G2" s="115"/>
      <c r="H2" t="s">
        <v>97</v>
      </c>
    </row>
    <row r="3" spans="1:8" x14ac:dyDescent="0.25">
      <c r="A3" t="s">
        <v>93</v>
      </c>
      <c r="B3" t="s">
        <v>92</v>
      </c>
      <c r="C3" t="s">
        <v>91</v>
      </c>
      <c r="D3" t="s">
        <v>90</v>
      </c>
      <c r="E3" t="s">
        <v>101</v>
      </c>
      <c r="F3" t="s">
        <v>96</v>
      </c>
      <c r="H3" t="s">
        <v>98</v>
      </c>
    </row>
    <row r="4" spans="1:8" x14ac:dyDescent="0.25">
      <c r="A4">
        <v>10</v>
      </c>
      <c r="B4">
        <v>7</v>
      </c>
      <c r="C4">
        <v>250</v>
      </c>
      <c r="D4">
        <v>8</v>
      </c>
      <c r="E4">
        <v>10</v>
      </c>
      <c r="F4">
        <f>25 * 10^(-3)</f>
        <v>2.5000000000000001E-2</v>
      </c>
      <c r="H4">
        <v>10000</v>
      </c>
    </row>
    <row r="9" spans="1:8" x14ac:dyDescent="0.25">
      <c r="A9" t="s">
        <v>87</v>
      </c>
      <c r="B9">
        <f>4*C4*(2*PI()*D4*10^6)^2 * ((B4+A4)*10^(-12))^2</f>
        <v>7.3019281201019504E-4</v>
      </c>
      <c r="C9" t="s">
        <v>94</v>
      </c>
      <c r="D9" t="s">
        <v>100</v>
      </c>
      <c r="E9">
        <f>SQRT(E4*10^(-6)/C4)</f>
        <v>1.9999999999999998E-4</v>
      </c>
    </row>
    <row r="10" spans="1:8" x14ac:dyDescent="0.25">
      <c r="A10" t="s">
        <v>99</v>
      </c>
      <c r="C10" t="s">
        <v>94</v>
      </c>
      <c r="D10" t="s">
        <v>102</v>
      </c>
      <c r="E10">
        <f>3.3/C4</f>
        <v>1.32E-2</v>
      </c>
    </row>
    <row r="11" spans="1:8" x14ac:dyDescent="0.25">
      <c r="A11" t="s">
        <v>89</v>
      </c>
      <c r="B11" t="e">
        <f>$F$4/B10</f>
        <v>#DIV/0!</v>
      </c>
      <c r="D11" t="s">
        <v>103</v>
      </c>
      <c r="E11">
        <f>3.3/(C4+H4)</f>
        <v>3.219512195121951E-4</v>
      </c>
      <c r="F11" t="str">
        <f>IF(E9&lt;E11,"нет","да")</f>
        <v>нет</v>
      </c>
    </row>
  </sheetData>
  <mergeCells count="3">
    <mergeCell ref="A1:F1"/>
    <mergeCell ref="A2:D2"/>
    <mergeCell ref="F2:G2"/>
  </mergeCells>
  <conditionalFormatting sqref="B11">
    <cfRule type="colorScale" priority="1">
      <colorScale>
        <cfvo type="num" val="5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240-1AAB-466B-BC64-B9699C7A01B4}">
  <dimension ref="A1:H10"/>
  <sheetViews>
    <sheetView tabSelected="1" workbookViewId="0">
      <selection activeCell="I5" sqref="I5"/>
    </sheetView>
  </sheetViews>
  <sheetFormatPr defaultRowHeight="15" x14ac:dyDescent="0.25"/>
  <cols>
    <col min="4" max="4" width="5.5703125" bestFit="1" customWidth="1"/>
    <col min="5" max="5" width="2.28515625" customWidth="1"/>
    <col min="6" max="6" width="8.28515625" bestFit="1" customWidth="1"/>
    <col min="7" max="7" width="1.7109375" bestFit="1" customWidth="1"/>
    <col min="8" max="8" width="8.5703125" bestFit="1" customWidth="1"/>
  </cols>
  <sheetData>
    <row r="1" spans="1:8" x14ac:dyDescent="0.25">
      <c r="A1" t="s">
        <v>114</v>
      </c>
    </row>
    <row r="3" spans="1:8" x14ac:dyDescent="0.25">
      <c r="A3" t="s">
        <v>115</v>
      </c>
      <c r="B3" s="24">
        <f>(D3/D4)*(F3-H3)/(F4*H4)</f>
        <v>1.7959770114942528</v>
      </c>
      <c r="D3" s="15">
        <v>5</v>
      </c>
      <c r="E3" s="118" t="s">
        <v>116</v>
      </c>
      <c r="F3" s="18">
        <f>D4</f>
        <v>16</v>
      </c>
      <c r="G3" s="19" t="s">
        <v>117</v>
      </c>
      <c r="H3" s="18">
        <f>D3</f>
        <v>5</v>
      </c>
    </row>
    <row r="4" spans="1:8" x14ac:dyDescent="0.25">
      <c r="D4" s="16">
        <v>16</v>
      </c>
      <c r="E4" s="118"/>
      <c r="F4" s="17">
        <v>3.3000000000000002E-6</v>
      </c>
      <c r="G4" t="s">
        <v>116</v>
      </c>
      <c r="H4" s="20">
        <v>580000</v>
      </c>
    </row>
    <row r="6" spans="1:8" x14ac:dyDescent="0.25">
      <c r="A6" t="s">
        <v>118</v>
      </c>
      <c r="B6" s="24">
        <f>D6+F6/F7</f>
        <v>1.3979885057471264</v>
      </c>
      <c r="D6" s="119">
        <v>0.5</v>
      </c>
      <c r="E6" s="120" t="s">
        <v>119</v>
      </c>
      <c r="F6" s="22">
        <f>B3</f>
        <v>1.7959770114942528</v>
      </c>
    </row>
    <row r="7" spans="1:8" x14ac:dyDescent="0.25">
      <c r="D7" s="119"/>
      <c r="E7" s="118"/>
      <c r="F7" s="23">
        <v>2</v>
      </c>
    </row>
    <row r="9" spans="1:8" x14ac:dyDescent="0.25">
      <c r="A9" t="s">
        <v>120</v>
      </c>
      <c r="B9" s="25">
        <f>SQRT(D9+F9/F10*G9)</f>
        <v>0.72027387301728429</v>
      </c>
      <c r="D9" s="117">
        <f>D6^2</f>
        <v>0.25</v>
      </c>
      <c r="E9" s="120" t="s">
        <v>119</v>
      </c>
      <c r="F9" s="21">
        <v>1</v>
      </c>
      <c r="G9" s="116">
        <f>B3^2</f>
        <v>3.2255334258158275</v>
      </c>
      <c r="H9" s="117"/>
    </row>
    <row r="10" spans="1:8" x14ac:dyDescent="0.25">
      <c r="D10" s="117"/>
      <c r="E10" s="118"/>
      <c r="F10" s="21">
        <v>12</v>
      </c>
      <c r="G10" s="117"/>
      <c r="H10" s="117"/>
    </row>
  </sheetData>
  <mergeCells count="6">
    <mergeCell ref="G9:H10"/>
    <mergeCell ref="E3:E4"/>
    <mergeCell ref="D6:D7"/>
    <mergeCell ref="E6:E7"/>
    <mergeCell ref="D9:D10"/>
    <mergeCell ref="E9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FFD1-45DE-4917-845F-BCB0FDD7339E}">
  <dimension ref="A2:AN10"/>
  <sheetViews>
    <sheetView zoomScaleNormal="100" workbookViewId="0">
      <selection activeCell="F5" sqref="F5"/>
    </sheetView>
  </sheetViews>
  <sheetFormatPr defaultRowHeight="15" x14ac:dyDescent="0.25"/>
  <cols>
    <col min="2" max="2" width="22.5703125" bestFit="1" customWidth="1"/>
    <col min="3" max="3" width="13.42578125" bestFit="1" customWidth="1"/>
    <col min="4" max="4" width="12.7109375" bestFit="1" customWidth="1"/>
    <col min="6" max="6" width="12" bestFit="1" customWidth="1"/>
    <col min="9" max="9" width="17" bestFit="1" customWidth="1"/>
    <col min="10" max="10" width="12.7109375" bestFit="1" customWidth="1"/>
    <col min="12" max="12" width="11" bestFit="1" customWidth="1"/>
    <col min="13" max="13" width="17.42578125" bestFit="1" customWidth="1"/>
    <col min="14" max="14" width="11" bestFit="1" customWidth="1"/>
    <col min="28" max="28" width="11" bestFit="1" customWidth="1"/>
    <col min="30" max="31" width="11" bestFit="1" customWidth="1"/>
  </cols>
  <sheetData>
    <row r="2" spans="1:40" ht="15.75" thickBot="1" x14ac:dyDescent="0.3">
      <c r="B2" t="s">
        <v>198</v>
      </c>
      <c r="C2">
        <v>8</v>
      </c>
      <c r="D2" t="s">
        <v>199</v>
      </c>
      <c r="E2" t="s">
        <v>213</v>
      </c>
      <c r="F2">
        <f>C2*10^(-9)*2</f>
        <v>1.6000000000000001E-8</v>
      </c>
    </row>
    <row r="3" spans="1:40" ht="15.75" thickBot="1" x14ac:dyDescent="0.3">
      <c r="E3" s="121" t="s">
        <v>212</v>
      </c>
      <c r="F3" s="123"/>
      <c r="G3" s="123"/>
      <c r="H3" s="122"/>
      <c r="I3" s="121" t="s">
        <v>211</v>
      </c>
      <c r="J3" s="122"/>
      <c r="L3" s="115" t="s">
        <v>226</v>
      </c>
      <c r="M3" s="115"/>
      <c r="N3" s="115"/>
      <c r="O3" s="115"/>
      <c r="P3" s="115"/>
      <c r="Q3" s="115"/>
      <c r="R3" s="115"/>
      <c r="S3" s="115"/>
    </row>
    <row r="4" spans="1:40" x14ac:dyDescent="0.25">
      <c r="A4" s="49"/>
      <c r="B4" s="50" t="s">
        <v>95</v>
      </c>
      <c r="C4" s="49" t="s">
        <v>210</v>
      </c>
      <c r="D4" s="50" t="s">
        <v>200</v>
      </c>
      <c r="E4" s="49" t="s">
        <v>201</v>
      </c>
      <c r="F4" s="55" t="s">
        <v>203</v>
      </c>
      <c r="G4" s="55" t="s">
        <v>206</v>
      </c>
      <c r="H4" s="50" t="s">
        <v>207</v>
      </c>
      <c r="I4" s="49" t="s">
        <v>210</v>
      </c>
      <c r="J4" s="50" t="s">
        <v>200</v>
      </c>
      <c r="L4" t="s">
        <v>213</v>
      </c>
      <c r="M4" t="s">
        <v>215</v>
      </c>
      <c r="N4" t="s">
        <v>214</v>
      </c>
      <c r="O4" t="s">
        <v>216</v>
      </c>
      <c r="P4" t="s">
        <v>217</v>
      </c>
      <c r="Q4" t="s">
        <v>218</v>
      </c>
      <c r="R4" t="s">
        <v>224</v>
      </c>
      <c r="S4" t="s">
        <v>225</v>
      </c>
      <c r="V4" t="s">
        <v>220</v>
      </c>
      <c r="W4" t="s">
        <v>219</v>
      </c>
      <c r="X4" t="s">
        <v>221</v>
      </c>
      <c r="Y4" t="s">
        <v>222</v>
      </c>
      <c r="Z4" t="s">
        <v>223</v>
      </c>
    </row>
    <row r="5" spans="1:40" x14ac:dyDescent="0.25">
      <c r="A5" s="10" t="s">
        <v>202</v>
      </c>
      <c r="B5" s="65">
        <v>0</v>
      </c>
      <c r="C5" s="61">
        <v>250</v>
      </c>
      <c r="D5" s="62">
        <v>0.68500000000000005</v>
      </c>
      <c r="E5" s="56">
        <v>0</v>
      </c>
      <c r="F5" s="48">
        <v>4</v>
      </c>
      <c r="G5" s="48">
        <v>4</v>
      </c>
      <c r="H5" s="57">
        <v>4</v>
      </c>
      <c r="I5" s="51">
        <f>1/(N5*1000)</f>
        <v>250</v>
      </c>
      <c r="J5" s="52">
        <f>(F5+G5+P5+2)*L5/N5</f>
        <v>0.6875</v>
      </c>
      <c r="L5">
        <f>(2 * (1 + E5))/($C$2*10^6)</f>
        <v>2.4999999999999999E-7</v>
      </c>
      <c r="M5">
        <f>1 / (C5 * 10^3)</f>
        <v>3.9999999999999998E-6</v>
      </c>
      <c r="N5">
        <f>(SUM(F5:H5) + 3 + P5 ) * L5</f>
        <v>3.9999999999999998E-6</v>
      </c>
      <c r="O5">
        <v>2</v>
      </c>
      <c r="P5">
        <v>1</v>
      </c>
      <c r="Q5">
        <f>ABS(D5-J5)^2 + ABS((N5-M5) * 10^6)^2</f>
        <v>6.2499999999997335E-6</v>
      </c>
      <c r="R5">
        <f>(F5+G5+2)</f>
        <v>10</v>
      </c>
      <c r="S5">
        <f>H5+1</f>
        <v>5</v>
      </c>
      <c r="V5">
        <v>63</v>
      </c>
      <c r="W5">
        <v>7</v>
      </c>
      <c r="X5">
        <v>7</v>
      </c>
      <c r="Y5">
        <v>7</v>
      </c>
      <c r="Z5">
        <v>2</v>
      </c>
      <c r="AB5" t="e">
        <f t="shared" ref="AB5:AB9" ca="1" si="0">_xludf.MIN($Q5)</f>
        <v>#NAME?</v>
      </c>
      <c r="AC5">
        <f t="shared" ref="AC5:AC9" si="1">COUNT($E5:$H5)</f>
        <v>4</v>
      </c>
      <c r="AD5" t="e" cm="1" vm="1">
        <f t="array" aca="1" ref="AD5" ca="1">$E5:$H5=INT($E5:$H5)</f>
        <v>#VALUE!</v>
      </c>
      <c r="AE5" t="b">
        <f t="shared" ref="AE5:AE9" si="2">$E5&lt;=$V5</f>
        <v>1</v>
      </c>
      <c r="AF5" t="b">
        <f t="shared" ref="AF5:AF9" si="3">$F5&lt;=$W5</f>
        <v>1</v>
      </c>
      <c r="AG5" t="b">
        <f t="shared" ref="AG5:AG9" si="4">$G5&lt;=$X5</f>
        <v>1</v>
      </c>
      <c r="AH5" t="b">
        <f t="shared" ref="AH5:AH9" si="5">$H5&lt;=$Y5</f>
        <v>1</v>
      </c>
      <c r="AI5" t="b">
        <f t="shared" ref="AI5:AI9" si="6">$H5&gt;=$Z5</f>
        <v>1</v>
      </c>
      <c r="AJ5" t="b">
        <f t="shared" ref="AJ5:AJ9" si="7">$R5&gt;=$O5</f>
        <v>1</v>
      </c>
      <c r="AK5" t="b">
        <f t="shared" ref="AK5:AK9" si="8">$R5&gt;=$S5</f>
        <v>1</v>
      </c>
      <c r="AL5" t="b">
        <f t="shared" ref="AL5:AL9" si="9">$S5&gt;=$B$5+1</f>
        <v>1</v>
      </c>
      <c r="AM5">
        <f>{32767;32767;0.000001;0.01;FALSE;FALSE;TRUE;1;1;1;0.0001;TRUE}</f>
        <v>32767</v>
      </c>
      <c r="AN5">
        <f>{0;0;1;100;0;FALSE;TRUE;0.075;0;0;FALSE;30}</f>
        <v>0</v>
      </c>
    </row>
    <row r="6" spans="1:40" x14ac:dyDescent="0.25">
      <c r="A6" s="10" t="s">
        <v>204</v>
      </c>
      <c r="B6" s="65">
        <v>0</v>
      </c>
      <c r="C6" s="61">
        <v>250</v>
      </c>
      <c r="D6" s="62">
        <v>0.8</v>
      </c>
      <c r="E6" s="56">
        <v>0</v>
      </c>
      <c r="F6" s="48">
        <v>6</v>
      </c>
      <c r="G6" s="48">
        <v>4</v>
      </c>
      <c r="H6" s="57">
        <v>2</v>
      </c>
      <c r="I6" s="51">
        <f t="shared" ref="I6:I10" si="10">1/(N6*1000)</f>
        <v>250</v>
      </c>
      <c r="J6" s="52">
        <f t="shared" ref="J6:J10" si="11">(F6+G6+P6+2)*L6/N6</f>
        <v>0.8125</v>
      </c>
      <c r="L6">
        <f t="shared" ref="L6:L10" si="12">(2 * (1 + E6))/($C$2*10^6)</f>
        <v>2.4999999999999999E-7</v>
      </c>
      <c r="M6">
        <f t="shared" ref="M6:M10" si="13">1 / (C6 * 10^3)</f>
        <v>3.9999999999999998E-6</v>
      </c>
      <c r="N6">
        <f t="shared" ref="N6:N10" si="14">(SUM(F6:H6) + 3 + P6 ) * L6</f>
        <v>3.9999999999999998E-6</v>
      </c>
      <c r="O6">
        <v>2</v>
      </c>
      <c r="P6">
        <v>1</v>
      </c>
      <c r="Q6">
        <f t="shared" ref="Q6:Q10" si="15">ABS(D6-J6)^2 + ABS((N6-M6) * 10^6)^2</f>
        <v>1.5624999999999889E-4</v>
      </c>
      <c r="R6">
        <f t="shared" ref="R6:R10" si="16">(F6+G6+2)</f>
        <v>12</v>
      </c>
      <c r="S6">
        <f t="shared" ref="S6:S10" si="17">H6+1</f>
        <v>3</v>
      </c>
      <c r="V6">
        <v>63</v>
      </c>
      <c r="W6">
        <v>7</v>
      </c>
      <c r="X6">
        <v>7</v>
      </c>
      <c r="Y6">
        <v>7</v>
      </c>
      <c r="Z6">
        <v>2</v>
      </c>
      <c r="AB6" t="e">
        <f t="shared" ca="1" si="0"/>
        <v>#NAME?</v>
      </c>
      <c r="AC6">
        <f t="shared" si="1"/>
        <v>4</v>
      </c>
      <c r="AD6" t="e" cm="1" vm="1">
        <f t="array" aca="1" ref="AD6" ca="1">$E6:$H6=INT($E6:$H6)</f>
        <v>#VALUE!</v>
      </c>
      <c r="AE6" t="b">
        <f t="shared" si="2"/>
        <v>1</v>
      </c>
      <c r="AF6" t="b">
        <f t="shared" si="3"/>
        <v>1</v>
      </c>
      <c r="AG6" t="b">
        <f t="shared" si="4"/>
        <v>1</v>
      </c>
      <c r="AH6" t="b">
        <f t="shared" si="5"/>
        <v>1</v>
      </c>
      <c r="AI6" t="b">
        <f t="shared" si="6"/>
        <v>1</v>
      </c>
      <c r="AJ6" t="b">
        <f t="shared" si="7"/>
        <v>1</v>
      </c>
      <c r="AK6" t="b">
        <f t="shared" si="8"/>
        <v>1</v>
      </c>
      <c r="AL6" t="b">
        <f t="shared" si="9"/>
        <v>1</v>
      </c>
      <c r="AM6">
        <f>{32767;32767;0.000001;0.01;FALSE;FALSE;TRUE;1;1;1;0.0001;TRUE}</f>
        <v>32767</v>
      </c>
      <c r="AN6">
        <f>{0;0;1;100;0;FALSE;TRUE;0.075;0;0;FALSE;30}</f>
        <v>0</v>
      </c>
    </row>
    <row r="7" spans="1:40" x14ac:dyDescent="0.25">
      <c r="A7" s="10" t="s">
        <v>205</v>
      </c>
      <c r="B7" s="65">
        <v>1</v>
      </c>
      <c r="C7" s="61">
        <v>500</v>
      </c>
      <c r="D7" s="62">
        <v>0.68500000000000005</v>
      </c>
      <c r="E7" s="56">
        <v>0</v>
      </c>
      <c r="F7" s="48">
        <v>1</v>
      </c>
      <c r="G7" s="48">
        <v>1</v>
      </c>
      <c r="H7" s="57">
        <v>2</v>
      </c>
      <c r="I7" s="51">
        <f t="shared" si="10"/>
        <v>500</v>
      </c>
      <c r="J7" s="52">
        <f t="shared" si="11"/>
        <v>0.625</v>
      </c>
      <c r="L7">
        <f t="shared" si="12"/>
        <v>2.4999999999999999E-7</v>
      </c>
      <c r="M7">
        <f t="shared" si="13"/>
        <v>1.9999999999999999E-6</v>
      </c>
      <c r="N7">
        <f t="shared" si="14"/>
        <v>1.9999999999999999E-6</v>
      </c>
      <c r="O7">
        <v>2</v>
      </c>
      <c r="P7">
        <v>1</v>
      </c>
      <c r="Q7">
        <f t="shared" si="15"/>
        <v>3.6000000000000064E-3</v>
      </c>
      <c r="R7">
        <f t="shared" si="16"/>
        <v>4</v>
      </c>
      <c r="S7">
        <f t="shared" si="17"/>
        <v>3</v>
      </c>
      <c r="V7">
        <v>63</v>
      </c>
      <c r="W7">
        <v>7</v>
      </c>
      <c r="X7">
        <v>7</v>
      </c>
      <c r="Y7">
        <v>7</v>
      </c>
      <c r="Z7">
        <v>2</v>
      </c>
      <c r="AB7" t="e">
        <f ca="1">_xludf.MIN($Q7)</f>
        <v>#NAME?</v>
      </c>
      <c r="AC7">
        <f>COUNT($E7:$H7)</f>
        <v>4</v>
      </c>
      <c r="AD7" t="e" cm="1" vm="1">
        <f t="array" aca="1" ref="AD7" ca="1">$E7:$H7=INT($E7:$H7)</f>
        <v>#VALUE!</v>
      </c>
      <c r="AE7" t="b">
        <f>$E7&lt;=$V7</f>
        <v>1</v>
      </c>
      <c r="AF7" t="b">
        <f>$F7&lt;=$W7</f>
        <v>1</v>
      </c>
      <c r="AG7" t="b">
        <f>$G7&lt;=$X7</f>
        <v>1</v>
      </c>
      <c r="AH7" t="b">
        <f>$H7&lt;=$Y7</f>
        <v>1</v>
      </c>
      <c r="AI7" t="b">
        <f>$H7&gt;=$Z7</f>
        <v>1</v>
      </c>
      <c r="AJ7" t="b">
        <f>$R7&gt;=$O7</f>
        <v>1</v>
      </c>
      <c r="AK7" t="b">
        <f>$R7&gt;=$S7</f>
        <v>1</v>
      </c>
      <c r="AL7" t="b">
        <f>$S7&gt;=$B$5+1</f>
        <v>1</v>
      </c>
      <c r="AM7">
        <f>{32767;32767;0.000001;0.01;FALSE;FALSE;TRUE;1;1;1;0.0001;TRUE}</f>
        <v>32767</v>
      </c>
      <c r="AN7">
        <f>{0;0;1;100;0;FALSE;TRUE;0.075;0;0;FALSE;30}</f>
        <v>0</v>
      </c>
    </row>
    <row r="8" spans="1:40" x14ac:dyDescent="0.25">
      <c r="A8" s="10" t="s">
        <v>208</v>
      </c>
      <c r="B8" s="65">
        <v>0</v>
      </c>
      <c r="C8" s="61">
        <v>500</v>
      </c>
      <c r="D8" s="62">
        <v>0.8</v>
      </c>
      <c r="E8" s="56">
        <v>0</v>
      </c>
      <c r="F8" s="48">
        <v>0</v>
      </c>
      <c r="G8" s="48">
        <v>2</v>
      </c>
      <c r="H8" s="57">
        <v>2</v>
      </c>
      <c r="I8" s="51">
        <f t="shared" si="10"/>
        <v>500</v>
      </c>
      <c r="J8" s="52">
        <f t="shared" si="11"/>
        <v>0.625</v>
      </c>
      <c r="L8">
        <f t="shared" si="12"/>
        <v>2.4999999999999999E-7</v>
      </c>
      <c r="M8">
        <f t="shared" si="13"/>
        <v>1.9999999999999999E-6</v>
      </c>
      <c r="N8">
        <f t="shared" si="14"/>
        <v>1.9999999999999999E-6</v>
      </c>
      <c r="O8">
        <v>2</v>
      </c>
      <c r="P8">
        <v>1</v>
      </c>
      <c r="Q8">
        <f t="shared" si="15"/>
        <v>3.0625000000000017E-2</v>
      </c>
      <c r="R8">
        <f t="shared" si="16"/>
        <v>4</v>
      </c>
      <c r="S8">
        <f t="shared" si="17"/>
        <v>3</v>
      </c>
      <c r="V8">
        <v>63</v>
      </c>
      <c r="W8">
        <v>7</v>
      </c>
      <c r="X8">
        <v>7</v>
      </c>
      <c r="Y8">
        <v>7</v>
      </c>
      <c r="Z8">
        <v>2</v>
      </c>
      <c r="AB8" t="e">
        <f t="shared" ca="1" si="0"/>
        <v>#NAME?</v>
      </c>
      <c r="AC8">
        <f t="shared" si="1"/>
        <v>4</v>
      </c>
      <c r="AD8" t="e" cm="1" vm="1">
        <f t="array" aca="1" ref="AD8" ca="1">$E8:$H8=INT($E8:$H8)</f>
        <v>#VALUE!</v>
      </c>
      <c r="AE8" t="b">
        <f t="shared" si="2"/>
        <v>1</v>
      </c>
      <c r="AF8" t="b">
        <f t="shared" si="3"/>
        <v>1</v>
      </c>
      <c r="AG8" t="b">
        <f t="shared" si="4"/>
        <v>1</v>
      </c>
      <c r="AH8" t="b">
        <f t="shared" si="5"/>
        <v>1</v>
      </c>
      <c r="AI8" t="b">
        <f t="shared" si="6"/>
        <v>1</v>
      </c>
      <c r="AJ8" t="b">
        <f t="shared" si="7"/>
        <v>1</v>
      </c>
      <c r="AK8" t="b">
        <f t="shared" si="8"/>
        <v>1</v>
      </c>
      <c r="AL8" t="b">
        <f t="shared" si="9"/>
        <v>1</v>
      </c>
      <c r="AM8">
        <f>{32767;32767;0.000001;0.01;FALSE;FALSE;TRUE;1;1;1;0.0001;TRUE}</f>
        <v>32767</v>
      </c>
      <c r="AN8">
        <f>{0;0;1;100;0;FALSE;TRUE;0.075;0;0;FALSE;30}</f>
        <v>0</v>
      </c>
    </row>
    <row r="9" spans="1:40" ht="15.75" thickBot="1" x14ac:dyDescent="0.3">
      <c r="A9" s="9" t="s">
        <v>209</v>
      </c>
      <c r="B9" s="66">
        <v>0</v>
      </c>
      <c r="C9" s="61">
        <v>125</v>
      </c>
      <c r="D9" s="62">
        <v>0.68500000000000005</v>
      </c>
      <c r="E9" s="56">
        <v>1</v>
      </c>
      <c r="F9" s="48">
        <v>1</v>
      </c>
      <c r="G9" s="48">
        <v>6</v>
      </c>
      <c r="H9" s="57">
        <v>5</v>
      </c>
      <c r="I9" s="51">
        <f t="shared" si="10"/>
        <v>125</v>
      </c>
      <c r="J9" s="52">
        <f t="shared" si="11"/>
        <v>0.625</v>
      </c>
      <c r="L9">
        <f t="shared" si="12"/>
        <v>4.9999999999999998E-7</v>
      </c>
      <c r="M9">
        <f t="shared" si="13"/>
        <v>7.9999999999999996E-6</v>
      </c>
      <c r="N9">
        <f t="shared" si="14"/>
        <v>7.9999999999999996E-6</v>
      </c>
      <c r="O9">
        <v>2</v>
      </c>
      <c r="P9">
        <v>1</v>
      </c>
      <c r="Q9">
        <f t="shared" si="15"/>
        <v>3.6000000000000064E-3</v>
      </c>
      <c r="R9">
        <f t="shared" si="16"/>
        <v>9</v>
      </c>
      <c r="S9">
        <f t="shared" si="17"/>
        <v>6</v>
      </c>
      <c r="V9">
        <v>63</v>
      </c>
      <c r="W9">
        <v>7</v>
      </c>
      <c r="X9">
        <v>7</v>
      </c>
      <c r="Y9">
        <v>7</v>
      </c>
      <c r="Z9">
        <v>2</v>
      </c>
      <c r="AB9" t="e">
        <f t="shared" ca="1" si="0"/>
        <v>#NAME?</v>
      </c>
      <c r="AC9">
        <f t="shared" si="1"/>
        <v>4</v>
      </c>
      <c r="AD9" t="e" cm="1" vm="1">
        <f t="array" aca="1" ref="AD9" ca="1">$E9:$H9=INT($E9:$H9)</f>
        <v>#VALUE!</v>
      </c>
      <c r="AE9" t="b">
        <f t="shared" si="2"/>
        <v>1</v>
      </c>
      <c r="AF9" t="b">
        <f t="shared" si="3"/>
        <v>1</v>
      </c>
      <c r="AG9" t="b">
        <f t="shared" si="4"/>
        <v>1</v>
      </c>
      <c r="AH9" t="b">
        <f t="shared" si="5"/>
        <v>1</v>
      </c>
      <c r="AI9" t="b">
        <f t="shared" si="6"/>
        <v>1</v>
      </c>
      <c r="AJ9" t="b">
        <f t="shared" si="7"/>
        <v>1</v>
      </c>
      <c r="AK9" t="b">
        <f t="shared" si="8"/>
        <v>1</v>
      </c>
      <c r="AL9" t="b">
        <f t="shared" si="9"/>
        <v>1</v>
      </c>
      <c r="AM9">
        <f>{32767;32767;0.000001;0.01;FALSE;FALSE;TRUE;1;1;1;0.0001;TRUE}</f>
        <v>32767</v>
      </c>
      <c r="AN9">
        <f>{0;0;1;100;0;FALSE;TRUE;0.075;0;0;FALSE;30}</f>
        <v>0</v>
      </c>
    </row>
    <row r="10" spans="1:40" ht="15.75" thickBot="1" x14ac:dyDescent="0.3">
      <c r="C10" s="63">
        <v>125</v>
      </c>
      <c r="D10" s="64">
        <v>0.8</v>
      </c>
      <c r="E10" s="58">
        <v>1</v>
      </c>
      <c r="F10" s="59">
        <v>4</v>
      </c>
      <c r="G10" s="59">
        <v>6</v>
      </c>
      <c r="H10" s="60">
        <v>2</v>
      </c>
      <c r="I10" s="53">
        <f t="shared" si="10"/>
        <v>125</v>
      </c>
      <c r="J10" s="54">
        <f t="shared" si="11"/>
        <v>0.8125</v>
      </c>
      <c r="L10">
        <f t="shared" si="12"/>
        <v>4.9999999999999998E-7</v>
      </c>
      <c r="M10">
        <f t="shared" si="13"/>
        <v>7.9999999999999996E-6</v>
      </c>
      <c r="N10">
        <f t="shared" si="14"/>
        <v>7.9999999999999996E-6</v>
      </c>
      <c r="O10">
        <v>2</v>
      </c>
      <c r="P10">
        <v>1</v>
      </c>
      <c r="Q10">
        <f t="shared" si="15"/>
        <v>1.5624999999999889E-4</v>
      </c>
      <c r="R10">
        <f t="shared" si="16"/>
        <v>12</v>
      </c>
      <c r="S10">
        <f t="shared" si="17"/>
        <v>3</v>
      </c>
      <c r="V10">
        <v>63</v>
      </c>
      <c r="W10">
        <v>7</v>
      </c>
      <c r="X10">
        <v>7</v>
      </c>
      <c r="Y10">
        <v>7</v>
      </c>
      <c r="Z10">
        <v>2</v>
      </c>
      <c r="AB10" t="e">
        <f ca="1">_xludf.MIN($Q10)</f>
        <v>#NAME?</v>
      </c>
      <c r="AC10">
        <f>COUNT($E10:$H10)</f>
        <v>4</v>
      </c>
      <c r="AD10" t="e" cm="1" vm="1">
        <f t="array" aca="1" ref="AD10" ca="1">$E10:$H10=INT($E10:$H10)</f>
        <v>#VALUE!</v>
      </c>
      <c r="AE10" t="b">
        <f>$E10&lt;=$V10</f>
        <v>1</v>
      </c>
      <c r="AF10" t="b">
        <f>$F10&lt;=$W10</f>
        <v>1</v>
      </c>
      <c r="AG10" t="b">
        <f>$G10&lt;=$X10</f>
        <v>1</v>
      </c>
      <c r="AH10" t="b">
        <f>$H10&lt;=$Y10</f>
        <v>1</v>
      </c>
      <c r="AI10" t="b">
        <f>$H10&gt;=$Z10</f>
        <v>1</v>
      </c>
      <c r="AJ10" t="b">
        <f>$R10&gt;=$O10</f>
        <v>1</v>
      </c>
      <c r="AK10" t="b">
        <f>$R10&gt;=$S10</f>
        <v>1</v>
      </c>
      <c r="AL10" t="b">
        <f>$S10&gt;=$B$5+1</f>
        <v>1</v>
      </c>
      <c r="AM10">
        <f>{32767;32767;0.000001;0.01;FALSE;FALSE;TRUE;1;1;1;0.0001;TRUE}</f>
        <v>32767</v>
      </c>
      <c r="AN10">
        <f>{0;0;1;100;0;FALSE;TRUE;0.075;0;0;FALSE;30}</f>
        <v>0</v>
      </c>
    </row>
  </sheetData>
  <mergeCells count="3">
    <mergeCell ref="I3:J3"/>
    <mergeCell ref="E3:H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EBA0-EA17-41E9-BB81-BBE048F594DA}">
  <dimension ref="B1:D18"/>
  <sheetViews>
    <sheetView topLeftCell="A4" workbookViewId="0">
      <selection activeCell="C3" sqref="C3"/>
    </sheetView>
  </sheetViews>
  <sheetFormatPr defaultRowHeight="15" x14ac:dyDescent="0.25"/>
  <cols>
    <col min="2" max="2" width="43.28515625" customWidth="1"/>
    <col min="3" max="3" width="35.140625" customWidth="1"/>
    <col min="4" max="4" width="34.85546875" customWidth="1"/>
  </cols>
  <sheetData>
    <row r="1" spans="2:4" ht="15.75" thickBot="1" x14ac:dyDescent="0.3"/>
    <row r="2" spans="2:4" ht="15.75" thickBot="1" x14ac:dyDescent="0.3">
      <c r="B2" s="41" t="s">
        <v>127</v>
      </c>
      <c r="C2" s="42" t="s">
        <v>144</v>
      </c>
      <c r="D2" s="43" t="s">
        <v>145</v>
      </c>
    </row>
    <row r="3" spans="2:4" x14ac:dyDescent="0.25">
      <c r="B3" s="36" t="s">
        <v>128</v>
      </c>
      <c r="C3" s="30"/>
      <c r="D3" s="37"/>
    </row>
    <row r="4" spans="2:4" ht="15.75" thickBot="1" x14ac:dyDescent="0.3">
      <c r="B4" s="32" t="s">
        <v>129</v>
      </c>
      <c r="C4" s="28"/>
      <c r="D4" s="29"/>
    </row>
    <row r="5" spans="2:4" ht="15.75" thickBot="1" x14ac:dyDescent="0.3">
      <c r="B5" s="38" t="s">
        <v>130</v>
      </c>
      <c r="C5" s="39"/>
      <c r="D5" s="40"/>
    </row>
    <row r="6" spans="2:4" x14ac:dyDescent="0.25">
      <c r="B6" s="36" t="s">
        <v>131</v>
      </c>
      <c r="C6" s="30"/>
      <c r="D6" s="37"/>
    </row>
    <row r="7" spans="2:4" ht="30" x14ac:dyDescent="0.25">
      <c r="B7" s="31" t="s">
        <v>132</v>
      </c>
      <c r="C7" s="26"/>
      <c r="D7" s="27"/>
    </row>
    <row r="8" spans="2:4" ht="15.75" thickBot="1" x14ac:dyDescent="0.3">
      <c r="B8" s="32" t="s">
        <v>133</v>
      </c>
      <c r="C8" s="28"/>
      <c r="D8" s="29"/>
    </row>
    <row r="9" spans="2:4" ht="15.75" thickBot="1" x14ac:dyDescent="0.3">
      <c r="B9" s="38" t="s">
        <v>134</v>
      </c>
      <c r="C9" s="39"/>
      <c r="D9" s="40"/>
    </row>
    <row r="10" spans="2:4" x14ac:dyDescent="0.25">
      <c r="B10" s="36" t="s">
        <v>135</v>
      </c>
      <c r="C10" s="30"/>
      <c r="D10" s="37"/>
    </row>
    <row r="11" spans="2:4" ht="30" x14ac:dyDescent="0.25">
      <c r="B11" s="31" t="s">
        <v>138</v>
      </c>
      <c r="C11" s="26"/>
      <c r="D11" s="27"/>
    </row>
    <row r="12" spans="2:4" x14ac:dyDescent="0.25">
      <c r="B12" s="31" t="s">
        <v>136</v>
      </c>
      <c r="C12" s="26"/>
      <c r="D12" s="27"/>
    </row>
    <row r="13" spans="2:4" ht="15.75" thickBot="1" x14ac:dyDescent="0.3">
      <c r="B13" s="32" t="s">
        <v>137</v>
      </c>
      <c r="C13" s="28"/>
      <c r="D13" s="29"/>
    </row>
    <row r="14" spans="2:4" ht="15.75" thickBot="1" x14ac:dyDescent="0.3">
      <c r="B14" s="38" t="s">
        <v>139</v>
      </c>
      <c r="C14" s="39"/>
      <c r="D14" s="40"/>
    </row>
    <row r="15" spans="2:4" x14ac:dyDescent="0.25">
      <c r="B15" s="36" t="s">
        <v>140</v>
      </c>
      <c r="C15" s="30"/>
      <c r="D15" s="37"/>
    </row>
    <row r="16" spans="2:4" ht="30.75" thickBot="1" x14ac:dyDescent="0.3">
      <c r="B16" s="32" t="s">
        <v>141</v>
      </c>
      <c r="C16" s="28"/>
      <c r="D16" s="29"/>
    </row>
    <row r="17" spans="2:4" x14ac:dyDescent="0.25">
      <c r="B17" s="33" t="s">
        <v>142</v>
      </c>
      <c r="C17" s="34"/>
      <c r="D17" s="35"/>
    </row>
    <row r="18" spans="2:4" ht="15.75" thickBot="1" x14ac:dyDescent="0.3">
      <c r="B18" s="32" t="s">
        <v>143</v>
      </c>
      <c r="C18" s="28"/>
      <c r="D18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E34B-E49C-42D3-AC7B-88258515A7D0}">
  <dimension ref="B1:C9"/>
  <sheetViews>
    <sheetView workbookViewId="0">
      <selection activeCell="L11" sqref="L11"/>
    </sheetView>
  </sheetViews>
  <sheetFormatPr defaultRowHeight="15" x14ac:dyDescent="0.25"/>
  <sheetData>
    <row r="1" spans="2:3" x14ac:dyDescent="0.25">
      <c r="C1" t="s">
        <v>227</v>
      </c>
    </row>
    <row r="2" spans="2:3" x14ac:dyDescent="0.25">
      <c r="B2">
        <v>1</v>
      </c>
      <c r="C2" t="s">
        <v>196</v>
      </c>
    </row>
    <row r="3" spans="2:3" x14ac:dyDescent="0.25">
      <c r="B3">
        <v>2</v>
      </c>
      <c r="C3" t="s">
        <v>194</v>
      </c>
    </row>
    <row r="4" spans="2:3" x14ac:dyDescent="0.25">
      <c r="B4">
        <v>3</v>
      </c>
      <c r="C4" t="s">
        <v>195</v>
      </c>
    </row>
    <row r="5" spans="2:3" x14ac:dyDescent="0.25">
      <c r="B5">
        <v>4</v>
      </c>
      <c r="C5" t="s">
        <v>197</v>
      </c>
    </row>
    <row r="7" spans="2:3" x14ac:dyDescent="0.25">
      <c r="C7" t="s">
        <v>228</v>
      </c>
    </row>
    <row r="8" spans="2:3" x14ac:dyDescent="0.25">
      <c r="B8">
        <v>1</v>
      </c>
      <c r="C8" t="s">
        <v>229</v>
      </c>
    </row>
    <row r="9" spans="2:3" x14ac:dyDescent="0.25">
      <c r="B9">
        <v>2</v>
      </c>
      <c r="C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Функциональные требования</vt:lpstr>
      <vt:lpstr>Использованные источники</vt:lpstr>
      <vt:lpstr>VCP Protocol</vt:lpstr>
      <vt:lpstr>Функциональные блоки</vt:lpstr>
      <vt:lpstr>Компоненты</vt:lpstr>
      <vt:lpstr>Кварц</vt:lpstr>
      <vt:lpstr>DC-DC</vt:lpstr>
      <vt:lpstr>CAN Timing</vt:lpstr>
      <vt:lpstr>Функциональные объекты</vt:lpstr>
      <vt:lpstr>Недочеты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Маркин</dc:creator>
  <cp:lastModifiedBy>Максим Маркин</cp:lastModifiedBy>
  <dcterms:created xsi:type="dcterms:W3CDTF">2015-06-05T18:19:34Z</dcterms:created>
  <dcterms:modified xsi:type="dcterms:W3CDTF">2023-01-18T10:12:28Z</dcterms:modified>
</cp:coreProperties>
</file>