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765" windowWidth="21840" windowHeight="13740"/>
  </bookViews>
  <sheets>
    <sheet name="Лист1" sheetId="1" r:id="rId1"/>
  </sheets>
  <definedNames>
    <definedName name="_xlnm._FilterDatabase" localSheetId="0" hidden="1">Лист1!$A$2:$P$60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/>
  <c r="P12"/>
  <c r="O61" l="1"/>
  <c r="N61"/>
  <c r="M61"/>
  <c r="L61"/>
  <c r="K61"/>
  <c r="J61"/>
  <c r="I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0"/>
  <c r="P19"/>
  <c r="P18"/>
  <c r="P17"/>
  <c r="P16"/>
  <c r="P15"/>
  <c r="P14"/>
  <c r="P13"/>
  <c r="P11"/>
  <c r="P10"/>
  <c r="P9"/>
  <c r="P8"/>
  <c r="P7"/>
  <c r="P6"/>
  <c r="P5"/>
  <c r="P4"/>
  <c r="P3"/>
</calcChain>
</file>

<file path=xl/sharedStrings.xml><?xml version="1.0" encoding="utf-8"?>
<sst xmlns="http://schemas.openxmlformats.org/spreadsheetml/2006/main" count="371" uniqueCount="82">
  <si>
    <t>Информация</t>
  </si>
  <si>
    <t>Чеки</t>
  </si>
  <si>
    <t>Приход</t>
  </si>
  <si>
    <t>Дата/время закрытия смены</t>
  </si>
  <si>
    <t>Название магазина</t>
  </si>
  <si>
    <t>РНМ</t>
  </si>
  <si>
    <t>Название кассы</t>
  </si>
  <si>
    <t>Номер ФН</t>
  </si>
  <si>
    <t>Номер смены</t>
  </si>
  <si>
    <t>Продолжительность смены, ЧЧ:ММ</t>
  </si>
  <si>
    <t>Кассир</t>
  </si>
  <si>
    <t>Общее кол-во в отчетном периоде</t>
  </si>
  <si>
    <t>Кол-во чеков коррекции в отчетном периоде</t>
  </si>
  <si>
    <t>Кол-во в отчетном периоде</t>
  </si>
  <si>
    <t>Итоговая сумма расчета</t>
  </si>
  <si>
    <t>Кол-во чеков</t>
  </si>
  <si>
    <t>Сумма расчета наличными</t>
  </si>
  <si>
    <t>Сумма расчета электронными (эквайринг)</t>
  </si>
  <si>
    <t>Посмотреть чек</t>
  </si>
  <si>
    <t>ООО "БУШЕ"</t>
  </si>
  <si>
    <t>0005975417062149</t>
  </si>
  <si>
    <t>Офис</t>
  </si>
  <si>
    <t>9961440300292992</t>
  </si>
  <si>
    <t>00:30</t>
  </si>
  <si>
    <t>Администратор</t>
  </si>
  <si>
    <t>0005082270012648</t>
  </si>
  <si>
    <t>9287440300849657</t>
  </si>
  <si>
    <t>07:19</t>
  </si>
  <si>
    <t>00:28</t>
  </si>
  <si>
    <t>02:09</t>
  </si>
  <si>
    <t>03:29</t>
  </si>
  <si>
    <t>00:52</t>
  </si>
  <si>
    <t>00:44</t>
  </si>
  <si>
    <t>09:05</t>
  </si>
  <si>
    <t>01:17</t>
  </si>
  <si>
    <t>07:46</t>
  </si>
  <si>
    <t>01:43</t>
  </si>
  <si>
    <t>01:03</t>
  </si>
  <si>
    <t>03:14</t>
  </si>
  <si>
    <t>00:34</t>
  </si>
  <si>
    <t>08:31</t>
  </si>
  <si>
    <t>00:01</t>
  </si>
  <si>
    <t>01:00</t>
  </si>
  <si>
    <t>08:24</t>
  </si>
  <si>
    <t>00:02</t>
  </si>
  <si>
    <t>00:54</t>
  </si>
  <si>
    <t>01:26</t>
  </si>
  <si>
    <t>07:39</t>
  </si>
  <si>
    <t>00:04</t>
  </si>
  <si>
    <t>01:12</t>
  </si>
  <si>
    <t>01:47</t>
  </si>
  <si>
    <t>01:24</t>
  </si>
  <si>
    <t>06:42</t>
  </si>
  <si>
    <t>01:07</t>
  </si>
  <si>
    <t>00:33</t>
  </si>
  <si>
    <t>08:13</t>
  </si>
  <si>
    <t>04:04</t>
  </si>
  <si>
    <t>08:10</t>
  </si>
  <si>
    <t>01:16</t>
  </si>
  <si>
    <t>07:22</t>
  </si>
  <si>
    <t>01:14</t>
  </si>
  <si>
    <t>05:50</t>
  </si>
  <si>
    <t>02:15</t>
  </si>
  <si>
    <t>08:28</t>
  </si>
  <si>
    <t>01:05</t>
  </si>
  <si>
    <t>09:17</t>
  </si>
  <si>
    <t>01:19</t>
  </si>
  <si>
    <t>09:08</t>
  </si>
  <si>
    <t>01:09</t>
  </si>
  <si>
    <t>08:46</t>
  </si>
  <si>
    <t>01:42</t>
  </si>
  <si>
    <t>07:50</t>
  </si>
  <si>
    <t>01:13</t>
  </si>
  <si>
    <t>03:19</t>
  </si>
  <si>
    <t>01:04</t>
  </si>
  <si>
    <t>00:00</t>
  </si>
  <si>
    <t>00:56</t>
  </si>
  <si>
    <t>08:36</t>
  </si>
  <si>
    <t>Итого:</t>
  </si>
  <si>
    <t>https://lk.platformaofd.ru/web/noauth/cheque/pdf/z-report-66529074925-1642057474000-1477085047000.pdf</t>
  </si>
  <si>
    <t>https://lk.platformaofd.ru/web/noauth/cheque/pdf/z-report-66525175403-1642051511000-1142460815000.pdf</t>
  </si>
  <si>
    <t>https://lk.platformaofd.ru/web/noauth/cheque/pdf/z-report-66487978471-1641976390000-808009598000.pdf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</si>
</sst>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rgb="FFC6E0B4"/>
        <bgColor indexed="22"/>
      </patternFill>
    </fill>
    <fill>
      <patternFill patternType="solid">
        <fgColor rgb="FFB4C6E7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22" fontId="0" fillId="0" borderId="0" xfId="0" applyNumberFormat="1"/>
    <xf numFmtId="1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2" borderId="2" xfId="0" applyFont="1" applyFill="1" applyBorder="1"/>
    <xf numFmtId="22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0" fontId="1" fillId="6" borderId="1" xfId="0" applyFont="1" applyFill="1" applyBorder="1" applyAlignment="1">
      <alignment horizontal="center" vertical="top"/>
    </xf>
    <xf numFmtId="0" fontId="2" fillId="6" borderId="2" xfId="0" applyFont="1" applyFill="1" applyBorder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5" borderId="0" xfId="1" applyFill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k.platformaofd.ru/web/noauth/cheque/pdf/z-report-66525175403-1642051511000-1142460815000.pdf" TargetMode="External"/><Relationship Id="rId2" Type="http://schemas.openxmlformats.org/officeDocument/2006/relationships/hyperlink" Target="https://lk.platformaofd.ru/web/noauth/cheque/pdf/z-report-66529074925-1642057474000-1477085047000.pdf" TargetMode="External"/><Relationship Id="rId1" Type="http://schemas.openxmlformats.org/officeDocument/2006/relationships/hyperlink" Target="https://lk.platformaofd.ru/web/noauth/cheque/pdf/z-report-66487978471-1641976390000-80800959800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tabSelected="1" topLeftCell="N1" workbookViewId="0">
      <selection activeCell="Q21" sqref="Q21"/>
    </sheetView>
  </sheetViews>
  <sheetFormatPr defaultColWidth="8.85546875" defaultRowHeight="15"/>
  <cols>
    <col min="1" max="1" width="29" customWidth="1"/>
    <col min="2" max="2" width="19.85546875" customWidth="1"/>
    <col min="3" max="3" width="19.7109375" customWidth="1"/>
    <col min="4" max="4" width="16.42578125" customWidth="1"/>
    <col min="5" max="5" width="19.7109375" customWidth="1"/>
    <col min="6" max="6" width="14.140625" customWidth="1"/>
    <col min="7" max="7" width="34.85546875" customWidth="1"/>
    <col min="8" max="8" width="15.42578125" customWidth="1"/>
    <col min="9" max="9" width="35.140625" customWidth="1"/>
    <col min="10" max="10" width="45.42578125" customWidth="1"/>
    <col min="11" max="11" width="28.140625" customWidth="1"/>
    <col min="12" max="12" width="24.42578125" customWidth="1"/>
    <col min="13" max="13" width="14.140625" customWidth="1"/>
    <col min="14" max="14" width="27" customWidth="1"/>
    <col min="15" max="15" width="42.140625" customWidth="1"/>
    <col min="16" max="16" width="16.28515625" style="7" customWidth="1"/>
  </cols>
  <sheetData>
    <row r="1" spans="1:16">
      <c r="A1" s="11" t="s">
        <v>0</v>
      </c>
      <c r="B1" s="11"/>
      <c r="C1" s="11"/>
      <c r="D1" s="11"/>
      <c r="E1" s="11"/>
      <c r="F1" s="11"/>
      <c r="G1" s="11"/>
      <c r="H1" s="11"/>
      <c r="I1" s="12" t="s">
        <v>1</v>
      </c>
      <c r="J1" s="12"/>
      <c r="K1" s="12"/>
      <c r="L1" s="11" t="s">
        <v>2</v>
      </c>
      <c r="M1" s="11"/>
      <c r="N1" s="11"/>
      <c r="O1" s="11"/>
      <c r="P1" s="9"/>
    </row>
    <row r="2" spans="1:16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4" t="s">
        <v>11</v>
      </c>
      <c r="J2" s="4" t="s">
        <v>12</v>
      </c>
      <c r="K2" s="4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9" t="s">
        <v>18</v>
      </c>
    </row>
    <row r="3" spans="1:16">
      <c r="A3" s="1">
        <v>44564.680555555555</v>
      </c>
      <c r="B3" t="s">
        <v>19</v>
      </c>
      <c r="C3" t="s">
        <v>20</v>
      </c>
      <c r="D3" t="s">
        <v>21</v>
      </c>
      <c r="E3" t="s">
        <v>22</v>
      </c>
      <c r="F3" s="2">
        <v>32</v>
      </c>
      <c r="G3" t="s">
        <v>23</v>
      </c>
      <c r="H3" t="s">
        <v>24</v>
      </c>
      <c r="I3">
        <v>19</v>
      </c>
      <c r="J3">
        <v>0</v>
      </c>
      <c r="K3">
        <v>19</v>
      </c>
      <c r="L3">
        <v>7900</v>
      </c>
      <c r="M3">
        <v>19</v>
      </c>
      <c r="N3">
        <v>0</v>
      </c>
      <c r="O3">
        <v>7900</v>
      </c>
      <c r="P3" s="7" t="str">
        <f>HYPERLINK("https://lk.platformaofd.ru/web/noauth/cheque/id?id=66107148786&amp;date=1641190834000&amp;fp=3518482268000","Посмотреть чек")</f>
        <v>Посмотреть чек</v>
      </c>
    </row>
    <row r="4" spans="1:16">
      <c r="A4" s="1">
        <v>44564.740277777775</v>
      </c>
      <c r="B4" t="s">
        <v>19</v>
      </c>
      <c r="C4" t="s">
        <v>25</v>
      </c>
      <c r="D4" t="s">
        <v>21</v>
      </c>
      <c r="E4" t="s">
        <v>26</v>
      </c>
      <c r="F4" s="2">
        <v>90</v>
      </c>
      <c r="G4" t="s">
        <v>27</v>
      </c>
      <c r="H4" t="s">
        <v>24</v>
      </c>
      <c r="I4">
        <v>4</v>
      </c>
      <c r="J4">
        <v>0</v>
      </c>
      <c r="K4">
        <v>4</v>
      </c>
      <c r="L4">
        <v>103000</v>
      </c>
      <c r="M4">
        <v>4</v>
      </c>
      <c r="N4">
        <v>0</v>
      </c>
      <c r="O4">
        <v>103000</v>
      </c>
      <c r="P4" s="7" t="str">
        <f>HYPERLINK("https://lk.platformaofd.ru/web/noauth/cheque/id?id=66110437816&amp;date=1641196114000&amp;fp=3886313592000","Посмотреть чек")</f>
        <v>Посмотреть чек</v>
      </c>
    </row>
    <row r="5" spans="1:16">
      <c r="A5" s="1">
        <v>44565.679861111108</v>
      </c>
      <c r="B5" t="s">
        <v>19</v>
      </c>
      <c r="C5" t="s">
        <v>20</v>
      </c>
      <c r="D5" t="s">
        <v>21</v>
      </c>
      <c r="E5" t="s">
        <v>22</v>
      </c>
      <c r="F5" s="2">
        <v>33</v>
      </c>
      <c r="G5" t="s">
        <v>28</v>
      </c>
      <c r="H5" t="s">
        <v>24</v>
      </c>
      <c r="I5">
        <v>18</v>
      </c>
      <c r="J5">
        <v>0</v>
      </c>
      <c r="K5">
        <v>18</v>
      </c>
      <c r="L5">
        <v>7800</v>
      </c>
      <c r="M5">
        <v>18</v>
      </c>
      <c r="N5">
        <v>0</v>
      </c>
      <c r="O5">
        <v>7800</v>
      </c>
      <c r="P5" s="7" t="str">
        <f>HYPERLINK("https://lk.platformaofd.ru/web/noauth/cheque/id?id=66146119819&amp;date=1641277164000&amp;fp=4275637285000","Посмотреть чек")</f>
        <v>Посмотреть чек</v>
      </c>
    </row>
    <row r="6" spans="1:16">
      <c r="A6" s="1">
        <v>44566.515277777777</v>
      </c>
      <c r="B6" t="s">
        <v>19</v>
      </c>
      <c r="C6" t="s">
        <v>20</v>
      </c>
      <c r="D6" t="s">
        <v>21</v>
      </c>
      <c r="E6" t="s">
        <v>22</v>
      </c>
      <c r="F6" s="2">
        <v>34</v>
      </c>
      <c r="G6" t="s">
        <v>29</v>
      </c>
      <c r="H6" t="s">
        <v>24</v>
      </c>
      <c r="I6">
        <v>5</v>
      </c>
      <c r="J6">
        <v>0</v>
      </c>
      <c r="K6">
        <v>5</v>
      </c>
      <c r="L6">
        <v>106000</v>
      </c>
      <c r="M6">
        <v>5</v>
      </c>
      <c r="N6">
        <v>0</v>
      </c>
      <c r="O6">
        <v>106000</v>
      </c>
      <c r="P6" s="7" t="str">
        <f>HYPERLINK("https://lk.platformaofd.ru/web/noauth/cheque/id?id=66182833990&amp;date=1641349354000&amp;fp=1812912524000","Посмотреть чек")</f>
        <v>Посмотреть чек</v>
      </c>
    </row>
    <row r="7" spans="1:16">
      <c r="A7" s="1">
        <v>44566.661111111112</v>
      </c>
      <c r="B7" t="s">
        <v>19</v>
      </c>
      <c r="C7" t="s">
        <v>20</v>
      </c>
      <c r="D7" t="s">
        <v>21</v>
      </c>
      <c r="E7" t="s">
        <v>22</v>
      </c>
      <c r="F7" s="2">
        <v>35</v>
      </c>
      <c r="G7" t="s">
        <v>30</v>
      </c>
      <c r="H7" t="s">
        <v>24</v>
      </c>
      <c r="I7">
        <v>5</v>
      </c>
      <c r="J7">
        <v>0</v>
      </c>
      <c r="K7">
        <v>5</v>
      </c>
      <c r="L7">
        <v>76000</v>
      </c>
      <c r="M7">
        <v>5</v>
      </c>
      <c r="N7">
        <v>0</v>
      </c>
      <c r="O7">
        <v>76000</v>
      </c>
      <c r="P7" s="7" t="str">
        <f>HYPERLINK("https://lk.platformaofd.ru/web/noauth/cheque/id?id=66186077398&amp;date=1641361931000&amp;fp=1219195114000","Посмотреть чек")</f>
        <v>Посмотреть чек</v>
      </c>
    </row>
    <row r="8" spans="1:16">
      <c r="A8" s="1">
        <v>44566.70208333333</v>
      </c>
      <c r="B8" t="s">
        <v>19</v>
      </c>
      <c r="C8" t="s">
        <v>20</v>
      </c>
      <c r="D8" t="s">
        <v>21</v>
      </c>
      <c r="E8" t="s">
        <v>22</v>
      </c>
      <c r="F8" s="2">
        <v>36</v>
      </c>
      <c r="G8" t="s">
        <v>31</v>
      </c>
      <c r="H8" t="s">
        <v>24</v>
      </c>
      <c r="I8">
        <v>21</v>
      </c>
      <c r="J8">
        <v>0</v>
      </c>
      <c r="K8">
        <v>21</v>
      </c>
      <c r="L8">
        <v>9500</v>
      </c>
      <c r="M8">
        <v>21</v>
      </c>
      <c r="N8">
        <v>0</v>
      </c>
      <c r="O8">
        <v>9500</v>
      </c>
      <c r="P8" s="7" t="str">
        <f>HYPERLINK("https://lk.platformaofd.ru/web/noauth/cheque/id?id=66188071008&amp;date=1641365504000&amp;fp=1518586923000","Посмотреть чек")</f>
        <v>Посмотреть чек</v>
      </c>
    </row>
    <row r="9" spans="1:16">
      <c r="A9" s="1">
        <v>44567.667361111111</v>
      </c>
      <c r="B9" t="s">
        <v>19</v>
      </c>
      <c r="C9" t="s">
        <v>20</v>
      </c>
      <c r="D9" t="s">
        <v>21</v>
      </c>
      <c r="E9" t="s">
        <v>22</v>
      </c>
      <c r="F9" s="2">
        <v>37</v>
      </c>
      <c r="G9" t="s">
        <v>32</v>
      </c>
      <c r="H9" t="s">
        <v>24</v>
      </c>
      <c r="I9">
        <v>22</v>
      </c>
      <c r="J9">
        <v>0</v>
      </c>
      <c r="K9">
        <v>22</v>
      </c>
      <c r="L9">
        <v>24400</v>
      </c>
      <c r="M9">
        <v>22</v>
      </c>
      <c r="N9">
        <v>0</v>
      </c>
      <c r="O9">
        <v>24400</v>
      </c>
      <c r="P9" s="7" t="str">
        <f>HYPERLINK("https://lk.platformaofd.ru/web/noauth/cheque/id?id=66227787478&amp;date=1641448884000&amp;fp=1841858498000","Посмотреть чек")</f>
        <v>Посмотреть чек</v>
      </c>
    </row>
    <row r="10" spans="1:16">
      <c r="A10" s="1">
        <v>44567.808333333334</v>
      </c>
      <c r="B10" t="s">
        <v>19</v>
      </c>
      <c r="C10" t="s">
        <v>25</v>
      </c>
      <c r="D10" t="s">
        <v>21</v>
      </c>
      <c r="E10" t="s">
        <v>26</v>
      </c>
      <c r="F10" s="2">
        <v>91</v>
      </c>
      <c r="G10" t="s">
        <v>33</v>
      </c>
      <c r="H10" t="s">
        <v>24</v>
      </c>
      <c r="I10">
        <v>1</v>
      </c>
      <c r="J10">
        <v>0</v>
      </c>
      <c r="K10">
        <v>1</v>
      </c>
      <c r="L10">
        <v>22000</v>
      </c>
      <c r="M10">
        <v>1</v>
      </c>
      <c r="N10">
        <v>0</v>
      </c>
      <c r="O10">
        <v>22000</v>
      </c>
      <c r="P10" s="7" t="str">
        <f>HYPERLINK("https://lk.platformaofd.ru/web/noauth/cheque/id?id=66237317374&amp;date=1641461194000&amp;fp=2055372906000","Посмотреть чек")</f>
        <v>Посмотреть чек</v>
      </c>
    </row>
    <row r="11" spans="1:16">
      <c r="A11" s="1">
        <v>44568.5625</v>
      </c>
      <c r="B11" t="s">
        <v>19</v>
      </c>
      <c r="C11" t="s">
        <v>20</v>
      </c>
      <c r="D11" t="s">
        <v>21</v>
      </c>
      <c r="E11" t="s">
        <v>22</v>
      </c>
      <c r="F11" s="2">
        <v>38</v>
      </c>
      <c r="G11" t="s">
        <v>34</v>
      </c>
      <c r="H11" t="s">
        <v>24</v>
      </c>
      <c r="I11">
        <v>32</v>
      </c>
      <c r="J11">
        <v>0</v>
      </c>
      <c r="K11">
        <v>32</v>
      </c>
      <c r="L11">
        <v>86300</v>
      </c>
      <c r="M11">
        <v>32</v>
      </c>
      <c r="N11">
        <v>0</v>
      </c>
      <c r="O11">
        <v>86300</v>
      </c>
      <c r="P11" s="7" t="str">
        <f>HYPERLINK("https://lk.platformaofd.ru/web/noauth/cheque/id?id=66267501004&amp;date=1641526194000&amp;fp=1108993698000","Посмотреть чек")</f>
        <v>Посмотреть чек</v>
      </c>
    </row>
    <row r="12" spans="1:16">
      <c r="A12" s="1">
        <v>44568.768055555556</v>
      </c>
      <c r="B12" t="s">
        <v>19</v>
      </c>
      <c r="C12" t="s">
        <v>25</v>
      </c>
      <c r="D12" t="s">
        <v>21</v>
      </c>
      <c r="E12" t="s">
        <v>26</v>
      </c>
      <c r="F12" s="2">
        <v>92</v>
      </c>
      <c r="G12" t="s">
        <v>35</v>
      </c>
      <c r="H12" t="s">
        <v>24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3" t="str">
        <f>HYPERLINK("https://lk.platformaofd.ru/web/noauth/cheque/id?id=66275434861&amp;date=1641544091000&amp;fp=422584688000","Посмотреть чек")</f>
        <v>Посмотреть чек</v>
      </c>
    </row>
    <row r="13" spans="1:16">
      <c r="A13" s="1">
        <v>44569.568749999999</v>
      </c>
      <c r="B13" t="s">
        <v>19</v>
      </c>
      <c r="C13" t="s">
        <v>20</v>
      </c>
      <c r="D13" t="s">
        <v>21</v>
      </c>
      <c r="E13" t="s">
        <v>22</v>
      </c>
      <c r="F13" s="2">
        <v>39</v>
      </c>
      <c r="G13" t="s">
        <v>36</v>
      </c>
      <c r="H13" t="s">
        <v>24</v>
      </c>
      <c r="I13">
        <v>43</v>
      </c>
      <c r="J13">
        <v>0</v>
      </c>
      <c r="K13">
        <v>43</v>
      </c>
      <c r="L13">
        <v>110400</v>
      </c>
      <c r="M13">
        <v>43</v>
      </c>
      <c r="N13">
        <v>0</v>
      </c>
      <c r="O13">
        <v>110400</v>
      </c>
      <c r="P13" s="7" t="str">
        <f>HYPERLINK("https://lk.platformaofd.ru/web/noauth/cheque/id?id=66305841909&amp;date=1641613144000&amp;fp=881574585000","Посмотреть чек")</f>
        <v>Посмотреть чек</v>
      </c>
    </row>
    <row r="14" spans="1:16">
      <c r="A14" s="1">
        <v>44570.543749999997</v>
      </c>
      <c r="B14" t="s">
        <v>19</v>
      </c>
      <c r="C14" t="s">
        <v>20</v>
      </c>
      <c r="D14" t="s">
        <v>21</v>
      </c>
      <c r="E14" t="s">
        <v>22</v>
      </c>
      <c r="F14" s="2">
        <v>40</v>
      </c>
      <c r="G14" t="s">
        <v>37</v>
      </c>
      <c r="H14" t="s">
        <v>24</v>
      </c>
      <c r="I14">
        <v>39</v>
      </c>
      <c r="J14">
        <v>0</v>
      </c>
      <c r="K14">
        <v>39</v>
      </c>
      <c r="L14">
        <v>63700</v>
      </c>
      <c r="M14">
        <v>39</v>
      </c>
      <c r="N14">
        <v>0</v>
      </c>
      <c r="O14">
        <v>63700</v>
      </c>
      <c r="P14" s="7" t="str">
        <f>HYPERLINK("https://lk.platformaofd.ru/web/noauth/cheque/id?id=66346105422&amp;date=1641697391000&amp;fp=4218836301000","Посмотреть чек")</f>
        <v>Посмотреть чек</v>
      </c>
    </row>
    <row r="15" spans="1:16">
      <c r="A15" s="1">
        <v>44571.711805555555</v>
      </c>
      <c r="B15" t="s">
        <v>19</v>
      </c>
      <c r="C15" t="s">
        <v>20</v>
      </c>
      <c r="D15" t="s">
        <v>21</v>
      </c>
      <c r="E15" t="s">
        <v>22</v>
      </c>
      <c r="F15" s="2">
        <v>41</v>
      </c>
      <c r="G15" t="s">
        <v>29</v>
      </c>
      <c r="H15" t="s">
        <v>24</v>
      </c>
      <c r="I15">
        <v>39</v>
      </c>
      <c r="J15">
        <v>0</v>
      </c>
      <c r="K15">
        <v>39</v>
      </c>
      <c r="L15">
        <v>57000</v>
      </c>
      <c r="M15">
        <v>39</v>
      </c>
      <c r="N15">
        <v>0</v>
      </c>
      <c r="O15">
        <v>57000</v>
      </c>
      <c r="P15" s="7" t="str">
        <f>HYPERLINK("https://lk.platformaofd.ru/web/noauth/cheque/id?id=66392611856&amp;date=1641798304000&amp;fp=4250279228000","Посмотреть чек")</f>
        <v>Посмотреть чек</v>
      </c>
    </row>
    <row r="16" spans="1:16">
      <c r="A16" s="1">
        <v>44571.779166666667</v>
      </c>
      <c r="B16" t="s">
        <v>19</v>
      </c>
      <c r="C16" t="s">
        <v>25</v>
      </c>
      <c r="D16" t="s">
        <v>21</v>
      </c>
      <c r="E16" t="s">
        <v>26</v>
      </c>
      <c r="F16" s="2">
        <v>93</v>
      </c>
      <c r="G16" t="s">
        <v>38</v>
      </c>
      <c r="H16" t="s">
        <v>24</v>
      </c>
      <c r="I16">
        <v>1</v>
      </c>
      <c r="J16">
        <v>0</v>
      </c>
      <c r="K16">
        <v>1</v>
      </c>
      <c r="L16">
        <v>25000</v>
      </c>
      <c r="M16">
        <v>1</v>
      </c>
      <c r="N16">
        <v>0</v>
      </c>
      <c r="O16">
        <v>25000</v>
      </c>
      <c r="P16" s="7" t="str">
        <f>HYPERLINK("https://lk.platformaofd.ru/web/noauth/cheque/id?id=66397622811&amp;date=1641804274000&amp;fp=309121135000","Посмотреть чек")</f>
        <v>Посмотреть чек</v>
      </c>
    </row>
    <row r="17" spans="1:17">
      <c r="A17" s="1">
        <v>44572.636111111111</v>
      </c>
      <c r="B17" t="s">
        <v>19</v>
      </c>
      <c r="C17" t="s">
        <v>20</v>
      </c>
      <c r="D17" t="s">
        <v>21</v>
      </c>
      <c r="E17" t="s">
        <v>22</v>
      </c>
      <c r="F17" s="2">
        <v>42</v>
      </c>
      <c r="G17" t="s">
        <v>39</v>
      </c>
      <c r="H17" t="s">
        <v>24</v>
      </c>
      <c r="I17">
        <v>15</v>
      </c>
      <c r="J17">
        <v>0</v>
      </c>
      <c r="K17">
        <v>15</v>
      </c>
      <c r="L17">
        <v>5700</v>
      </c>
      <c r="M17">
        <v>15</v>
      </c>
      <c r="N17">
        <v>0</v>
      </c>
      <c r="O17">
        <v>5700</v>
      </c>
      <c r="P17" s="7" t="str">
        <f>HYPERLINK("https://lk.platformaofd.ru/web/noauth/cheque/id?id=66433773001&amp;date=1641878194000&amp;fp=2419700940000","Посмотреть чек")</f>
        <v>Посмотреть чек</v>
      </c>
    </row>
    <row r="18" spans="1:17">
      <c r="A18" s="1">
        <v>44572.78402777778</v>
      </c>
      <c r="B18" t="s">
        <v>19</v>
      </c>
      <c r="C18" t="s">
        <v>25</v>
      </c>
      <c r="D18" t="s">
        <v>21</v>
      </c>
      <c r="E18" t="s">
        <v>26</v>
      </c>
      <c r="F18" s="2">
        <v>94</v>
      </c>
      <c r="G18" t="s">
        <v>40</v>
      </c>
      <c r="H18" t="s">
        <v>24</v>
      </c>
      <c r="I18">
        <v>1</v>
      </c>
      <c r="J18">
        <v>0</v>
      </c>
      <c r="K18">
        <v>1</v>
      </c>
      <c r="L18">
        <v>2000</v>
      </c>
      <c r="M18">
        <v>1</v>
      </c>
      <c r="N18">
        <v>0</v>
      </c>
      <c r="O18">
        <v>2000</v>
      </c>
      <c r="P18" s="7" t="str">
        <f>HYPERLINK("https://lk.platformaofd.ru/web/noauth/cheque/id?id=66443416701&amp;date=1641891054000&amp;fp=2009482427000","Посмотреть чек")</f>
        <v>Посмотреть чек</v>
      </c>
    </row>
    <row r="19" spans="1:17">
      <c r="A19" s="1">
        <v>44573.61041666667</v>
      </c>
      <c r="B19" t="s">
        <v>19</v>
      </c>
      <c r="C19" t="s">
        <v>20</v>
      </c>
      <c r="D19" t="s">
        <v>21</v>
      </c>
      <c r="E19" t="s">
        <v>22</v>
      </c>
      <c r="F19" s="2">
        <v>43</v>
      </c>
      <c r="G19" t="s">
        <v>41</v>
      </c>
      <c r="H19" t="s">
        <v>24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7" t="str">
        <f>HYPERLINK("https://lk.platformaofd.ru/web/noauth/cheque/id?id=66478386441&amp;date=1641962364000&amp;fp=2693542409000","Посмотреть чек")</f>
        <v>Посмотреть чек</v>
      </c>
    </row>
    <row r="20" spans="1:17">
      <c r="A20" s="1">
        <v>44573.65347222222</v>
      </c>
      <c r="B20" t="s">
        <v>19</v>
      </c>
      <c r="C20" t="s">
        <v>20</v>
      </c>
      <c r="D20" t="s">
        <v>21</v>
      </c>
      <c r="E20" t="s">
        <v>22</v>
      </c>
      <c r="F20" s="2">
        <v>44</v>
      </c>
      <c r="G20" t="s">
        <v>42</v>
      </c>
      <c r="H20" t="s">
        <v>24</v>
      </c>
      <c r="I20">
        <v>22</v>
      </c>
      <c r="J20">
        <v>0</v>
      </c>
      <c r="K20">
        <v>22</v>
      </c>
      <c r="L20">
        <v>8800</v>
      </c>
      <c r="M20">
        <v>22</v>
      </c>
      <c r="N20">
        <v>0</v>
      </c>
      <c r="O20">
        <v>8800</v>
      </c>
      <c r="P20" s="7" t="str">
        <f>HYPERLINK("https://lk.platformaofd.ru/web/noauth/cheque/id?id=66480228290&amp;date=1641966094000&amp;fp=1209922585000","Посмотреть чек")</f>
        <v>Посмотреть чек</v>
      </c>
    </row>
    <row r="21" spans="1:17" s="7" customFormat="1">
      <c r="A21" s="6">
        <v>44573.771527777775</v>
      </c>
      <c r="B21" s="7" t="s">
        <v>19</v>
      </c>
      <c r="C21" s="7" t="s">
        <v>25</v>
      </c>
      <c r="D21" s="7" t="s">
        <v>21</v>
      </c>
      <c r="E21" s="7" t="s">
        <v>26</v>
      </c>
      <c r="F21" s="8">
        <v>95</v>
      </c>
      <c r="G21" s="7" t="s">
        <v>43</v>
      </c>
      <c r="H21" s="7" t="s">
        <v>24</v>
      </c>
      <c r="I21" s="7">
        <v>3</v>
      </c>
      <c r="J21" s="7">
        <v>0</v>
      </c>
      <c r="K21" s="7">
        <v>3</v>
      </c>
      <c r="L21" s="7">
        <v>226300</v>
      </c>
      <c r="M21" s="7">
        <v>3</v>
      </c>
      <c r="N21" s="7">
        <v>0</v>
      </c>
      <c r="O21" s="7">
        <v>226300</v>
      </c>
      <c r="P21" s="13" t="str">
        <f>HYPERLINK("https://lk.platformaofd.ru/web/noauth/cheque/id?id=66487978471&amp;date=1641976390000&amp;fp=808009598000","Посмотреть чек")</f>
        <v>Посмотреть чек</v>
      </c>
      <c r="Q21" s="13" t="s">
        <v>81</v>
      </c>
    </row>
    <row r="22" spans="1:17" s="7" customFormat="1">
      <c r="A22" s="6">
        <v>44574.642361111109</v>
      </c>
      <c r="B22" s="7" t="s">
        <v>19</v>
      </c>
      <c r="C22" s="7" t="s">
        <v>20</v>
      </c>
      <c r="D22" s="7" t="s">
        <v>21</v>
      </c>
      <c r="E22" s="7" t="s">
        <v>22</v>
      </c>
      <c r="F22" s="8">
        <v>45</v>
      </c>
      <c r="G22" s="7" t="s">
        <v>44</v>
      </c>
      <c r="H22" s="7" t="s">
        <v>24</v>
      </c>
      <c r="I22" s="7">
        <v>1</v>
      </c>
      <c r="J22" s="7">
        <v>0</v>
      </c>
      <c r="K22" s="7">
        <v>1</v>
      </c>
      <c r="L22" s="7">
        <v>18000</v>
      </c>
      <c r="M22" s="7">
        <v>1</v>
      </c>
      <c r="N22" s="7">
        <v>0</v>
      </c>
      <c r="O22" s="7">
        <v>18000</v>
      </c>
      <c r="P22" s="7" t="str">
        <f>HYPERLINK("https://lk.platformaofd.ru/web/noauth/cheque/id?id=66525175403&amp;date=1642051511000&amp;fp=1142460815000","Посмотреть чек")</f>
        <v>Посмотреть чек</v>
      </c>
      <c r="Q22" s="13" t="s">
        <v>80</v>
      </c>
    </row>
    <row r="23" spans="1:17" s="7" customFormat="1">
      <c r="A23" s="6">
        <v>44574.711111111108</v>
      </c>
      <c r="B23" s="7" t="s">
        <v>19</v>
      </c>
      <c r="C23" s="7" t="s">
        <v>20</v>
      </c>
      <c r="D23" s="7" t="s">
        <v>21</v>
      </c>
      <c r="E23" s="7" t="s">
        <v>22</v>
      </c>
      <c r="F23" s="8">
        <v>46</v>
      </c>
      <c r="G23" s="7" t="s">
        <v>45</v>
      </c>
      <c r="H23" s="7" t="s">
        <v>24</v>
      </c>
      <c r="I23" s="7">
        <v>20</v>
      </c>
      <c r="J23" s="7">
        <v>0</v>
      </c>
      <c r="K23" s="7">
        <v>20</v>
      </c>
      <c r="L23" s="7">
        <v>8500</v>
      </c>
      <c r="M23" s="7">
        <v>20</v>
      </c>
      <c r="N23" s="7">
        <v>0</v>
      </c>
      <c r="O23" s="7">
        <v>8500</v>
      </c>
      <c r="P23" s="7" t="str">
        <f>HYPERLINK("https://lk.platformaofd.ru/web/noauth/cheque/id?id=66529074925&amp;date=1642057474000&amp;fp=1477085047000","Посмотреть чек")</f>
        <v>Посмотреть чек</v>
      </c>
      <c r="Q23" s="13" t="s">
        <v>79</v>
      </c>
    </row>
    <row r="24" spans="1:17">
      <c r="A24" s="1">
        <v>44575.723611111112</v>
      </c>
      <c r="B24" t="s">
        <v>19</v>
      </c>
      <c r="C24" t="s">
        <v>20</v>
      </c>
      <c r="D24" t="s">
        <v>21</v>
      </c>
      <c r="E24" t="s">
        <v>22</v>
      </c>
      <c r="F24" s="2">
        <v>47</v>
      </c>
      <c r="G24" t="s">
        <v>46</v>
      </c>
      <c r="H24" t="s">
        <v>24</v>
      </c>
      <c r="I24">
        <v>1</v>
      </c>
      <c r="J24">
        <v>0</v>
      </c>
      <c r="K24">
        <v>1</v>
      </c>
      <c r="L24">
        <v>600</v>
      </c>
      <c r="M24">
        <v>1</v>
      </c>
      <c r="N24">
        <v>0</v>
      </c>
      <c r="O24">
        <v>600</v>
      </c>
      <c r="P24" s="7" t="str">
        <f>HYPERLINK("https://lk.platformaofd.ru/web/noauth/cheque/id?id=66576240363&amp;date=1642144954000&amp;fp=738743591000","Посмотреть чек")</f>
        <v>Посмотреть чек</v>
      </c>
    </row>
    <row r="25" spans="1:17">
      <c r="A25" s="1">
        <v>44575.794444444444</v>
      </c>
      <c r="B25" t="s">
        <v>19</v>
      </c>
      <c r="C25" t="s">
        <v>25</v>
      </c>
      <c r="D25" t="s">
        <v>21</v>
      </c>
      <c r="E25" t="s">
        <v>26</v>
      </c>
      <c r="F25" s="2">
        <v>96</v>
      </c>
      <c r="G25" t="s">
        <v>47</v>
      </c>
      <c r="H25" t="s">
        <v>24</v>
      </c>
      <c r="I25">
        <v>1</v>
      </c>
      <c r="J25">
        <v>0</v>
      </c>
      <c r="K25">
        <v>1</v>
      </c>
      <c r="L25">
        <v>8129.03</v>
      </c>
      <c r="M25">
        <v>1</v>
      </c>
      <c r="N25">
        <v>0</v>
      </c>
      <c r="O25">
        <v>8129.03</v>
      </c>
      <c r="P25" s="7" t="str">
        <f>HYPERLINK("https://lk.platformaofd.ru/web/noauth/cheque/id?id=66581821904&amp;date=1642151144000&amp;fp=2424568439000","Посмотреть чек")</f>
        <v>Посмотреть чек</v>
      </c>
    </row>
    <row r="26" spans="1:17">
      <c r="A26" s="1">
        <v>44576.556944444441</v>
      </c>
      <c r="B26" t="s">
        <v>19</v>
      </c>
      <c r="C26" t="s">
        <v>20</v>
      </c>
      <c r="D26" t="s">
        <v>21</v>
      </c>
      <c r="E26" t="s">
        <v>22</v>
      </c>
      <c r="F26" s="2">
        <v>48</v>
      </c>
      <c r="G26" t="s">
        <v>48</v>
      </c>
      <c r="H26" t="s">
        <v>24</v>
      </c>
      <c r="I26">
        <v>1</v>
      </c>
      <c r="J26">
        <v>0</v>
      </c>
      <c r="K26">
        <v>1</v>
      </c>
      <c r="L26">
        <v>300</v>
      </c>
      <c r="M26">
        <v>1</v>
      </c>
      <c r="N26">
        <v>300</v>
      </c>
      <c r="O26">
        <v>0</v>
      </c>
      <c r="P26" s="7" t="str">
        <f>HYPERLINK("https://lk.platformaofd.ru/web/noauth/cheque/id?id=66617564177&amp;date=1642216904000&amp;fp=955747542000","Посмотреть чек")</f>
        <v>Посмотреть чек</v>
      </c>
    </row>
    <row r="27" spans="1:17">
      <c r="A27" s="1">
        <v>44576.607638888891</v>
      </c>
      <c r="B27" t="s">
        <v>19</v>
      </c>
      <c r="C27" t="s">
        <v>20</v>
      </c>
      <c r="D27" t="s">
        <v>21</v>
      </c>
      <c r="E27" t="s">
        <v>22</v>
      </c>
      <c r="F27" s="2">
        <v>49</v>
      </c>
      <c r="G27" t="s">
        <v>49</v>
      </c>
      <c r="H27" t="s">
        <v>24</v>
      </c>
      <c r="I27">
        <v>47</v>
      </c>
      <c r="J27">
        <v>0</v>
      </c>
      <c r="K27">
        <v>47</v>
      </c>
      <c r="L27">
        <v>30500</v>
      </c>
      <c r="M27">
        <v>47</v>
      </c>
      <c r="N27">
        <v>19800</v>
      </c>
      <c r="O27">
        <v>10700</v>
      </c>
      <c r="P27" s="7" t="str">
        <f>HYPERLINK("https://lk.platformaofd.ru/web/noauth/cheque/id?id=66618721717&amp;date=1642221310000&amp;fp=3663705377000","Посмотреть чек")</f>
        <v>Посмотреть чек</v>
      </c>
    </row>
    <row r="28" spans="1:17">
      <c r="A28" s="1">
        <v>44576.616666666669</v>
      </c>
      <c r="B28" t="s">
        <v>19</v>
      </c>
      <c r="C28" t="s">
        <v>20</v>
      </c>
      <c r="D28" t="s">
        <v>21</v>
      </c>
      <c r="E28" t="s">
        <v>22</v>
      </c>
      <c r="F28" s="2">
        <v>50</v>
      </c>
      <c r="G28" t="s">
        <v>48</v>
      </c>
      <c r="H28" t="s">
        <v>24</v>
      </c>
      <c r="I28">
        <v>5</v>
      </c>
      <c r="J28">
        <v>0</v>
      </c>
      <c r="K28">
        <v>5</v>
      </c>
      <c r="L28">
        <v>2500</v>
      </c>
      <c r="M28">
        <v>5</v>
      </c>
      <c r="N28">
        <v>2500</v>
      </c>
      <c r="O28">
        <v>0</v>
      </c>
      <c r="P28" s="7" t="str">
        <f>HYPERLINK("https://lk.platformaofd.ru/web/noauth/cheque/id?id=66618981705&amp;date=1642222064000&amp;fp=3954312487000","Посмотреть чек")</f>
        <v>Посмотреть чек</v>
      </c>
    </row>
    <row r="29" spans="1:17">
      <c r="A29" s="1">
        <v>44577.614583333336</v>
      </c>
      <c r="B29" t="s">
        <v>19</v>
      </c>
      <c r="C29" t="s">
        <v>20</v>
      </c>
      <c r="D29" t="s">
        <v>21</v>
      </c>
      <c r="E29" t="s">
        <v>22</v>
      </c>
      <c r="F29" s="2">
        <v>51</v>
      </c>
      <c r="G29" t="s">
        <v>50</v>
      </c>
      <c r="H29" t="s">
        <v>24</v>
      </c>
      <c r="I29">
        <v>46</v>
      </c>
      <c r="J29">
        <v>0</v>
      </c>
      <c r="K29">
        <v>46</v>
      </c>
      <c r="L29">
        <v>19200</v>
      </c>
      <c r="M29">
        <v>46</v>
      </c>
      <c r="N29">
        <v>18700</v>
      </c>
      <c r="O29">
        <v>500</v>
      </c>
      <c r="P29" s="7" t="str">
        <f>HYPERLINK("https://lk.platformaofd.ru/web/noauth/cheque/id?id=66664956561&amp;date=1642308314000&amp;fp=455939315000","Посмотреть чек")</f>
        <v>Посмотреть чек</v>
      </c>
    </row>
    <row r="30" spans="1:17">
      <c r="A30" s="1">
        <v>44578.692361111112</v>
      </c>
      <c r="B30" t="s">
        <v>19</v>
      </c>
      <c r="C30" t="s">
        <v>20</v>
      </c>
      <c r="D30" t="s">
        <v>21</v>
      </c>
      <c r="E30" t="s">
        <v>22</v>
      </c>
      <c r="F30" s="2">
        <v>52</v>
      </c>
      <c r="G30" t="s">
        <v>51</v>
      </c>
      <c r="H30" t="s">
        <v>24</v>
      </c>
      <c r="I30">
        <v>35</v>
      </c>
      <c r="J30">
        <v>0</v>
      </c>
      <c r="K30">
        <v>35</v>
      </c>
      <c r="L30">
        <v>14100</v>
      </c>
      <c r="M30">
        <v>35</v>
      </c>
      <c r="N30">
        <v>13300</v>
      </c>
      <c r="O30">
        <v>800</v>
      </c>
      <c r="P30" s="7" t="str">
        <f>HYPERLINK("https://lk.platformaofd.ru/web/noauth/cheque/id?id=66711055250&amp;date=1642401444000&amp;fp=847584136000","Посмотреть чек")</f>
        <v>Посмотреть чек</v>
      </c>
    </row>
    <row r="31" spans="1:17">
      <c r="A31" s="1">
        <v>44578.79583333333</v>
      </c>
      <c r="B31" t="s">
        <v>19</v>
      </c>
      <c r="C31" t="s">
        <v>25</v>
      </c>
      <c r="D31" t="s">
        <v>21</v>
      </c>
      <c r="E31" t="s">
        <v>26</v>
      </c>
      <c r="F31" s="2">
        <v>97</v>
      </c>
      <c r="G31" t="s">
        <v>52</v>
      </c>
      <c r="H31" t="s">
        <v>24</v>
      </c>
      <c r="I31">
        <v>1</v>
      </c>
      <c r="J31">
        <v>0</v>
      </c>
      <c r="K31">
        <v>1</v>
      </c>
      <c r="L31">
        <v>68000</v>
      </c>
      <c r="M31">
        <v>1</v>
      </c>
      <c r="N31">
        <v>0</v>
      </c>
      <c r="O31">
        <v>68000</v>
      </c>
      <c r="P31" s="7" t="str">
        <f>HYPERLINK("https://lk.platformaofd.ru/web/noauth/cheque/id?id=66718754128&amp;date=1642410474000&amp;fp=2391521690000","Посмотреть чек")</f>
        <v>Посмотреть чек</v>
      </c>
    </row>
    <row r="32" spans="1:17">
      <c r="A32" s="1">
        <v>44579.684027777781</v>
      </c>
      <c r="B32" t="s">
        <v>19</v>
      </c>
      <c r="C32" t="s">
        <v>20</v>
      </c>
      <c r="D32" t="s">
        <v>21</v>
      </c>
      <c r="E32" t="s">
        <v>22</v>
      </c>
      <c r="F32" s="2">
        <v>53</v>
      </c>
      <c r="G32" t="s">
        <v>53</v>
      </c>
      <c r="H32" t="s">
        <v>24</v>
      </c>
      <c r="I32">
        <v>25</v>
      </c>
      <c r="J32">
        <v>0</v>
      </c>
      <c r="K32">
        <v>25</v>
      </c>
      <c r="L32">
        <v>10500</v>
      </c>
      <c r="M32">
        <v>25</v>
      </c>
      <c r="N32">
        <v>8800</v>
      </c>
      <c r="O32">
        <v>1700</v>
      </c>
      <c r="P32" s="7" t="str">
        <f>HYPERLINK("https://lk.platformaofd.ru/web/noauth/cheque/id?id=66756867567&amp;date=1642487111000&amp;fp=156047900000","Посмотреть чек")</f>
        <v>Посмотреть чек</v>
      </c>
    </row>
    <row r="33" spans="1:16">
      <c r="A33" s="1">
        <v>44580.672222222223</v>
      </c>
      <c r="B33" t="s">
        <v>19</v>
      </c>
      <c r="C33" t="s">
        <v>20</v>
      </c>
      <c r="D33" t="s">
        <v>21</v>
      </c>
      <c r="E33" t="s">
        <v>22</v>
      </c>
      <c r="F33" s="2">
        <v>54</v>
      </c>
      <c r="G33" t="s">
        <v>54</v>
      </c>
      <c r="H33" t="s">
        <v>24</v>
      </c>
      <c r="I33">
        <v>8</v>
      </c>
      <c r="J33">
        <v>0</v>
      </c>
      <c r="K33">
        <v>8</v>
      </c>
      <c r="L33">
        <v>3200</v>
      </c>
      <c r="M33">
        <v>8</v>
      </c>
      <c r="N33">
        <v>2900</v>
      </c>
      <c r="O33">
        <v>300</v>
      </c>
      <c r="P33" s="7" t="str">
        <f>HYPERLINK("https://lk.platformaofd.ru/web/noauth/cheque/id?id=66802234358&amp;date=1642572484000&amp;fp=821210029000","Посмотреть чек")</f>
        <v>Посмотреть чек</v>
      </c>
    </row>
    <row r="34" spans="1:16">
      <c r="A34" s="1">
        <v>44580.820138888892</v>
      </c>
      <c r="B34" t="s">
        <v>19</v>
      </c>
      <c r="C34" t="s">
        <v>25</v>
      </c>
      <c r="D34" t="s">
        <v>21</v>
      </c>
      <c r="E34" t="s">
        <v>26</v>
      </c>
      <c r="F34" s="2">
        <v>98</v>
      </c>
      <c r="G34" t="s">
        <v>55</v>
      </c>
      <c r="H34" t="s">
        <v>24</v>
      </c>
      <c r="I34">
        <v>1</v>
      </c>
      <c r="J34">
        <v>0</v>
      </c>
      <c r="K34">
        <v>1</v>
      </c>
      <c r="L34">
        <v>27400</v>
      </c>
      <c r="M34">
        <v>1</v>
      </c>
      <c r="N34">
        <v>0</v>
      </c>
      <c r="O34">
        <v>27400</v>
      </c>
      <c r="P34" s="7" t="str">
        <f>HYPERLINK("https://lk.platformaofd.ru/web/noauth/cheque/id?id=66813086380&amp;date=1642585404000&amp;fp=1518509379000","Посмотреть чек")</f>
        <v>Посмотреть чек</v>
      </c>
    </row>
    <row r="35" spans="1:16">
      <c r="A35" s="1">
        <v>44581.67083333333</v>
      </c>
      <c r="B35" t="s">
        <v>19</v>
      </c>
      <c r="C35" t="s">
        <v>20</v>
      </c>
      <c r="D35" t="s">
        <v>21</v>
      </c>
      <c r="E35" t="s">
        <v>22</v>
      </c>
      <c r="F35" s="2">
        <v>55</v>
      </c>
      <c r="G35" t="s">
        <v>49</v>
      </c>
      <c r="H35" t="s">
        <v>24</v>
      </c>
      <c r="I35">
        <v>35</v>
      </c>
      <c r="J35">
        <v>0</v>
      </c>
      <c r="K35">
        <v>35</v>
      </c>
      <c r="L35">
        <v>14500</v>
      </c>
      <c r="M35">
        <v>35</v>
      </c>
      <c r="N35">
        <v>14500</v>
      </c>
      <c r="O35">
        <v>0</v>
      </c>
      <c r="P35" s="7" t="str">
        <f>HYPERLINK("https://lk.platformaofd.ru/web/noauth/cheque/id?id=66848241466&amp;date=1642658774000&amp;fp=2888989900000","Посмотреть чек")</f>
        <v>Посмотреть чек</v>
      </c>
    </row>
    <row r="36" spans="1:16">
      <c r="A36" s="1">
        <v>44581.833333333336</v>
      </c>
      <c r="B36" t="s">
        <v>19</v>
      </c>
      <c r="C36" t="s">
        <v>25</v>
      </c>
      <c r="D36" t="s">
        <v>21</v>
      </c>
      <c r="E36" t="s">
        <v>26</v>
      </c>
      <c r="F36" s="2">
        <v>99</v>
      </c>
      <c r="G36" t="s">
        <v>56</v>
      </c>
      <c r="H36" t="s">
        <v>24</v>
      </c>
      <c r="I36">
        <v>1</v>
      </c>
      <c r="J36">
        <v>0</v>
      </c>
      <c r="K36">
        <v>1</v>
      </c>
      <c r="L36">
        <v>23250</v>
      </c>
      <c r="M36">
        <v>1</v>
      </c>
      <c r="N36">
        <v>0</v>
      </c>
      <c r="O36">
        <v>23250</v>
      </c>
      <c r="P36" s="7" t="str">
        <f>HYPERLINK("https://lk.platformaofd.ru/web/noauth/cheque/id?id=66860197633&amp;date=1642672944000&amp;fp=2460422168000","Посмотреть чек")</f>
        <v>Посмотреть чек</v>
      </c>
    </row>
    <row r="37" spans="1:16">
      <c r="A37" s="1">
        <v>44582.519444444442</v>
      </c>
      <c r="B37" t="s">
        <v>19</v>
      </c>
      <c r="C37" t="s">
        <v>20</v>
      </c>
      <c r="D37" t="s">
        <v>21</v>
      </c>
      <c r="E37" t="s">
        <v>22</v>
      </c>
      <c r="F37" s="2">
        <v>56</v>
      </c>
      <c r="G37" t="s">
        <v>37</v>
      </c>
      <c r="H37" t="s">
        <v>24</v>
      </c>
      <c r="I37">
        <v>34</v>
      </c>
      <c r="J37">
        <v>0</v>
      </c>
      <c r="K37">
        <v>34</v>
      </c>
      <c r="L37">
        <v>15000</v>
      </c>
      <c r="M37">
        <v>34</v>
      </c>
      <c r="N37">
        <v>14400</v>
      </c>
      <c r="O37">
        <v>600</v>
      </c>
      <c r="P37" s="7" t="str">
        <f>HYPERLINK("https://lk.platformaofd.ru/web/noauth/cheque/id?id=66889990222&amp;date=1642732064000&amp;fp=971084374000","Посмотреть чек")</f>
        <v>Посмотреть чек</v>
      </c>
    </row>
    <row r="38" spans="1:16">
      <c r="A38" s="1">
        <v>44582.777777777781</v>
      </c>
      <c r="B38" t="s">
        <v>19</v>
      </c>
      <c r="C38" t="s">
        <v>25</v>
      </c>
      <c r="D38" t="s">
        <v>21</v>
      </c>
      <c r="E38" t="s">
        <v>26</v>
      </c>
      <c r="F38" s="2">
        <v>100</v>
      </c>
      <c r="G38" t="s">
        <v>57</v>
      </c>
      <c r="H38" t="s">
        <v>24</v>
      </c>
      <c r="I38">
        <v>35</v>
      </c>
      <c r="J38">
        <v>0</v>
      </c>
      <c r="K38">
        <v>35</v>
      </c>
      <c r="L38">
        <v>1129800</v>
      </c>
      <c r="M38">
        <v>33</v>
      </c>
      <c r="N38">
        <v>0</v>
      </c>
      <c r="O38">
        <v>1129800</v>
      </c>
      <c r="P38" s="7" t="str">
        <f>HYPERLINK("https://lk.platformaofd.ru/web/noauth/cheque/id?id=66902879078&amp;date=1642754554000&amp;fp=527592527000","Посмотреть чек")</f>
        <v>Посмотреть чек</v>
      </c>
    </row>
    <row r="39" spans="1:16">
      <c r="A39" s="1">
        <v>44583.547222222223</v>
      </c>
      <c r="B39" t="s">
        <v>19</v>
      </c>
      <c r="C39" t="s">
        <v>20</v>
      </c>
      <c r="D39" t="s">
        <v>21</v>
      </c>
      <c r="E39" t="s">
        <v>22</v>
      </c>
      <c r="F39" s="2">
        <v>57</v>
      </c>
      <c r="G39" t="s">
        <v>58</v>
      </c>
      <c r="H39" t="s">
        <v>24</v>
      </c>
      <c r="I39">
        <v>45</v>
      </c>
      <c r="J39">
        <v>0</v>
      </c>
      <c r="K39">
        <v>45</v>
      </c>
      <c r="L39">
        <v>18900</v>
      </c>
      <c r="M39">
        <v>45</v>
      </c>
      <c r="N39">
        <v>18300</v>
      </c>
      <c r="O39">
        <v>600</v>
      </c>
      <c r="P39" s="7" t="str">
        <f>HYPERLINK("https://lk.platformaofd.ru/web/noauth/cheque/id?id=66940346781&amp;date=1642820854000&amp;fp=3191555107000","Посмотреть чек")</f>
        <v>Посмотреть чек</v>
      </c>
    </row>
    <row r="40" spans="1:16">
      <c r="A40" s="1">
        <v>44583.756944444445</v>
      </c>
      <c r="B40" t="s">
        <v>19</v>
      </c>
      <c r="C40" t="s">
        <v>25</v>
      </c>
      <c r="D40" t="s">
        <v>21</v>
      </c>
      <c r="E40" t="s">
        <v>26</v>
      </c>
      <c r="F40" s="2">
        <v>101</v>
      </c>
      <c r="G40" t="s">
        <v>59</v>
      </c>
      <c r="H40" t="s">
        <v>24</v>
      </c>
      <c r="I40">
        <v>8</v>
      </c>
      <c r="J40">
        <v>0</v>
      </c>
      <c r="K40">
        <v>8</v>
      </c>
      <c r="L40">
        <v>157750</v>
      </c>
      <c r="M40">
        <v>6</v>
      </c>
      <c r="N40">
        <v>0</v>
      </c>
      <c r="O40">
        <v>157750</v>
      </c>
      <c r="P40" s="7" t="str">
        <f>HYPERLINK("https://lk.platformaofd.ru/web/noauth/cheque/id?id=66950101728&amp;date=1642839124000&amp;fp=2566672173000","Посмотреть чек")</f>
        <v>Посмотреть чек</v>
      </c>
    </row>
    <row r="41" spans="1:16">
      <c r="A41" s="1">
        <v>44584.566666666666</v>
      </c>
      <c r="B41" t="s">
        <v>19</v>
      </c>
      <c r="C41" t="s">
        <v>20</v>
      </c>
      <c r="D41" t="s">
        <v>21</v>
      </c>
      <c r="E41" t="s">
        <v>22</v>
      </c>
      <c r="F41" s="2">
        <v>58</v>
      </c>
      <c r="G41" t="s">
        <v>60</v>
      </c>
      <c r="H41" t="s">
        <v>24</v>
      </c>
      <c r="I41">
        <v>48</v>
      </c>
      <c r="J41">
        <v>0</v>
      </c>
      <c r="K41">
        <v>48</v>
      </c>
      <c r="L41">
        <v>19400</v>
      </c>
      <c r="M41">
        <v>48</v>
      </c>
      <c r="N41">
        <v>18500</v>
      </c>
      <c r="O41">
        <v>900</v>
      </c>
      <c r="P41" s="7" t="str">
        <f>HYPERLINK("https://lk.platformaofd.ru/web/noauth/cheque/id?id=66986191926&amp;date=1642908964000&amp;fp=837291119000","Посмотреть чек")</f>
        <v>Посмотреть чек</v>
      </c>
    </row>
    <row r="42" spans="1:16">
      <c r="A42" s="1">
        <v>44584.710416666669</v>
      </c>
      <c r="B42" t="s">
        <v>19</v>
      </c>
      <c r="C42" t="s">
        <v>25</v>
      </c>
      <c r="D42" t="s">
        <v>21</v>
      </c>
      <c r="E42" t="s">
        <v>26</v>
      </c>
      <c r="F42" s="2">
        <v>102</v>
      </c>
      <c r="G42" t="s">
        <v>61</v>
      </c>
      <c r="H42" t="s">
        <v>24</v>
      </c>
      <c r="I42">
        <v>8</v>
      </c>
      <c r="J42">
        <v>0</v>
      </c>
      <c r="K42">
        <v>8</v>
      </c>
      <c r="L42">
        <v>171250</v>
      </c>
      <c r="M42">
        <v>8</v>
      </c>
      <c r="N42">
        <v>0</v>
      </c>
      <c r="O42">
        <v>171250</v>
      </c>
      <c r="P42" s="7" t="str">
        <f>HYPERLINK("https://lk.platformaofd.ru/web/noauth/cheque/id?id=66990954347&amp;date=1642921504000&amp;fp=4131373248000","Посмотреть чек")</f>
        <v>Посмотреть чек</v>
      </c>
    </row>
    <row r="43" spans="1:16">
      <c r="A43" s="1">
        <v>44585.748611111114</v>
      </c>
      <c r="B43" t="s">
        <v>19</v>
      </c>
      <c r="C43" t="s">
        <v>20</v>
      </c>
      <c r="D43" t="s">
        <v>21</v>
      </c>
      <c r="E43" t="s">
        <v>22</v>
      </c>
      <c r="F43" s="2">
        <v>59</v>
      </c>
      <c r="G43" t="s">
        <v>62</v>
      </c>
      <c r="H43" t="s">
        <v>24</v>
      </c>
      <c r="I43">
        <v>34</v>
      </c>
      <c r="J43">
        <v>0</v>
      </c>
      <c r="K43">
        <v>34</v>
      </c>
      <c r="L43">
        <v>13900</v>
      </c>
      <c r="M43">
        <v>34</v>
      </c>
      <c r="N43">
        <v>12500</v>
      </c>
      <c r="O43">
        <v>1400</v>
      </c>
      <c r="P43" s="7" t="str">
        <f>HYPERLINK("https://lk.platformaofd.ru/web/noauth/cheque/id?id=67035817551&amp;date=1643011064000&amp;fp=2481221921000","Посмотреть чек")</f>
        <v>Посмотреть чек</v>
      </c>
    </row>
    <row r="44" spans="1:16">
      <c r="A44" s="1">
        <v>44585.788194444445</v>
      </c>
      <c r="B44" t="s">
        <v>19</v>
      </c>
      <c r="C44" t="s">
        <v>25</v>
      </c>
      <c r="D44" t="s">
        <v>21</v>
      </c>
      <c r="E44" t="s">
        <v>26</v>
      </c>
      <c r="F44" s="2">
        <v>103</v>
      </c>
      <c r="G44" t="s">
        <v>63</v>
      </c>
      <c r="H44" t="s">
        <v>24</v>
      </c>
      <c r="I44">
        <v>44</v>
      </c>
      <c r="J44">
        <v>0</v>
      </c>
      <c r="K44">
        <v>44</v>
      </c>
      <c r="L44">
        <v>1476950</v>
      </c>
      <c r="M44">
        <v>44</v>
      </c>
      <c r="N44">
        <v>0</v>
      </c>
      <c r="O44">
        <v>1476950</v>
      </c>
      <c r="P44" s="7" t="str">
        <f>HYPERLINK("https://lk.platformaofd.ru/web/noauth/cheque/id?id=67038992417&amp;date=1643014654000&amp;fp=3688766277000","Посмотреть чек")</f>
        <v>Посмотреть чек</v>
      </c>
    </row>
    <row r="45" spans="1:16">
      <c r="A45" s="1">
        <v>44586.685416666667</v>
      </c>
      <c r="B45" t="s">
        <v>19</v>
      </c>
      <c r="C45" t="s">
        <v>20</v>
      </c>
      <c r="D45" t="s">
        <v>21</v>
      </c>
      <c r="E45" t="s">
        <v>22</v>
      </c>
      <c r="F45" s="2">
        <v>60</v>
      </c>
      <c r="G45" t="s">
        <v>64</v>
      </c>
      <c r="H45" t="s">
        <v>24</v>
      </c>
      <c r="I45">
        <v>44</v>
      </c>
      <c r="J45">
        <v>0</v>
      </c>
      <c r="K45">
        <v>44</v>
      </c>
      <c r="L45">
        <v>18900</v>
      </c>
      <c r="M45">
        <v>44</v>
      </c>
      <c r="N45">
        <v>18300</v>
      </c>
      <c r="O45">
        <v>600</v>
      </c>
      <c r="P45" s="7" t="str">
        <f>HYPERLINK("https://lk.platformaofd.ru/web/noauth/cheque/id?id=67076457475&amp;date=1643092024000&amp;fp=1914670408000","Посмотреть чек")</f>
        <v>Посмотреть чек</v>
      </c>
    </row>
    <row r="46" spans="1:16">
      <c r="A46" s="1">
        <v>44586.810416666667</v>
      </c>
      <c r="B46" t="s">
        <v>19</v>
      </c>
      <c r="C46" t="s">
        <v>25</v>
      </c>
      <c r="D46" t="s">
        <v>21</v>
      </c>
      <c r="E46" t="s">
        <v>26</v>
      </c>
      <c r="F46" s="2">
        <v>104</v>
      </c>
      <c r="G46" t="s">
        <v>65</v>
      </c>
      <c r="H46" t="s">
        <v>24</v>
      </c>
      <c r="I46">
        <v>61</v>
      </c>
      <c r="J46">
        <v>0</v>
      </c>
      <c r="K46">
        <v>61</v>
      </c>
      <c r="L46">
        <v>1636835</v>
      </c>
      <c r="M46">
        <v>61</v>
      </c>
      <c r="N46">
        <v>0</v>
      </c>
      <c r="O46">
        <v>1636835</v>
      </c>
      <c r="P46" s="7" t="str">
        <f>HYPERLINK("https://lk.platformaofd.ru/web/noauth/cheque/id?id=67085701176&amp;date=1643102944000&amp;fp=1930026921000","Посмотреть чек")</f>
        <v>Посмотреть чек</v>
      </c>
    </row>
    <row r="47" spans="1:16">
      <c r="A47" s="1">
        <v>44587.526388888888</v>
      </c>
      <c r="B47" t="s">
        <v>19</v>
      </c>
      <c r="C47" t="s">
        <v>20</v>
      </c>
      <c r="D47" t="s">
        <v>21</v>
      </c>
      <c r="E47" t="s">
        <v>22</v>
      </c>
      <c r="F47" s="2">
        <v>61</v>
      </c>
      <c r="G47" t="s">
        <v>44</v>
      </c>
      <c r="H47" t="s">
        <v>24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7" t="str">
        <f>HYPERLINK("https://lk.platformaofd.ru/web/noauth/cheque/id?id=67117064416&amp;date=1643164684000&amp;fp=1868500936000","Посмотреть чек")</f>
        <v>Посмотреть чек</v>
      </c>
    </row>
    <row r="48" spans="1:16">
      <c r="A48" s="1">
        <v>44587.581250000003</v>
      </c>
      <c r="B48" t="s">
        <v>19</v>
      </c>
      <c r="C48" t="s">
        <v>20</v>
      </c>
      <c r="D48" t="s">
        <v>21</v>
      </c>
      <c r="E48" t="s">
        <v>22</v>
      </c>
      <c r="F48" s="2">
        <v>62</v>
      </c>
      <c r="G48" t="s">
        <v>66</v>
      </c>
      <c r="H48" t="s">
        <v>24</v>
      </c>
      <c r="I48">
        <v>46</v>
      </c>
      <c r="J48">
        <v>0</v>
      </c>
      <c r="K48">
        <v>46</v>
      </c>
      <c r="L48">
        <v>19300</v>
      </c>
      <c r="M48">
        <v>46</v>
      </c>
      <c r="N48">
        <v>19000</v>
      </c>
      <c r="O48">
        <v>300</v>
      </c>
      <c r="P48" s="7" t="str">
        <f>HYPERLINK("https://lk.platformaofd.ru/web/noauth/cheque/id?id=67118115276&amp;date=1643169424000&amp;fp=818267625000","Посмотреть чек")</f>
        <v>Посмотреть чек</v>
      </c>
    </row>
    <row r="49" spans="1:16">
      <c r="A49" s="1">
        <v>44587.802083333336</v>
      </c>
      <c r="B49" t="s">
        <v>19</v>
      </c>
      <c r="C49" t="s">
        <v>25</v>
      </c>
      <c r="D49" t="s">
        <v>21</v>
      </c>
      <c r="E49" t="s">
        <v>26</v>
      </c>
      <c r="F49" s="2">
        <v>105</v>
      </c>
      <c r="G49" t="s">
        <v>67</v>
      </c>
      <c r="H49" t="s">
        <v>24</v>
      </c>
      <c r="I49">
        <v>16</v>
      </c>
      <c r="J49">
        <v>0</v>
      </c>
      <c r="K49">
        <v>16</v>
      </c>
      <c r="L49">
        <v>476900</v>
      </c>
      <c r="M49">
        <v>16</v>
      </c>
      <c r="N49">
        <v>0</v>
      </c>
      <c r="O49">
        <v>476900</v>
      </c>
      <c r="P49" s="7" t="str">
        <f>HYPERLINK("https://lk.platformaofd.ru/web/noauth/cheque/id?id=67131021127&amp;date=1643188644000&amp;fp=2605824857000","Посмотреть чек")</f>
        <v>Посмотреть чек</v>
      </c>
    </row>
    <row r="50" spans="1:16">
      <c r="A50" s="1">
        <v>44588.64166666667</v>
      </c>
      <c r="B50" t="s">
        <v>19</v>
      </c>
      <c r="C50" t="s">
        <v>20</v>
      </c>
      <c r="D50" t="s">
        <v>21</v>
      </c>
      <c r="E50" t="s">
        <v>22</v>
      </c>
      <c r="F50" s="2">
        <v>63</v>
      </c>
      <c r="G50" t="s">
        <v>68</v>
      </c>
      <c r="H50" t="s">
        <v>24</v>
      </c>
      <c r="I50">
        <v>37</v>
      </c>
      <c r="J50">
        <v>0</v>
      </c>
      <c r="K50">
        <v>37</v>
      </c>
      <c r="L50">
        <v>15300</v>
      </c>
      <c r="M50">
        <v>37</v>
      </c>
      <c r="N50">
        <v>13800</v>
      </c>
      <c r="O50">
        <v>1500</v>
      </c>
      <c r="P50" s="7" t="str">
        <f>HYPERLINK("https://lk.platformaofd.ru/web/noauth/cheque/id?id=67165625531&amp;date=1643261024000&amp;fp=3363213215000","Посмотреть чек")</f>
        <v>Посмотреть чек</v>
      </c>
    </row>
    <row r="51" spans="1:16">
      <c r="A51" s="1">
        <v>44588.786805555559</v>
      </c>
      <c r="B51" t="s">
        <v>19</v>
      </c>
      <c r="C51" t="s">
        <v>25</v>
      </c>
      <c r="D51" t="s">
        <v>21</v>
      </c>
      <c r="E51" t="s">
        <v>26</v>
      </c>
      <c r="F51" s="2">
        <v>106</v>
      </c>
      <c r="G51" t="s">
        <v>69</v>
      </c>
      <c r="H51" t="s">
        <v>24</v>
      </c>
      <c r="I51">
        <v>7</v>
      </c>
      <c r="J51">
        <v>0</v>
      </c>
      <c r="K51">
        <v>7</v>
      </c>
      <c r="L51">
        <v>266400</v>
      </c>
      <c r="M51">
        <v>7</v>
      </c>
      <c r="N51">
        <v>0</v>
      </c>
      <c r="O51">
        <v>266400</v>
      </c>
      <c r="P51" s="7" t="str">
        <f>HYPERLINK("https://lk.platformaofd.ru/web/noauth/cheque/id?id=67175138285&amp;date=1643273724000&amp;fp=2708597314000","Посмотреть чек")</f>
        <v>Посмотреть чек</v>
      </c>
    </row>
    <row r="52" spans="1:16">
      <c r="A52" s="1">
        <v>44589.418749999997</v>
      </c>
      <c r="B52" t="s">
        <v>19</v>
      </c>
      <c r="C52" t="s">
        <v>25</v>
      </c>
      <c r="D52" t="s">
        <v>21</v>
      </c>
      <c r="E52" t="s">
        <v>26</v>
      </c>
      <c r="F52" s="2">
        <v>107</v>
      </c>
      <c r="G52" t="s">
        <v>44</v>
      </c>
      <c r="H52" t="s">
        <v>24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7" t="str">
        <f>HYPERLINK("https://lk.platformaofd.ru/web/noauth/cheque/id?id=67206937895&amp;date=1643328344000&amp;fp=430181402000","Посмотреть чек")</f>
        <v>Посмотреть чек</v>
      </c>
    </row>
    <row r="53" spans="1:16">
      <c r="A53" s="1">
        <v>44589.67083333333</v>
      </c>
      <c r="B53" t="s">
        <v>19</v>
      </c>
      <c r="C53" t="s">
        <v>20</v>
      </c>
      <c r="D53" t="s">
        <v>21</v>
      </c>
      <c r="E53" t="s">
        <v>22</v>
      </c>
      <c r="F53" s="2">
        <v>64</v>
      </c>
      <c r="G53" t="s">
        <v>70</v>
      </c>
      <c r="H53" t="s">
        <v>24</v>
      </c>
      <c r="I53">
        <v>41</v>
      </c>
      <c r="J53">
        <v>0</v>
      </c>
      <c r="K53">
        <v>41</v>
      </c>
      <c r="L53">
        <v>17300</v>
      </c>
      <c r="M53">
        <v>41</v>
      </c>
      <c r="N53">
        <v>17300</v>
      </c>
      <c r="O53">
        <v>0</v>
      </c>
      <c r="P53" s="7" t="str">
        <f>HYPERLINK("https://lk.platformaofd.ru/web/noauth/cheque/id?id=67212702262&amp;date=1643349934000&amp;fp=930607835000","Посмотреть чек")</f>
        <v>Посмотреть чек</v>
      </c>
    </row>
    <row r="54" spans="1:16">
      <c r="A54" s="1">
        <v>44589.745833333334</v>
      </c>
      <c r="B54" t="s">
        <v>19</v>
      </c>
      <c r="C54" t="s">
        <v>25</v>
      </c>
      <c r="D54" t="s">
        <v>21</v>
      </c>
      <c r="E54" t="s">
        <v>26</v>
      </c>
      <c r="F54" s="2">
        <v>108</v>
      </c>
      <c r="G54" t="s">
        <v>71</v>
      </c>
      <c r="H54" t="s">
        <v>24</v>
      </c>
      <c r="I54">
        <v>11</v>
      </c>
      <c r="J54">
        <v>0</v>
      </c>
      <c r="K54">
        <v>11</v>
      </c>
      <c r="L54">
        <v>331250</v>
      </c>
      <c r="M54">
        <v>11</v>
      </c>
      <c r="N54">
        <v>0</v>
      </c>
      <c r="O54">
        <v>331250</v>
      </c>
      <c r="P54" s="7" t="str">
        <f>HYPERLINK("https://lk.platformaofd.ru/web/noauth/cheque/id?id=67217885700&amp;date=1643356594000&amp;fp=4046558378000","Посмотреть чек")</f>
        <v>Посмотреть чек</v>
      </c>
    </row>
    <row r="55" spans="1:16">
      <c r="A55" s="1">
        <v>44590.568749999999</v>
      </c>
      <c r="B55" t="s">
        <v>19</v>
      </c>
      <c r="C55" t="s">
        <v>20</v>
      </c>
      <c r="D55" t="s">
        <v>21</v>
      </c>
      <c r="E55" t="s">
        <v>22</v>
      </c>
      <c r="F55" s="2">
        <v>65</v>
      </c>
      <c r="G55" t="s">
        <v>72</v>
      </c>
      <c r="H55" t="s">
        <v>24</v>
      </c>
      <c r="I55">
        <v>52</v>
      </c>
      <c r="J55">
        <v>0</v>
      </c>
      <c r="K55">
        <v>52</v>
      </c>
      <c r="L55">
        <v>39600</v>
      </c>
      <c r="M55">
        <v>52</v>
      </c>
      <c r="N55">
        <v>39600</v>
      </c>
      <c r="O55">
        <v>0</v>
      </c>
      <c r="P55" s="7" t="str">
        <f>HYPERLINK("https://lk.platformaofd.ru/web/noauth/cheque/id?id=67257502149&amp;date=1643427551000&amp;fp=1168507099000","Посмотреть чек")</f>
        <v>Посмотреть чек</v>
      </c>
    </row>
    <row r="56" spans="1:16">
      <c r="A56" s="1">
        <v>44590.695138888892</v>
      </c>
      <c r="B56" t="s">
        <v>19</v>
      </c>
      <c r="C56" t="s">
        <v>25</v>
      </c>
      <c r="D56" t="s">
        <v>21</v>
      </c>
      <c r="E56" t="s">
        <v>26</v>
      </c>
      <c r="F56" s="2">
        <v>109</v>
      </c>
      <c r="G56" t="s">
        <v>73</v>
      </c>
      <c r="H56" t="s">
        <v>24</v>
      </c>
      <c r="I56">
        <v>1</v>
      </c>
      <c r="J56">
        <v>0</v>
      </c>
      <c r="K56">
        <v>1</v>
      </c>
      <c r="L56">
        <v>19000</v>
      </c>
      <c r="M56">
        <v>1</v>
      </c>
      <c r="N56">
        <v>0</v>
      </c>
      <c r="O56">
        <v>19000</v>
      </c>
      <c r="P56" s="7" t="str">
        <f>HYPERLINK("https://lk.platformaofd.ru/web/noauth/cheque/id?id=67262341085&amp;date=1643438574000&amp;fp=1996529326000","Посмотреть чек")</f>
        <v>Посмотреть чек</v>
      </c>
    </row>
    <row r="57" spans="1:16">
      <c r="A57" s="1">
        <v>44591.570833333331</v>
      </c>
      <c r="B57" t="s">
        <v>19</v>
      </c>
      <c r="C57" t="s">
        <v>20</v>
      </c>
      <c r="D57" t="s">
        <v>21</v>
      </c>
      <c r="E57" t="s">
        <v>22</v>
      </c>
      <c r="F57" s="2">
        <v>66</v>
      </c>
      <c r="G57" t="s">
        <v>74</v>
      </c>
      <c r="H57" t="s">
        <v>24</v>
      </c>
      <c r="I57">
        <v>50</v>
      </c>
      <c r="J57">
        <v>0</v>
      </c>
      <c r="K57">
        <v>50</v>
      </c>
      <c r="L57">
        <v>36900</v>
      </c>
      <c r="M57">
        <v>50</v>
      </c>
      <c r="N57">
        <v>36600</v>
      </c>
      <c r="O57">
        <v>300</v>
      </c>
      <c r="P57" s="7" t="str">
        <f>HYPERLINK("https://lk.platformaofd.ru/web/noauth/cheque/id?id=67302308938&amp;date=1643514124000&amp;fp=346663138000","Посмотреть чек")</f>
        <v>Посмотреть чек</v>
      </c>
    </row>
    <row r="58" spans="1:16">
      <c r="A58" s="1">
        <v>44592.531944444447</v>
      </c>
      <c r="B58" t="s">
        <v>19</v>
      </c>
      <c r="C58" t="s">
        <v>20</v>
      </c>
      <c r="D58" t="s">
        <v>21</v>
      </c>
      <c r="E58" t="s">
        <v>22</v>
      </c>
      <c r="F58" s="2">
        <v>67</v>
      </c>
      <c r="G58" t="s">
        <v>75</v>
      </c>
      <c r="H58" t="s">
        <v>24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7" t="str">
        <f>HYPERLINK("https://lk.platformaofd.ru/web/noauth/cheque/id?id=67341621326&amp;date=1643597164000&amp;fp=1438779667000","Посмотреть чек")</f>
        <v>Посмотреть чек</v>
      </c>
    </row>
    <row r="59" spans="1:16">
      <c r="A59" s="1">
        <v>44592.570833333331</v>
      </c>
      <c r="B59" t="s">
        <v>19</v>
      </c>
      <c r="C59" t="s">
        <v>20</v>
      </c>
      <c r="D59" t="s">
        <v>21</v>
      </c>
      <c r="E59" t="s">
        <v>22</v>
      </c>
      <c r="F59" s="2">
        <v>68</v>
      </c>
      <c r="G59" t="s">
        <v>76</v>
      </c>
      <c r="H59" t="s">
        <v>24</v>
      </c>
      <c r="I59">
        <v>37</v>
      </c>
      <c r="J59">
        <v>0</v>
      </c>
      <c r="K59">
        <v>37</v>
      </c>
      <c r="L59">
        <v>24700</v>
      </c>
      <c r="M59">
        <v>37</v>
      </c>
      <c r="N59">
        <v>15400</v>
      </c>
      <c r="O59">
        <v>9300</v>
      </c>
      <c r="P59" s="7" t="str">
        <f>HYPERLINK("https://lk.platformaofd.ru/web/noauth/cheque/id?id=67342283844&amp;date=1643600484000&amp;fp=983626544000","Посмотреть чек")</f>
        <v>Посмотреть чек</v>
      </c>
    </row>
    <row r="60" spans="1:16">
      <c r="A60" s="1">
        <v>44592.76458333333</v>
      </c>
      <c r="B60" t="s">
        <v>19</v>
      </c>
      <c r="C60" t="s">
        <v>25</v>
      </c>
      <c r="D60" t="s">
        <v>21</v>
      </c>
      <c r="E60" t="s">
        <v>26</v>
      </c>
      <c r="F60" s="2">
        <v>110</v>
      </c>
      <c r="G60" t="s">
        <v>77</v>
      </c>
      <c r="H60" t="s">
        <v>24</v>
      </c>
      <c r="I60">
        <v>12</v>
      </c>
      <c r="J60">
        <v>0</v>
      </c>
      <c r="K60">
        <v>12</v>
      </c>
      <c r="L60">
        <v>260833</v>
      </c>
      <c r="M60">
        <v>12</v>
      </c>
      <c r="N60">
        <v>0</v>
      </c>
      <c r="O60">
        <v>260833</v>
      </c>
      <c r="P60" s="7" t="str">
        <f>HYPERLINK("https://lk.platformaofd.ru/web/noauth/cheque/id?id=67352312080&amp;date=1643617405000&amp;fp=1883736993000","Посмотреть чек")</f>
        <v>Посмотреть чек</v>
      </c>
    </row>
    <row r="61" spans="1:16">
      <c r="A61" s="5" t="s">
        <v>78</v>
      </c>
      <c r="B61" s="5"/>
      <c r="C61" s="5"/>
      <c r="D61" s="5"/>
      <c r="E61" s="5"/>
      <c r="F61" s="5"/>
      <c r="G61" s="5"/>
      <c r="H61" s="5"/>
      <c r="I61" s="5">
        <f t="shared" ref="I61:O61" si="0">SUBTOTAL(9,I3:I60)</f>
        <v>1189</v>
      </c>
      <c r="J61" s="5">
        <f t="shared" si="0"/>
        <v>0</v>
      </c>
      <c r="K61" s="5">
        <f t="shared" si="0"/>
        <v>1189</v>
      </c>
      <c r="L61" s="5">
        <f t="shared" si="0"/>
        <v>7356647.0300000003</v>
      </c>
      <c r="M61" s="5">
        <f t="shared" si="0"/>
        <v>1185</v>
      </c>
      <c r="N61" s="5">
        <f t="shared" si="0"/>
        <v>304500</v>
      </c>
      <c r="O61" s="5">
        <f t="shared" si="0"/>
        <v>7052147.0300000003</v>
      </c>
      <c r="P61" s="10"/>
    </row>
  </sheetData>
  <autoFilter ref="A2:P60"/>
  <mergeCells count="3">
    <mergeCell ref="A1:H1"/>
    <mergeCell ref="I1:K1"/>
    <mergeCell ref="L1:O1"/>
  </mergeCells>
  <hyperlinks>
    <hyperlink ref="Q21" r:id="rId1"/>
    <hyperlink ref="Q23" r:id="rId2"/>
    <hyperlink ref="Q2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RePack by Diakov</cp:lastModifiedBy>
  <dcterms:created xsi:type="dcterms:W3CDTF">2023-11-17T13:36:18Z</dcterms:created>
  <dcterms:modified xsi:type="dcterms:W3CDTF">2023-11-20T12:11:20Z</dcterms:modified>
</cp:coreProperties>
</file>