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kar\Desktop\Calcscout24\Website creation\calcscout\public\sheets\"/>
    </mc:Choice>
  </mc:AlternateContent>
  <xr:revisionPtr revIDLastSave="0" documentId="13_ncr:1_{140D5B1A-2E9F-4A99-A951-CCE1AC20129D}" xr6:coauthVersionLast="45" xr6:coauthVersionMax="45" xr10:uidLastSave="{00000000-0000-0000-0000-000000000000}"/>
  <bookViews>
    <workbookView xWindow="810" yWindow="-120" windowWidth="23310" windowHeight="13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" i="1" l="1"/>
  <c r="N38" i="1"/>
  <c r="N42" i="1" s="1"/>
  <c r="M38" i="1"/>
  <c r="M42" i="1" s="1"/>
  <c r="M41" i="1"/>
  <c r="K38" i="1"/>
  <c r="K42" i="1" s="1"/>
  <c r="J38" i="1"/>
  <c r="J42" i="1" s="1"/>
  <c r="I38" i="1"/>
  <c r="I42" i="1" s="1"/>
  <c r="H38" i="1"/>
  <c r="H42" i="1" s="1"/>
  <c r="G38" i="1"/>
  <c r="G42" i="1" s="1"/>
  <c r="F38" i="1"/>
  <c r="F42" i="1" s="1"/>
  <c r="E38" i="1"/>
  <c r="E42" i="1" s="1"/>
  <c r="L38" i="1"/>
  <c r="L42" i="1" s="1"/>
  <c r="F37" i="1"/>
  <c r="G37" i="1"/>
  <c r="H37" i="1"/>
  <c r="I37" i="1"/>
  <c r="J37" i="1"/>
  <c r="K37" i="1"/>
  <c r="L37" i="1"/>
  <c r="M37" i="1"/>
  <c r="N37" i="1"/>
  <c r="E37" i="1"/>
  <c r="F36" i="1"/>
  <c r="G36" i="1"/>
  <c r="H36" i="1"/>
  <c r="I36" i="1"/>
  <c r="J36" i="1"/>
  <c r="K36" i="1"/>
  <c r="L36" i="1"/>
  <c r="M36" i="1"/>
  <c r="N36" i="1"/>
  <c r="E36" i="1"/>
  <c r="E35" i="1"/>
  <c r="F34" i="1"/>
  <c r="G34" i="1" s="1"/>
  <c r="H34" i="1" s="1"/>
  <c r="I34" i="1" s="1"/>
  <c r="J34" i="1" s="1"/>
  <c r="K34" i="1" s="1"/>
  <c r="L34" i="1" s="1"/>
  <c r="M34" i="1" s="1"/>
  <c r="N34" i="1" s="1"/>
  <c r="I41" i="1" l="1"/>
  <c r="L41" i="1"/>
  <c r="H41" i="1"/>
  <c r="E41" i="1"/>
  <c r="K41" i="1"/>
  <c r="G41" i="1"/>
  <c r="N41" i="1"/>
  <c r="J41" i="1"/>
  <c r="F41" i="1"/>
  <c r="F28" i="1"/>
  <c r="N33" i="1" s="1"/>
  <c r="G33" i="1" l="1"/>
  <c r="K33" i="1"/>
  <c r="L33" i="1"/>
  <c r="H33" i="1"/>
  <c r="E33" i="1"/>
  <c r="I33" i="1"/>
  <c r="M33" i="1"/>
  <c r="F33" i="1"/>
  <c r="J33" i="1"/>
  <c r="F26" i="1"/>
  <c r="F22" i="1"/>
  <c r="F24" i="1"/>
  <c r="F23" i="1" s="1"/>
  <c r="F15" i="1"/>
  <c r="F11" i="1"/>
  <c r="F12" i="1"/>
  <c r="F18" i="1" s="1"/>
  <c r="F17" i="1" l="1"/>
  <c r="C32" i="1"/>
  <c r="F13" i="1"/>
  <c r="F35" i="1"/>
  <c r="G35" i="1" s="1"/>
  <c r="C42" i="1" l="1"/>
  <c r="C41" i="1"/>
  <c r="E43" i="1"/>
  <c r="H35" i="1"/>
  <c r="F43" i="1"/>
  <c r="G43" i="1" l="1"/>
  <c r="I35" i="1"/>
  <c r="H43" i="1"/>
  <c r="J35" i="1" l="1"/>
  <c r="I43" i="1" l="1"/>
  <c r="K35" i="1"/>
  <c r="J43" i="1"/>
  <c r="L35" i="1" l="1"/>
  <c r="K43" i="1" l="1"/>
  <c r="M35" i="1"/>
  <c r="N35" i="1" l="1"/>
  <c r="L43" i="1"/>
  <c r="M43" i="1" l="1"/>
  <c r="N43" i="1" l="1"/>
</calcChain>
</file>

<file path=xl/sharedStrings.xml><?xml version="1.0" encoding="utf-8"?>
<sst xmlns="http://schemas.openxmlformats.org/spreadsheetml/2006/main" count="69" uniqueCount="64">
  <si>
    <t>Inputs</t>
  </si>
  <si>
    <t>Calculation</t>
  </si>
  <si>
    <t>Outputs</t>
  </si>
  <si>
    <t>Loan Principal</t>
  </si>
  <si>
    <t>Number of Periods</t>
  </si>
  <si>
    <t>Interest to be repaid</t>
  </si>
  <si>
    <t>Using EXCEL fin functions</t>
  </si>
  <si>
    <t>Principal to be repaid</t>
  </si>
  <si>
    <t>Total repaid</t>
  </si>
  <si>
    <t>Average principal paid per year</t>
  </si>
  <si>
    <t>Average interest paid per year</t>
  </si>
  <si>
    <t>Annual Interest Rate</t>
  </si>
  <si>
    <t>Case 1 (interest rate known)</t>
  </si>
  <si>
    <t>Monthly payment</t>
  </si>
  <si>
    <t>Periodicity</t>
  </si>
  <si>
    <t>Case 2 (monthly payment known)</t>
  </si>
  <si>
    <t>Total to be paid</t>
  </si>
  <si>
    <t>Effective interest rate</t>
  </si>
  <si>
    <t>inputLoanAmount</t>
  </si>
  <si>
    <t>inputAnnualInterest</t>
  </si>
  <si>
    <t>inputNumberOfPeriods</t>
  </si>
  <si>
    <t>inputMonthlyPayment</t>
  </si>
  <si>
    <t>outputTotalPrincipalRepaidC1</t>
  </si>
  <si>
    <t>outputTotalInterestRepaidC1</t>
  </si>
  <si>
    <t>outputTotalPrincipalInterestRepaidC1</t>
  </si>
  <si>
    <t>outputMonthlyPaymentC1</t>
  </si>
  <si>
    <t>outputPrincipalPerYearC1</t>
  </si>
  <si>
    <t>outputInterestPerYearC1</t>
  </si>
  <si>
    <t>outputEffectiveInterestC2</t>
  </si>
  <si>
    <t>outputTotalPrincipalInterestRepaidC2</t>
  </si>
  <si>
    <t>outputTotalInterestRepaidC2</t>
  </si>
  <si>
    <t>outputTotalPrincipalRepaidC2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</si>
  <si>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</si>
  <si>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</si>
  <si>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</si>
  <si>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</si>
  <si>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</si>
  <si>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</si>
  <si>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</si>
  <si>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</si>
  <si>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</si>
  <si>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</si>
  <si>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Start Num</t>
  </si>
  <si>
    <t>End Num</t>
  </si>
  <si>
    <t>Flag</t>
  </si>
  <si>
    <t>Number</t>
  </si>
  <si>
    <t>Period name</t>
  </si>
  <si>
    <t>Supporting</t>
  </si>
  <si>
    <t>Full years</t>
  </si>
  <si>
    <t>Interest payments</t>
  </si>
  <si>
    <t>Principal</t>
  </si>
  <si>
    <t>Total</t>
  </si>
  <si>
    <t>Repayment profile</t>
  </si>
  <si>
    <t>Month start (normal)</t>
  </si>
  <si>
    <t>Month end (normal)</t>
  </si>
  <si>
    <t>Month start (calculated)</t>
  </si>
  <si>
    <t>Month end (calculated)</t>
  </si>
  <si>
    <t>Checks</t>
  </si>
  <si>
    <t>Total repayment</t>
  </si>
  <si>
    <t>chart_month_start</t>
  </si>
  <si>
    <t>chart_month_end</t>
  </si>
  <si>
    <t>chart_interest_payments</t>
  </si>
  <si>
    <t>chart_principal_payments</t>
  </si>
  <si>
    <t>chart_period_name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</si>
</sst>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\ &quot;€&quot;;[Red]\-#,##0.00\ &quot;€&quot;"/>
    <numFmt numFmtId="165" formatCode="_-* #,##0.00_-;\-* #,##0.00_-;_-* &quot;-&quot;??_-;_-@_-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8">
    <xf numFmtId="0" fontId="0" fillId="0" borderId="0" xfId="0"/>
    <xf numFmtId="165" fontId="3" fillId="0" borderId="0" xfId="1" applyFont="1"/>
    <xf numFmtId="0" fontId="0" fillId="0" borderId="0" xfId="0" applyAlignment="1">
      <alignment horizontal="left" indent="1"/>
    </xf>
    <xf numFmtId="165" fontId="0" fillId="2" borderId="0" xfId="0" applyNumberFormat="1" applyFill="1"/>
    <xf numFmtId="165" fontId="2" fillId="2" borderId="0" xfId="1" applyFont="1" applyFill="1"/>
    <xf numFmtId="164" fontId="2" fillId="2" borderId="0" xfId="1" applyNumberFormat="1" applyFont="1" applyFill="1"/>
    <xf numFmtId="0" fontId="4" fillId="0" borderId="0" xfId="0" applyFont="1"/>
    <xf numFmtId="10" fontId="0" fillId="2" borderId="0" xfId="0" applyNumberFormat="1" applyFill="1"/>
    <xf numFmtId="0" fontId="5" fillId="0" borderId="0" xfId="0" applyFont="1"/>
    <xf numFmtId="165" fontId="6" fillId="3" borderId="0" xfId="1" applyFont="1" applyFill="1"/>
    <xf numFmtId="166" fontId="6" fillId="3" borderId="0" xfId="0" applyNumberFormat="1" applyFont="1" applyFill="1"/>
    <xf numFmtId="0" fontId="0" fillId="0" borderId="0" xfId="0" applyAlignment="1">
      <alignment horizontal="left"/>
    </xf>
    <xf numFmtId="0" fontId="8" fillId="0" borderId="0" xfId="0" applyFont="1"/>
    <xf numFmtId="43" fontId="0" fillId="0" borderId="0" xfId="0" applyNumberFormat="1"/>
    <xf numFmtId="0" fontId="0" fillId="0" borderId="0" xfId="0" applyAlignment="1">
      <alignment horizontal="right"/>
    </xf>
    <xf numFmtId="39" fontId="6" fillId="3" borderId="0" xfId="1" applyNumberFormat="1" applyFont="1" applyFill="1" applyAlignment="1">
      <alignment horizontal="center"/>
    </xf>
    <xf numFmtId="37" fontId="6" fillId="3" borderId="0" xfId="1" applyNumberFormat="1" applyFont="1" applyFill="1"/>
    <xf numFmtId="0" fontId="0" fillId="2" borderId="0" xfId="0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workbookViewId="0">
      <pane xSplit="3" ySplit="1" topLeftCell="D23" activePane="bottomRight" state="frozen"/>
      <selection pane="topRight" activeCell="D1" sqref="D1"/>
      <selection pane="bottomLeft" activeCell="A2" sqref="A2"/>
      <selection pane="bottomRight" activeCell="A42" sqref="A42"/>
    </sheetView>
  </sheetViews>
  <sheetFormatPr defaultRowHeight="15" outlineLevelRow="1" outlineLevelCol="1" x14ac:dyDescent="0.25"/>
  <cols>
    <col min="1" max="1" width="23.7109375" customWidth="1" outlineLevel="1"/>
    <col min="2" max="3" width="9.140625" outlineLevel="1"/>
    <col min="4" max="4" width="31.42578125" customWidth="1"/>
    <col min="5" max="5" width="31.5703125" customWidth="1"/>
    <col min="6" max="6" width="15.5703125" customWidth="1"/>
  </cols>
  <sheetData>
    <row r="1" spans="1:20" outlineLevel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 x14ac:dyDescent="0.25">
      <c r="B2" t="s">
        <v>42</v>
      </c>
      <c r="C2" t="s">
        <v>43</v>
      </c>
      <c r="D2" s="6" t="s">
        <v>0</v>
      </c>
    </row>
    <row r="3" spans="1:20" x14ac:dyDescent="0.25">
      <c r="E3" t="s">
        <v>3</v>
      </c>
      <c r="F3" s="9">
        <v>10000</v>
      </c>
      <c r="G3" s="8" t="s">
        <v>18</v>
      </c>
    </row>
    <row r="4" spans="1:20" x14ac:dyDescent="0.25">
      <c r="E4" t="s">
        <v>11</v>
      </c>
      <c r="F4" s="10">
        <v>0.04</v>
      </c>
      <c r="G4" s="8" t="s">
        <v>19</v>
      </c>
    </row>
    <row r="5" spans="1:20" x14ac:dyDescent="0.25">
      <c r="E5" t="s">
        <v>4</v>
      </c>
      <c r="F5" s="9">
        <v>48</v>
      </c>
      <c r="G5" s="8" t="s">
        <v>20</v>
      </c>
    </row>
    <row r="6" spans="1:20" x14ac:dyDescent="0.25">
      <c r="E6" t="s">
        <v>13</v>
      </c>
      <c r="F6" s="1">
        <v>200</v>
      </c>
      <c r="G6" s="8" t="s">
        <v>21</v>
      </c>
    </row>
    <row r="8" spans="1:20" x14ac:dyDescent="0.25">
      <c r="D8" s="6" t="s">
        <v>1</v>
      </c>
    </row>
    <row r="9" spans="1:20" x14ac:dyDescent="0.25">
      <c r="D9" t="s">
        <v>12</v>
      </c>
    </row>
    <row r="10" spans="1:20" x14ac:dyDescent="0.25">
      <c r="E10" t="s">
        <v>6</v>
      </c>
      <c r="G10" t="s">
        <v>14</v>
      </c>
    </row>
    <row r="11" spans="1:20" x14ac:dyDescent="0.25">
      <c r="E11" s="2" t="s">
        <v>7</v>
      </c>
      <c r="F11" s="3">
        <f>F3</f>
        <v>10000</v>
      </c>
      <c r="G11" s="8" t="s">
        <v>22</v>
      </c>
    </row>
    <row r="12" spans="1:20" x14ac:dyDescent="0.25">
      <c r="E12" s="2" t="s">
        <v>5</v>
      </c>
      <c r="F12" s="4">
        <f>-CUMIPMT($F$4/12,$F$5,$F$3,1,$F$5,0)</f>
        <v>837.94622801118931</v>
      </c>
      <c r="G12" s="8" t="s">
        <v>23</v>
      </c>
    </row>
    <row r="13" spans="1:20" x14ac:dyDescent="0.25">
      <c r="E13" s="2" t="s">
        <v>16</v>
      </c>
      <c r="F13" s="4">
        <f>F11+F12</f>
        <v>10837.946228011189</v>
      </c>
      <c r="G13" s="8" t="s">
        <v>24</v>
      </c>
    </row>
    <row r="14" spans="1:20" x14ac:dyDescent="0.25">
      <c r="E14" s="2"/>
      <c r="F14" s="2"/>
    </row>
    <row r="15" spans="1:20" x14ac:dyDescent="0.25">
      <c r="E15" s="2" t="s">
        <v>13</v>
      </c>
      <c r="F15" s="5">
        <f>-PMT($F$4/12,$F$5,$F$3)</f>
        <v>225.79054641689982</v>
      </c>
      <c r="G15" s="8" t="s">
        <v>25</v>
      </c>
    </row>
    <row r="16" spans="1:20" x14ac:dyDescent="0.25">
      <c r="E16" s="2"/>
      <c r="F16" s="2"/>
    </row>
    <row r="17" spans="1:14" x14ac:dyDescent="0.25">
      <c r="E17" s="2" t="s">
        <v>9</v>
      </c>
      <c r="F17" s="4">
        <f>F11/F5*12</f>
        <v>2500</v>
      </c>
      <c r="G17" s="8" t="s">
        <v>26</v>
      </c>
    </row>
    <row r="18" spans="1:14" x14ac:dyDescent="0.25">
      <c r="E18" s="2" t="s">
        <v>10</v>
      </c>
      <c r="F18" s="4">
        <f>F12/F5*12</f>
        <v>209.48655700279733</v>
      </c>
      <c r="G18" s="8" t="s">
        <v>27</v>
      </c>
    </row>
    <row r="20" spans="1:14" x14ac:dyDescent="0.25">
      <c r="D20" t="s">
        <v>15</v>
      </c>
    </row>
    <row r="21" spans="1:14" x14ac:dyDescent="0.25">
      <c r="E21" t="s">
        <v>6</v>
      </c>
      <c r="G21" t="s">
        <v>14</v>
      </c>
    </row>
    <row r="22" spans="1:14" x14ac:dyDescent="0.25">
      <c r="E22" s="2" t="s">
        <v>7</v>
      </c>
      <c r="F22" s="3">
        <f>F3</f>
        <v>10000</v>
      </c>
      <c r="G22" s="8" t="s">
        <v>31</v>
      </c>
    </row>
    <row r="23" spans="1:14" x14ac:dyDescent="0.25">
      <c r="E23" s="2" t="s">
        <v>5</v>
      </c>
      <c r="F23" s="4">
        <f>F24-F22</f>
        <v>-400</v>
      </c>
      <c r="G23" s="8" t="s">
        <v>30</v>
      </c>
    </row>
    <row r="24" spans="1:14" x14ac:dyDescent="0.25">
      <c r="E24" s="2" t="s">
        <v>8</v>
      </c>
      <c r="F24" s="4">
        <f>F6*F5</f>
        <v>9600</v>
      </c>
      <c r="G24" s="8" t="s">
        <v>29</v>
      </c>
    </row>
    <row r="26" spans="1:14" x14ac:dyDescent="0.25">
      <c r="E26" s="2" t="s">
        <v>17</v>
      </c>
      <c r="F26" s="7">
        <f>RATE($F$5,-$F$6,$F$3)*12</f>
        <v>-1.9849211268680753E-2</v>
      </c>
      <c r="G26" s="8" t="s">
        <v>28</v>
      </c>
    </row>
    <row r="28" spans="1:14" x14ac:dyDescent="0.25">
      <c r="D28" t="s">
        <v>47</v>
      </c>
      <c r="E28" s="11" t="s">
        <v>48</v>
      </c>
      <c r="F28">
        <f>ROUNDUP(F5/12,0)</f>
        <v>4</v>
      </c>
    </row>
    <row r="30" spans="1:14" x14ac:dyDescent="0.25">
      <c r="D30" s="6" t="s">
        <v>2</v>
      </c>
    </row>
    <row r="31" spans="1:14" x14ac:dyDescent="0.25">
      <c r="D31" t="s">
        <v>45</v>
      </c>
      <c r="E31" s="14">
        <v>1</v>
      </c>
      <c r="F31" s="14">
        <v>2</v>
      </c>
      <c r="G31" s="14">
        <v>3</v>
      </c>
      <c r="H31" s="14">
        <v>4</v>
      </c>
      <c r="I31" s="14">
        <v>5</v>
      </c>
      <c r="J31" s="14">
        <v>6</v>
      </c>
      <c r="K31" s="14">
        <v>7</v>
      </c>
      <c r="L31" s="14">
        <v>8</v>
      </c>
      <c r="M31" s="14">
        <v>9</v>
      </c>
      <c r="N31" s="14">
        <v>10</v>
      </c>
    </row>
    <row r="32" spans="1:14" x14ac:dyDescent="0.25">
      <c r="A32" t="s">
        <v>63</v>
      </c>
      <c r="B32" s="16">
        <v>4</v>
      </c>
      <c r="C32">
        <f>B32+SUM(E33:N33)</f>
        <v>8</v>
      </c>
      <c r="D32" t="s">
        <v>46</v>
      </c>
      <c r="E32" s="17" t="s">
        <v>32</v>
      </c>
      <c r="F32" s="17" t="s">
        <v>33</v>
      </c>
      <c r="G32" s="17" t="s">
        <v>34</v>
      </c>
      <c r="H32" s="17" t="s">
        <v>35</v>
      </c>
      <c r="I32" s="17" t="s">
        <v>36</v>
      </c>
      <c r="J32" s="17" t="s">
        <v>37</v>
      </c>
      <c r="K32" s="17" t="s">
        <v>38</v>
      </c>
      <c r="L32" s="17" t="s">
        <v>39</v>
      </c>
      <c r="M32" s="17" t="s">
        <v>40</v>
      </c>
      <c r="N32" s="17" t="s">
        <v>41</v>
      </c>
    </row>
    <row r="33" spans="1:14" x14ac:dyDescent="0.25">
      <c r="D33" t="s">
        <v>44</v>
      </c>
      <c r="E33" s="14">
        <f>(E31&lt;=$F$28)*1</f>
        <v>1</v>
      </c>
      <c r="F33" s="14">
        <f t="shared" ref="F33:N33" si="0">(F31&lt;=$F$28)*1</f>
        <v>1</v>
      </c>
      <c r="G33" s="14">
        <f t="shared" si="0"/>
        <v>1</v>
      </c>
      <c r="H33" s="14">
        <f t="shared" si="0"/>
        <v>1</v>
      </c>
      <c r="I33" s="14">
        <f t="shared" si="0"/>
        <v>0</v>
      </c>
      <c r="J33" s="14">
        <f t="shared" si="0"/>
        <v>0</v>
      </c>
      <c r="K33" s="14">
        <f t="shared" si="0"/>
        <v>0</v>
      </c>
      <c r="L33" s="14">
        <f t="shared" si="0"/>
        <v>0</v>
      </c>
      <c r="M33" s="14">
        <f t="shared" si="0"/>
        <v>0</v>
      </c>
      <c r="N33" s="14">
        <f t="shared" si="0"/>
        <v>0</v>
      </c>
    </row>
    <row r="34" spans="1:14" x14ac:dyDescent="0.25">
      <c r="D34" t="s">
        <v>53</v>
      </c>
      <c r="E34">
        <v>1</v>
      </c>
      <c r="F34">
        <f>E34+12</f>
        <v>13</v>
      </c>
      <c r="G34">
        <f t="shared" ref="G34:N34" si="1">F34+12</f>
        <v>25</v>
      </c>
      <c r="H34">
        <f t="shared" si="1"/>
        <v>37</v>
      </c>
      <c r="I34">
        <f t="shared" si="1"/>
        <v>49</v>
      </c>
      <c r="J34">
        <f t="shared" si="1"/>
        <v>61</v>
      </c>
      <c r="K34">
        <f t="shared" si="1"/>
        <v>73</v>
      </c>
      <c r="L34">
        <f t="shared" si="1"/>
        <v>85</v>
      </c>
      <c r="M34">
        <f t="shared" si="1"/>
        <v>97</v>
      </c>
      <c r="N34">
        <f t="shared" si="1"/>
        <v>109</v>
      </c>
    </row>
    <row r="35" spans="1:14" x14ac:dyDescent="0.25">
      <c r="D35" t="s">
        <v>54</v>
      </c>
      <c r="E35">
        <f>E34+11</f>
        <v>12</v>
      </c>
      <c r="F35">
        <f>E35+12</f>
        <v>24</v>
      </c>
      <c r="G35">
        <f t="shared" ref="G35:N35" si="2">F35+12</f>
        <v>36</v>
      </c>
      <c r="H35">
        <f t="shared" si="2"/>
        <v>48</v>
      </c>
      <c r="I35">
        <f t="shared" si="2"/>
        <v>60</v>
      </c>
      <c r="J35">
        <f t="shared" si="2"/>
        <v>72</v>
      </c>
      <c r="K35">
        <f t="shared" si="2"/>
        <v>84</v>
      </c>
      <c r="L35">
        <f t="shared" si="2"/>
        <v>96</v>
      </c>
      <c r="M35">
        <f t="shared" si="2"/>
        <v>108</v>
      </c>
      <c r="N35">
        <f t="shared" si="2"/>
        <v>120</v>
      </c>
    </row>
    <row r="36" spans="1:14" x14ac:dyDescent="0.25">
      <c r="E36" s="14">
        <f>AND($F$5&gt;=E34,$F$5&lt;=E35)*1</f>
        <v>0</v>
      </c>
      <c r="F36" s="14">
        <f t="shared" ref="F36:N36" si="3">AND($F$5&gt;=F34,$F$5&lt;=F35)*1</f>
        <v>0</v>
      </c>
      <c r="G36" s="14">
        <f t="shared" si="3"/>
        <v>0</v>
      </c>
      <c r="H36" s="14">
        <f t="shared" si="3"/>
        <v>1</v>
      </c>
      <c r="I36" s="14">
        <f t="shared" si="3"/>
        <v>0</v>
      </c>
      <c r="J36" s="14">
        <f t="shared" si="3"/>
        <v>0</v>
      </c>
      <c r="K36" s="14">
        <f t="shared" si="3"/>
        <v>0</v>
      </c>
      <c r="L36" s="14">
        <f t="shared" si="3"/>
        <v>0</v>
      </c>
      <c r="M36" s="14">
        <f t="shared" si="3"/>
        <v>0</v>
      </c>
      <c r="N36" s="14">
        <f t="shared" si="3"/>
        <v>0</v>
      </c>
    </row>
    <row r="37" spans="1:14" x14ac:dyDescent="0.25">
      <c r="A37" t="s">
        <v>59</v>
      </c>
      <c r="D37" t="s">
        <v>55</v>
      </c>
      <c r="E37">
        <f>E34</f>
        <v>1</v>
      </c>
      <c r="F37">
        <f t="shared" ref="F37:N37" si="4">F34</f>
        <v>13</v>
      </c>
      <c r="G37">
        <f t="shared" si="4"/>
        <v>25</v>
      </c>
      <c r="H37">
        <f t="shared" si="4"/>
        <v>37</v>
      </c>
      <c r="I37">
        <f t="shared" si="4"/>
        <v>49</v>
      </c>
      <c r="J37">
        <f t="shared" si="4"/>
        <v>61</v>
      </c>
      <c r="K37">
        <f t="shared" si="4"/>
        <v>73</v>
      </c>
      <c r="L37">
        <f t="shared" si="4"/>
        <v>85</v>
      </c>
      <c r="M37">
        <f t="shared" si="4"/>
        <v>97</v>
      </c>
      <c r="N37">
        <f t="shared" si="4"/>
        <v>109</v>
      </c>
    </row>
    <row r="38" spans="1:14" x14ac:dyDescent="0.25">
      <c r="A38" t="s">
        <v>60</v>
      </c>
      <c r="D38" t="s">
        <v>56</v>
      </c>
      <c r="E38">
        <f t="shared" ref="E38:N38" si="5">IF(E35&gt;$F$5,$F$5,E35)</f>
        <v>12</v>
      </c>
      <c r="F38">
        <f t="shared" si="5"/>
        <v>24</v>
      </c>
      <c r="G38">
        <f t="shared" si="5"/>
        <v>36</v>
      </c>
      <c r="H38">
        <f t="shared" si="5"/>
        <v>48</v>
      </c>
      <c r="I38">
        <f t="shared" si="5"/>
        <v>48</v>
      </c>
      <c r="J38">
        <f t="shared" si="5"/>
        <v>48</v>
      </c>
      <c r="K38">
        <f t="shared" si="5"/>
        <v>48</v>
      </c>
      <c r="L38">
        <f>IF(L35&gt;$F$5,$F$5,L35)</f>
        <v>48</v>
      </c>
      <c r="M38">
        <f>IF(M35&gt;$F$5,$F$5,M35)</f>
        <v>48</v>
      </c>
      <c r="N38">
        <f>IF(N35&gt;$F$5,$F$5,N35)</f>
        <v>48</v>
      </c>
    </row>
    <row r="40" spans="1:14" x14ac:dyDescent="0.25">
      <c r="D40" s="12" t="s">
        <v>52</v>
      </c>
    </row>
    <row r="41" spans="1:14" x14ac:dyDescent="0.25">
      <c r="A41" t="s">
        <v>61</v>
      </c>
      <c r="B41">
        <v>4</v>
      </c>
      <c r="C41">
        <f>$C$32</f>
        <v>8</v>
      </c>
      <c r="D41" t="s">
        <v>49</v>
      </c>
      <c r="E41">
        <f>-IFERROR((CUMPRINC($F$4/12,$F$5,$F$11,E37,E38,0)),0)*(E37&lt;=$F$5)</f>
        <v>2352.3011421201672</v>
      </c>
      <c r="F41">
        <f t="shared" ref="F41:N41" si="6">-IFERROR((CUMPRINC($F$4/12,$F$5,$F$11,F37,F38,0)),0)*(F37&lt;=$F$5)</f>
        <v>2448.137520062126</v>
      </c>
      <c r="G41">
        <f t="shared" si="6"/>
        <v>2547.8784199092847</v>
      </c>
      <c r="H41">
        <f t="shared" si="6"/>
        <v>2651.6829179084243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0</v>
      </c>
      <c r="M41">
        <f t="shared" si="6"/>
        <v>0</v>
      </c>
      <c r="N41">
        <f t="shared" si="6"/>
        <v>0</v>
      </c>
    </row>
    <row r="42" spans="1:14" x14ac:dyDescent="0.25">
      <c r="A42" t="s">
        <v>62</v>
      </c>
      <c r="B42">
        <v>4</v>
      </c>
      <c r="C42">
        <f>$C$32</f>
        <v>8</v>
      </c>
      <c r="D42" t="s">
        <v>50</v>
      </c>
      <c r="E42">
        <f>-IFERROR((CUMIPMT($F$4/12,$F$5,$F$11,E37,E38,0)),0)*(E37&lt;=$F$5)</f>
        <v>357.18541488263054</v>
      </c>
      <c r="F42">
        <f t="shared" ref="F42:N42" si="7">-IFERROR((CUMIPMT($F$4/12,$F$5,$F$11,F37,F38,0)),0)*(F37&lt;=$F$5)</f>
        <v>261.34903694067179</v>
      </c>
      <c r="G42">
        <f t="shared" si="7"/>
        <v>161.60813709351305</v>
      </c>
      <c r="H42">
        <f t="shared" si="7"/>
        <v>57.803639094373466</v>
      </c>
      <c r="I42">
        <f t="shared" si="7"/>
        <v>0</v>
      </c>
      <c r="J42">
        <f t="shared" si="7"/>
        <v>0</v>
      </c>
      <c r="K42">
        <f t="shared" si="7"/>
        <v>0</v>
      </c>
      <c r="L42">
        <f t="shared" si="7"/>
        <v>0</v>
      </c>
      <c r="M42">
        <f t="shared" si="7"/>
        <v>0</v>
      </c>
      <c r="N42">
        <f t="shared" si="7"/>
        <v>0</v>
      </c>
    </row>
    <row r="43" spans="1:14" x14ac:dyDescent="0.25">
      <c r="D43" t="s">
        <v>51</v>
      </c>
      <c r="E43">
        <f>E41+E42</f>
        <v>2709.4865570027978</v>
      </c>
      <c r="F43">
        <f>F41+F42</f>
        <v>2709.4865570027978</v>
      </c>
      <c r="G43">
        <f>G41+G42</f>
        <v>2709.4865570027978</v>
      </c>
      <c r="H43">
        <f>H41+H42</f>
        <v>2709.4865570027978</v>
      </c>
      <c r="I43">
        <f>I41+I42</f>
        <v>0</v>
      </c>
      <c r="J43">
        <f>J41+J42</f>
        <v>0</v>
      </c>
      <c r="K43">
        <f>K41+K42</f>
        <v>0</v>
      </c>
      <c r="L43">
        <f>L41+L42</f>
        <v>0</v>
      </c>
      <c r="M43">
        <f>M41+M42</f>
        <v>0</v>
      </c>
      <c r="N43">
        <f>N41+N42</f>
        <v>0</v>
      </c>
    </row>
    <row r="45" spans="1:14" x14ac:dyDescent="0.25">
      <c r="D45" s="6" t="s">
        <v>57</v>
      </c>
      <c r="E45" s="15">
        <v>0.1</v>
      </c>
    </row>
    <row r="46" spans="1:14" x14ac:dyDescent="0.25">
      <c r="D46" t="s">
        <v>58</v>
      </c>
      <c r="E46" s="13" t="b">
        <f>ABS(SUM(E43:N43)-F13)&lt;E45</f>
        <v>1</v>
      </c>
    </row>
  </sheetData>
  <phoneticPr fontId="7" type="noConversion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Calculation Scout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Makarov</dc:creator>
  <cp:lastModifiedBy>Alexey Makarov</cp:lastModifiedBy>
  <dcterms:created xsi:type="dcterms:W3CDTF">2020-06-11T08:48:28Z</dcterms:created>
  <dcterms:modified xsi:type="dcterms:W3CDTF">2020-06-21T19:30:19Z</dcterms:modified>
</cp:coreProperties>
</file>