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Build Apps\Report\"/>
    </mc:Choice>
  </mc:AlternateContent>
  <xr:revisionPtr revIDLastSave="0" documentId="13_ncr:1_{805CD0C8-3531-4EA0-BA17-533FCA965EC5}" xr6:coauthVersionLast="47" xr6:coauthVersionMax="47" xr10:uidLastSave="{00000000-0000-0000-0000-000000000000}"/>
  <bookViews>
    <workbookView xWindow="-120" yWindow="-120" windowWidth="29040" windowHeight="16440" activeTab="2" xr2:uid="{A5C6CAF5-34CE-427B-965F-75A853BB2CF9}"/>
  </bookViews>
  <sheets>
    <sheet name="Skenario Gabungan" sheetId="1" r:id="rId1"/>
    <sheet name="Skenario Warna" sheetId="2" r:id="rId2"/>
    <sheet name="Skenario GLC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2" l="1"/>
  <c r="X16" i="2"/>
  <c r="X28" i="2"/>
  <c r="X31" i="2"/>
  <c r="L16" i="2"/>
  <c r="L19" i="2"/>
  <c r="L28" i="2"/>
  <c r="L31" i="2"/>
  <c r="AT63" i="1"/>
  <c r="AH63" i="1"/>
  <c r="AT58" i="1"/>
  <c r="AH58" i="1"/>
  <c r="AT53" i="1"/>
  <c r="AH53" i="1"/>
  <c r="AT48" i="1"/>
  <c r="AH48" i="1"/>
  <c r="AT43" i="1"/>
  <c r="AH43" i="1"/>
  <c r="AT31" i="1"/>
  <c r="AH31" i="1"/>
  <c r="AT26" i="1"/>
  <c r="AH26" i="1"/>
  <c r="AT21" i="1"/>
  <c r="AH21" i="1"/>
  <c r="AT16" i="1"/>
  <c r="AH16" i="1"/>
  <c r="AT11" i="1"/>
  <c r="AH11" i="1"/>
  <c r="U21" i="2"/>
  <c r="T21" i="2"/>
  <c r="U20" i="2"/>
  <c r="T20" i="2"/>
  <c r="U19" i="2"/>
  <c r="V19" i="2" s="1"/>
  <c r="T19" i="2"/>
  <c r="U18" i="2"/>
  <c r="T18" i="2"/>
  <c r="U17" i="2"/>
  <c r="T17" i="2"/>
  <c r="U16" i="2"/>
  <c r="T16" i="2"/>
  <c r="I21" i="2"/>
  <c r="H21" i="2"/>
  <c r="I20" i="2"/>
  <c r="H20" i="2"/>
  <c r="I19" i="2"/>
  <c r="J19" i="2" s="1"/>
  <c r="H19" i="2"/>
  <c r="I18" i="2"/>
  <c r="H18" i="2"/>
  <c r="I17" i="2"/>
  <c r="H17" i="2"/>
  <c r="I16" i="2"/>
  <c r="H16" i="2"/>
  <c r="U33" i="2"/>
  <c r="T33" i="2"/>
  <c r="U32" i="2"/>
  <c r="V32" i="2" s="1"/>
  <c r="T32" i="2"/>
  <c r="U31" i="2"/>
  <c r="V31" i="2" s="1"/>
  <c r="T31" i="2"/>
  <c r="U30" i="2"/>
  <c r="V30" i="2" s="1"/>
  <c r="T30" i="2"/>
  <c r="U29" i="2"/>
  <c r="T29" i="2"/>
  <c r="U28" i="2"/>
  <c r="T28" i="2"/>
  <c r="I33" i="2"/>
  <c r="H33" i="2"/>
  <c r="I32" i="2"/>
  <c r="H32" i="2"/>
  <c r="I31" i="2"/>
  <c r="H31" i="2"/>
  <c r="V29" i="2"/>
  <c r="V28" i="2"/>
  <c r="V21" i="2"/>
  <c r="V20" i="2"/>
  <c r="V18" i="2"/>
  <c r="V17" i="2"/>
  <c r="V16" i="2"/>
  <c r="I30" i="2"/>
  <c r="H30" i="2"/>
  <c r="I29" i="2"/>
  <c r="H29" i="2"/>
  <c r="I28" i="2"/>
  <c r="H28" i="2"/>
  <c r="J33" i="2"/>
  <c r="J32" i="2"/>
  <c r="J31" i="2"/>
  <c r="J21" i="2"/>
  <c r="J18" i="2"/>
  <c r="G8" i="2"/>
  <c r="G6" i="2"/>
  <c r="U72" i="3"/>
  <c r="V72" i="3" s="1"/>
  <c r="T72" i="3"/>
  <c r="U71" i="3"/>
  <c r="V71" i="3" s="1"/>
  <c r="T71" i="3"/>
  <c r="U70" i="3"/>
  <c r="V70" i="3" s="1"/>
  <c r="T70" i="3"/>
  <c r="U69" i="3"/>
  <c r="T69" i="3"/>
  <c r="V69" i="3" s="1"/>
  <c r="X68" i="3"/>
  <c r="U68" i="3"/>
  <c r="V68" i="3" s="1"/>
  <c r="T68" i="3"/>
  <c r="AI67" i="3"/>
  <c r="AJ67" i="3" s="1"/>
  <c r="AH67" i="3"/>
  <c r="U67" i="3"/>
  <c r="V67" i="3" s="1"/>
  <c r="T67" i="3"/>
  <c r="AI66" i="3"/>
  <c r="AJ66" i="3" s="1"/>
  <c r="AH66" i="3"/>
  <c r="U66" i="3"/>
  <c r="T66" i="3"/>
  <c r="V66" i="3" s="1"/>
  <c r="AI65" i="3"/>
  <c r="AJ65" i="3" s="1"/>
  <c r="AH65" i="3"/>
  <c r="V65" i="3"/>
  <c r="U65" i="3"/>
  <c r="T65" i="3"/>
  <c r="AI64" i="3"/>
  <c r="AJ64" i="3" s="1"/>
  <c r="AH64" i="3"/>
  <c r="U64" i="3"/>
  <c r="T64" i="3"/>
  <c r="V64" i="3" s="1"/>
  <c r="AL63" i="3"/>
  <c r="AI63" i="3"/>
  <c r="AH63" i="3"/>
  <c r="AJ63" i="3" s="1"/>
  <c r="X63" i="3"/>
  <c r="U63" i="3"/>
  <c r="V63" i="3" s="1"/>
  <c r="T63" i="3"/>
  <c r="AI62" i="3"/>
  <c r="AJ62" i="3" s="1"/>
  <c r="AH62" i="3"/>
  <c r="U62" i="3"/>
  <c r="V62" i="3" s="1"/>
  <c r="T62" i="3"/>
  <c r="G62" i="3"/>
  <c r="H62" i="3" s="1"/>
  <c r="F62" i="3"/>
  <c r="AI61" i="3"/>
  <c r="AH61" i="3"/>
  <c r="AJ61" i="3" s="1"/>
  <c r="U61" i="3"/>
  <c r="V61" i="3" s="1"/>
  <c r="T61" i="3"/>
  <c r="H61" i="3"/>
  <c r="G61" i="3"/>
  <c r="F61" i="3"/>
  <c r="AI60" i="3"/>
  <c r="AJ60" i="3" s="1"/>
  <c r="AH60" i="3"/>
  <c r="U60" i="3"/>
  <c r="T60" i="3"/>
  <c r="V60" i="3" s="1"/>
  <c r="G60" i="3"/>
  <c r="H60" i="3" s="1"/>
  <c r="F60" i="3"/>
  <c r="AI59" i="3"/>
  <c r="AJ59" i="3" s="1"/>
  <c r="AH59" i="3"/>
  <c r="U59" i="3"/>
  <c r="V59" i="3" s="1"/>
  <c r="T59" i="3"/>
  <c r="H59" i="3"/>
  <c r="G59" i="3"/>
  <c r="F59" i="3"/>
  <c r="AL58" i="3"/>
  <c r="AI58" i="3"/>
  <c r="AH58" i="3"/>
  <c r="AJ58" i="3" s="1"/>
  <c r="X58" i="3"/>
  <c r="U58" i="3"/>
  <c r="T58" i="3"/>
  <c r="V58" i="3" s="1"/>
  <c r="G58" i="3"/>
  <c r="H58" i="3" s="1"/>
  <c r="F58" i="3"/>
  <c r="AI57" i="3"/>
  <c r="AJ57" i="3" s="1"/>
  <c r="AH57" i="3"/>
  <c r="U57" i="3"/>
  <c r="V57" i="3" s="1"/>
  <c r="T57" i="3"/>
  <c r="G57" i="3"/>
  <c r="H57" i="3" s="1"/>
  <c r="F57" i="3"/>
  <c r="AI56" i="3"/>
  <c r="AH56" i="3"/>
  <c r="AJ56" i="3" s="1"/>
  <c r="U56" i="3"/>
  <c r="V56" i="3" s="1"/>
  <c r="T56" i="3"/>
  <c r="H56" i="3"/>
  <c r="G56" i="3"/>
  <c r="F56" i="3"/>
  <c r="AI55" i="3"/>
  <c r="AJ55" i="3" s="1"/>
  <c r="AH55" i="3"/>
  <c r="U55" i="3"/>
  <c r="T55" i="3"/>
  <c r="V55" i="3" s="1"/>
  <c r="G55" i="3"/>
  <c r="H55" i="3" s="1"/>
  <c r="F55" i="3"/>
  <c r="AI54" i="3"/>
  <c r="AJ54" i="3" s="1"/>
  <c r="AH54" i="3"/>
  <c r="U54" i="3"/>
  <c r="V54" i="3" s="1"/>
  <c r="T54" i="3"/>
  <c r="H54" i="3"/>
  <c r="G54" i="3"/>
  <c r="F54" i="3"/>
  <c r="AL53" i="3"/>
  <c r="AI53" i="3"/>
  <c r="AH53" i="3"/>
  <c r="AJ53" i="3" s="1"/>
  <c r="X53" i="3"/>
  <c r="U53" i="3"/>
  <c r="T53" i="3"/>
  <c r="V53" i="3" s="1"/>
  <c r="G53" i="3"/>
  <c r="H53" i="3" s="1"/>
  <c r="F53" i="3"/>
  <c r="AI52" i="3"/>
  <c r="AJ52" i="3" s="1"/>
  <c r="AH52" i="3"/>
  <c r="U52" i="3"/>
  <c r="V52" i="3" s="1"/>
  <c r="T52" i="3"/>
  <c r="G52" i="3"/>
  <c r="H52" i="3" s="1"/>
  <c r="F52" i="3"/>
  <c r="AI51" i="3"/>
  <c r="AH51" i="3"/>
  <c r="AJ51" i="3" s="1"/>
  <c r="U51" i="3"/>
  <c r="T51" i="3"/>
  <c r="V51" i="3" s="1"/>
  <c r="H51" i="3"/>
  <c r="G51" i="3"/>
  <c r="F51" i="3"/>
  <c r="AI50" i="3"/>
  <c r="AJ50" i="3" s="1"/>
  <c r="AH50" i="3"/>
  <c r="U50" i="3"/>
  <c r="T50" i="3"/>
  <c r="V50" i="3" s="1"/>
  <c r="G50" i="3"/>
  <c r="H50" i="3" s="1"/>
  <c r="F50" i="3"/>
  <c r="AI49" i="3"/>
  <c r="AJ49" i="3" s="1"/>
  <c r="AH49" i="3"/>
  <c r="U49" i="3"/>
  <c r="V49" i="3" s="1"/>
  <c r="T49" i="3"/>
  <c r="H49" i="3"/>
  <c r="G49" i="3"/>
  <c r="F49" i="3"/>
  <c r="AL48" i="3"/>
  <c r="AI48" i="3"/>
  <c r="AH48" i="3"/>
  <c r="AJ48" i="3" s="1"/>
  <c r="X48" i="3"/>
  <c r="U48" i="3"/>
  <c r="T48" i="3"/>
  <c r="V48" i="3" s="1"/>
  <c r="G48" i="3"/>
  <c r="H48" i="3" s="1"/>
  <c r="F48" i="3"/>
  <c r="AI47" i="3"/>
  <c r="AJ47" i="3" s="1"/>
  <c r="AH47" i="3"/>
  <c r="U47" i="3"/>
  <c r="V47" i="3" s="1"/>
  <c r="T47" i="3"/>
  <c r="G47" i="3"/>
  <c r="H47" i="3" s="1"/>
  <c r="F47" i="3"/>
  <c r="AI46" i="3"/>
  <c r="AH46" i="3"/>
  <c r="AJ46" i="3" s="1"/>
  <c r="U46" i="3"/>
  <c r="V46" i="3" s="1"/>
  <c r="T46" i="3"/>
  <c r="H46" i="3"/>
  <c r="G46" i="3"/>
  <c r="F46" i="3"/>
  <c r="AI45" i="3"/>
  <c r="AJ45" i="3" s="1"/>
  <c r="AH45" i="3"/>
  <c r="U45" i="3"/>
  <c r="V45" i="3" s="1"/>
  <c r="T45" i="3"/>
  <c r="G45" i="3"/>
  <c r="H45" i="3" s="1"/>
  <c r="F45" i="3"/>
  <c r="AI44" i="3"/>
  <c r="AJ44" i="3" s="1"/>
  <c r="AH44" i="3"/>
  <c r="U44" i="3"/>
  <c r="V44" i="3" s="1"/>
  <c r="T44" i="3"/>
  <c r="H44" i="3"/>
  <c r="G44" i="3"/>
  <c r="F44" i="3"/>
  <c r="AL43" i="3"/>
  <c r="AI43" i="3"/>
  <c r="AJ43" i="3" s="1"/>
  <c r="AH43" i="3"/>
  <c r="X43" i="3"/>
  <c r="U43" i="3"/>
  <c r="T43" i="3"/>
  <c r="V43" i="3" s="1"/>
  <c r="G43" i="3"/>
  <c r="H43" i="3" s="1"/>
  <c r="F43" i="3"/>
  <c r="U36" i="3"/>
  <c r="V36" i="3" s="1"/>
  <c r="T36" i="3"/>
  <c r="U35" i="3"/>
  <c r="V35" i="3" s="1"/>
  <c r="T35" i="3"/>
  <c r="U34" i="3"/>
  <c r="V34" i="3" s="1"/>
  <c r="T34" i="3"/>
  <c r="U33" i="3"/>
  <c r="T33" i="3"/>
  <c r="V33" i="3" s="1"/>
  <c r="X32" i="3"/>
  <c r="U32" i="3"/>
  <c r="V32" i="3" s="1"/>
  <c r="T32" i="3"/>
  <c r="AI31" i="3"/>
  <c r="AJ31" i="3" s="1"/>
  <c r="AH31" i="3"/>
  <c r="U31" i="3"/>
  <c r="V31" i="3" s="1"/>
  <c r="T31" i="3"/>
  <c r="AI30" i="3"/>
  <c r="AJ30" i="3" s="1"/>
  <c r="AH30" i="3"/>
  <c r="U30" i="3"/>
  <c r="T30" i="3"/>
  <c r="V30" i="3" s="1"/>
  <c r="AI29" i="3"/>
  <c r="AJ29" i="3" s="1"/>
  <c r="AH29" i="3"/>
  <c r="V29" i="3"/>
  <c r="U29" i="3"/>
  <c r="T29" i="3"/>
  <c r="AI28" i="3"/>
  <c r="AJ28" i="3" s="1"/>
  <c r="AH28" i="3"/>
  <c r="U28" i="3"/>
  <c r="V28" i="3" s="1"/>
  <c r="T28" i="3"/>
  <c r="AL27" i="3"/>
  <c r="AI27" i="3"/>
  <c r="AH27" i="3"/>
  <c r="AJ27" i="3" s="1"/>
  <c r="X27" i="3"/>
  <c r="U27" i="3"/>
  <c r="V27" i="3" s="1"/>
  <c r="T27" i="3"/>
  <c r="AI26" i="3"/>
  <c r="AJ26" i="3" s="1"/>
  <c r="AH26" i="3"/>
  <c r="U26" i="3"/>
  <c r="V26" i="3" s="1"/>
  <c r="T26" i="3"/>
  <c r="G26" i="3"/>
  <c r="H26" i="3" s="1"/>
  <c r="F26" i="3"/>
  <c r="AI25" i="3"/>
  <c r="AH25" i="3"/>
  <c r="AJ25" i="3" s="1"/>
  <c r="U25" i="3"/>
  <c r="V25" i="3" s="1"/>
  <c r="T25" i="3"/>
  <c r="H25" i="3"/>
  <c r="G25" i="3"/>
  <c r="F25" i="3"/>
  <c r="AI24" i="3"/>
  <c r="AH24" i="3"/>
  <c r="AJ24" i="3" s="1"/>
  <c r="U24" i="3"/>
  <c r="V24" i="3" s="1"/>
  <c r="T24" i="3"/>
  <c r="G24" i="3"/>
  <c r="H24" i="3" s="1"/>
  <c r="F24" i="3"/>
  <c r="AI23" i="3"/>
  <c r="AJ23" i="3" s="1"/>
  <c r="AH23" i="3"/>
  <c r="U23" i="3"/>
  <c r="V23" i="3" s="1"/>
  <c r="T23" i="3"/>
  <c r="H23" i="3"/>
  <c r="G23" i="3"/>
  <c r="F23" i="3"/>
  <c r="AL22" i="3"/>
  <c r="AI22" i="3"/>
  <c r="AJ22" i="3" s="1"/>
  <c r="AH22" i="3"/>
  <c r="X22" i="3"/>
  <c r="V22" i="3"/>
  <c r="U22" i="3"/>
  <c r="T22" i="3"/>
  <c r="J22" i="3"/>
  <c r="G22" i="3"/>
  <c r="H22" i="3" s="1"/>
  <c r="F22" i="3"/>
  <c r="AI21" i="3"/>
  <c r="AJ21" i="3" s="1"/>
  <c r="AH21" i="3"/>
  <c r="U21" i="3"/>
  <c r="V21" i="3" s="1"/>
  <c r="T21" i="3"/>
  <c r="G21" i="3"/>
  <c r="H21" i="3" s="1"/>
  <c r="F21" i="3"/>
  <c r="AI20" i="3"/>
  <c r="AH20" i="3"/>
  <c r="AJ20" i="3" s="1"/>
  <c r="U20" i="3"/>
  <c r="V20" i="3" s="1"/>
  <c r="T20" i="3"/>
  <c r="H20" i="3"/>
  <c r="G20" i="3"/>
  <c r="F20" i="3"/>
  <c r="AI19" i="3"/>
  <c r="AJ19" i="3" s="1"/>
  <c r="AH19" i="3"/>
  <c r="U19" i="3"/>
  <c r="V19" i="3" s="1"/>
  <c r="T19" i="3"/>
  <c r="G19" i="3"/>
  <c r="H19" i="3" s="1"/>
  <c r="F19" i="3"/>
  <c r="AI18" i="3"/>
  <c r="AJ18" i="3" s="1"/>
  <c r="AH18" i="3"/>
  <c r="U18" i="3"/>
  <c r="V18" i="3" s="1"/>
  <c r="T18" i="3"/>
  <c r="H18" i="3"/>
  <c r="G18" i="3"/>
  <c r="F18" i="3"/>
  <c r="AL17" i="3"/>
  <c r="AI17" i="3"/>
  <c r="AJ17" i="3" s="1"/>
  <c r="AH17" i="3"/>
  <c r="X17" i="3"/>
  <c r="U17" i="3"/>
  <c r="T17" i="3"/>
  <c r="V17" i="3" s="1"/>
  <c r="J17" i="3"/>
  <c r="G17" i="3"/>
  <c r="H17" i="3" s="1"/>
  <c r="F17" i="3"/>
  <c r="AI16" i="3"/>
  <c r="AJ16" i="3" s="1"/>
  <c r="AH16" i="3"/>
  <c r="U16" i="3"/>
  <c r="V16" i="3" s="1"/>
  <c r="T16" i="3"/>
  <c r="G16" i="3"/>
  <c r="H16" i="3" s="1"/>
  <c r="F16" i="3"/>
  <c r="AI15" i="3"/>
  <c r="AH15" i="3"/>
  <c r="AJ15" i="3" s="1"/>
  <c r="U15" i="3"/>
  <c r="V15" i="3" s="1"/>
  <c r="T15" i="3"/>
  <c r="H15" i="3"/>
  <c r="G15" i="3"/>
  <c r="F15" i="3"/>
  <c r="AI14" i="3"/>
  <c r="AJ14" i="3" s="1"/>
  <c r="AH14" i="3"/>
  <c r="U14" i="3"/>
  <c r="V14" i="3" s="1"/>
  <c r="T14" i="3"/>
  <c r="G14" i="3"/>
  <c r="H14" i="3" s="1"/>
  <c r="F14" i="3"/>
  <c r="AI13" i="3"/>
  <c r="AJ13" i="3" s="1"/>
  <c r="AH13" i="3"/>
  <c r="U13" i="3"/>
  <c r="V13" i="3" s="1"/>
  <c r="T13" i="3"/>
  <c r="H13" i="3"/>
  <c r="G13" i="3"/>
  <c r="F13" i="3"/>
  <c r="AL12" i="3"/>
  <c r="AI12" i="3"/>
  <c r="AJ12" i="3" s="1"/>
  <c r="AH12" i="3"/>
  <c r="X12" i="3"/>
  <c r="U12" i="3"/>
  <c r="T12" i="3"/>
  <c r="V12" i="3" s="1"/>
  <c r="J12" i="3"/>
  <c r="G12" i="3"/>
  <c r="H12" i="3" s="1"/>
  <c r="F12" i="3"/>
  <c r="AI11" i="3"/>
  <c r="AJ11" i="3" s="1"/>
  <c r="AH11" i="3"/>
  <c r="U11" i="3"/>
  <c r="V11" i="3" s="1"/>
  <c r="T11" i="3"/>
  <c r="G11" i="3"/>
  <c r="H11" i="3" s="1"/>
  <c r="F11" i="3"/>
  <c r="AI10" i="3"/>
  <c r="AH10" i="3"/>
  <c r="AJ10" i="3" s="1"/>
  <c r="U10" i="3"/>
  <c r="V10" i="3" s="1"/>
  <c r="T10" i="3"/>
  <c r="H10" i="3"/>
  <c r="G10" i="3"/>
  <c r="F10" i="3"/>
  <c r="AI9" i="3"/>
  <c r="AJ9" i="3" s="1"/>
  <c r="AH9" i="3"/>
  <c r="U9" i="3"/>
  <c r="T9" i="3"/>
  <c r="V9" i="3" s="1"/>
  <c r="G9" i="3"/>
  <c r="H9" i="3" s="1"/>
  <c r="F9" i="3"/>
  <c r="AI8" i="3"/>
  <c r="AJ8" i="3" s="1"/>
  <c r="AH8" i="3"/>
  <c r="U8" i="3"/>
  <c r="V8" i="3" s="1"/>
  <c r="T8" i="3"/>
  <c r="H8" i="3"/>
  <c r="G8" i="3"/>
  <c r="F8" i="3"/>
  <c r="AL7" i="3"/>
  <c r="AI7" i="3"/>
  <c r="AH7" i="3"/>
  <c r="AJ7" i="3" s="1"/>
  <c r="X7" i="3"/>
  <c r="U7" i="3"/>
  <c r="T7" i="3"/>
  <c r="V7" i="3" s="1"/>
  <c r="J7" i="3"/>
  <c r="G7" i="3"/>
  <c r="H7" i="3" s="1"/>
  <c r="F7" i="3"/>
  <c r="K95" i="1"/>
  <c r="K90" i="1"/>
  <c r="K85" i="1"/>
  <c r="K80" i="1"/>
  <c r="K75" i="1"/>
  <c r="V95" i="1"/>
  <c r="V90" i="1"/>
  <c r="V85" i="1"/>
  <c r="V80" i="1"/>
  <c r="V75" i="1"/>
  <c r="K31" i="1"/>
  <c r="V48" i="1"/>
  <c r="V53" i="1"/>
  <c r="V58" i="1"/>
  <c r="V63" i="1"/>
  <c r="V43" i="1"/>
  <c r="K48" i="1"/>
  <c r="K53" i="1"/>
  <c r="K58" i="1"/>
  <c r="K63" i="1"/>
  <c r="K43" i="1"/>
  <c r="V16" i="1"/>
  <c r="V21" i="1"/>
  <c r="V26" i="1"/>
  <c r="V31" i="1"/>
  <c r="V11" i="1"/>
  <c r="K16" i="1"/>
  <c r="K21" i="1"/>
  <c r="K26" i="1"/>
  <c r="K11" i="1"/>
  <c r="J20" i="2" l="1"/>
  <c r="J17" i="2"/>
  <c r="J16" i="2"/>
  <c r="V33" i="2"/>
  <c r="J28" i="2"/>
  <c r="J30" i="2"/>
  <c r="J29" i="2"/>
  <c r="J43" i="3"/>
  <c r="J48" i="3"/>
  <c r="J53" i="3"/>
  <c r="J58" i="3"/>
</calcChain>
</file>

<file path=xl/sharedStrings.xml><?xml version="1.0" encoding="utf-8"?>
<sst xmlns="http://schemas.openxmlformats.org/spreadsheetml/2006/main" count="1717" uniqueCount="53">
  <si>
    <t>Dissimilarity</t>
  </si>
  <si>
    <t>Correlation</t>
  </si>
  <si>
    <t>Homogeneity</t>
  </si>
  <si>
    <t>Contrast</t>
  </si>
  <si>
    <t>Distance</t>
  </si>
  <si>
    <t>No</t>
  </si>
  <si>
    <t>Skenario GLCM</t>
  </si>
  <si>
    <t>Preprocessed</t>
  </si>
  <si>
    <t>ROI</t>
  </si>
  <si>
    <t>Without ROI</t>
  </si>
  <si>
    <t>v</t>
  </si>
  <si>
    <t>Akurasi RGB</t>
  </si>
  <si>
    <t>Akurasi HSV</t>
  </si>
  <si>
    <t>Maks. Akurasi</t>
  </si>
  <si>
    <t>Akurasi</t>
  </si>
  <si>
    <t>Akurasi HSV + GLCM</t>
  </si>
  <si>
    <t>Akurasi RGB + GLCM</t>
  </si>
  <si>
    <t>w</t>
  </si>
  <si>
    <t>Skenario</t>
  </si>
  <si>
    <t>3 Ciri</t>
  </si>
  <si>
    <t>4 Ciri</t>
  </si>
  <si>
    <t>2 Ciri</t>
  </si>
  <si>
    <t>Precission</t>
  </si>
  <si>
    <t>Recall</t>
  </si>
  <si>
    <t>f1-score</t>
  </si>
  <si>
    <t>Label</t>
  </si>
  <si>
    <t>5 Label</t>
  </si>
  <si>
    <t>2 Label</t>
  </si>
  <si>
    <t>White Bacground- NORMALIZE (l2) - Augmentasi 160 data training / label</t>
  </si>
  <si>
    <t>Without Roi - White Bacground- NORMALIZE (l2) - Augmentasi 160 data training / label</t>
  </si>
  <si>
    <t>Normal Backrgound - 40 data training / label</t>
  </si>
  <si>
    <t>Without Roi - White Bacground- NORMALIZE (l2) - 40 data training / label</t>
  </si>
  <si>
    <t>White Background- NORMALIZE (l2) - 40 data training / label</t>
  </si>
  <si>
    <t>Fitur Warna Mean</t>
  </si>
  <si>
    <t>Normal Background - Fitur Warna (Mean) - 40 data training / label</t>
  </si>
  <si>
    <t>Red</t>
  </si>
  <si>
    <t>Green</t>
  </si>
  <si>
    <t>Blue</t>
  </si>
  <si>
    <t>Skenario RGB</t>
  </si>
  <si>
    <t>Hue</t>
  </si>
  <si>
    <t>Saturation</t>
  </si>
  <si>
    <t>Value</t>
  </si>
  <si>
    <t>Skenario HSV</t>
  </si>
  <si>
    <t>Bin</t>
  </si>
  <si>
    <t>White Background - NORMALIZE (l2) - Fitur Warna (Mean) - 40 data training / label</t>
  </si>
  <si>
    <t>White Background - NORMALIZE (l2) - Fitur Warna (Mean) - 160 data training / label</t>
  </si>
  <si>
    <t>RGB - White Bacground- NORMALIZE (l2) - 160 data training / label</t>
  </si>
  <si>
    <t>HSV - White Bacground- NORMALIZE (l2) - 40 data training / label</t>
  </si>
  <si>
    <t>HSV - White Bacground- NORMALIZE (l2) - 160 data training / label</t>
  </si>
  <si>
    <t>RGB - White Bacground- NORMALIZE (l2) - 40 data training / label</t>
  </si>
  <si>
    <t>Fitur Warna Histogram</t>
  </si>
  <si>
    <t>Skenario Histogram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</si>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</sst>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Poppins"/>
    </font>
    <font>
      <sz val="11"/>
      <color theme="1"/>
      <name val="Poppins"/>
    </font>
    <font>
      <sz val="11"/>
      <color rgb="FF006100"/>
      <name val="Poppins"/>
    </font>
    <font>
      <b/>
      <sz val="11"/>
      <color theme="1"/>
      <name val="Poppins"/>
    </font>
    <font>
      <i/>
      <sz val="11"/>
      <color rgb="FF006100"/>
      <name val="Poppins"/>
    </font>
    <font>
      <sz val="11"/>
      <color rgb="FF3F3F76"/>
      <name val="Calibri"/>
      <family val="2"/>
      <scheme val="minor"/>
    </font>
    <font>
      <b/>
      <sz val="22"/>
      <color rgb="FF3F3F76"/>
      <name val="Poppins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13" applyNumberFormat="0" applyAlignment="0" applyProtection="0"/>
  </cellStyleXfs>
  <cellXfs count="73">
    <xf numFmtId="0" fontId="0" fillId="0" borderId="0" xfId="0"/>
    <xf numFmtId="0" fontId="6" fillId="0" borderId="0" xfId="0" applyFont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6" fillId="0" borderId="0" xfId="0" applyFont="1"/>
    <xf numFmtId="2" fontId="6" fillId="9" borderId="2" xfId="8" applyNumberFormat="1" applyFont="1" applyBorder="1" applyAlignment="1">
      <alignment horizontal="center" vertical="center"/>
    </xf>
    <xf numFmtId="164" fontId="6" fillId="5" borderId="2" xfId="4" applyNumberFormat="1" applyFont="1" applyBorder="1" applyAlignment="1">
      <alignment horizontal="center" vertical="center"/>
    </xf>
    <xf numFmtId="164" fontId="6" fillId="6" borderId="2" xfId="5" applyNumberFormat="1" applyFont="1" applyBorder="1" applyAlignment="1">
      <alignment horizontal="center" vertical="center"/>
    </xf>
    <xf numFmtId="164" fontId="6" fillId="7" borderId="2" xfId="6" applyNumberFormat="1" applyFont="1" applyBorder="1" applyAlignment="1">
      <alignment horizontal="center" vertical="center"/>
    </xf>
    <xf numFmtId="164" fontId="6" fillId="8" borderId="2" xfId="7" applyNumberFormat="1" applyFont="1" applyBorder="1" applyAlignment="1">
      <alignment horizontal="center" vertical="center"/>
    </xf>
    <xf numFmtId="164" fontId="6" fillId="9" borderId="2" xfId="8" applyNumberFormat="1" applyFont="1" applyBorder="1" applyAlignment="1">
      <alignment horizontal="center" vertical="center"/>
    </xf>
    <xf numFmtId="164" fontId="6" fillId="4" borderId="2" xfId="3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2" fontId="6" fillId="4" borderId="4" xfId="3" applyNumberFormat="1" applyFont="1" applyBorder="1" applyAlignment="1">
      <alignment horizontal="center" vertical="center"/>
    </xf>
    <xf numFmtId="2" fontId="6" fillId="8" borderId="3" xfId="7" applyNumberFormat="1" applyFont="1" applyBorder="1" applyAlignment="1">
      <alignment horizontal="center" vertical="center"/>
    </xf>
    <xf numFmtId="2" fontId="6" fillId="8" borderId="11" xfId="7" applyNumberFormat="1" applyFont="1" applyBorder="1" applyAlignment="1">
      <alignment horizontal="center" vertical="center"/>
    </xf>
    <xf numFmtId="2" fontId="6" fillId="8" borderId="4" xfId="7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6" fillId="9" borderId="2" xfId="8" applyNumberFormat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 wrapText="1"/>
    </xf>
    <xf numFmtId="0" fontId="9" fillId="2" borderId="2" xfId="1" applyFont="1" applyBorder="1" applyAlignment="1">
      <alignment horizontal="center" vertical="center"/>
    </xf>
    <xf numFmtId="0" fontId="6" fillId="9" borderId="2" xfId="8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5" fillId="3" borderId="9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/>
    </xf>
    <xf numFmtId="0" fontId="6" fillId="0" borderId="0" xfId="0" applyFont="1"/>
    <xf numFmtId="2" fontId="6" fillId="5" borderId="3" xfId="4" applyNumberFormat="1" applyFont="1" applyBorder="1" applyAlignment="1">
      <alignment horizontal="center" vertical="center"/>
    </xf>
    <xf numFmtId="2" fontId="6" fillId="5" borderId="11" xfId="4" applyNumberFormat="1" applyFont="1" applyBorder="1" applyAlignment="1">
      <alignment horizontal="center" vertical="center"/>
    </xf>
    <xf numFmtId="2" fontId="6" fillId="5" borderId="4" xfId="4" applyNumberFormat="1" applyFont="1" applyBorder="1" applyAlignment="1">
      <alignment horizontal="center" vertical="center"/>
    </xf>
    <xf numFmtId="2" fontId="6" fillId="6" borderId="3" xfId="5" applyNumberFormat="1" applyFont="1" applyBorder="1" applyAlignment="1">
      <alignment horizontal="center" vertical="center"/>
    </xf>
    <xf numFmtId="2" fontId="6" fillId="6" borderId="11" xfId="5" applyNumberFormat="1" applyFont="1" applyBorder="1" applyAlignment="1">
      <alignment horizontal="center" vertical="center"/>
    </xf>
    <xf numFmtId="2" fontId="6" fillId="6" borderId="4" xfId="5" applyNumberFormat="1" applyFont="1" applyBorder="1" applyAlignment="1">
      <alignment horizontal="center" vertical="center"/>
    </xf>
    <xf numFmtId="2" fontId="6" fillId="7" borderId="3" xfId="6" applyNumberFormat="1" applyFont="1" applyBorder="1" applyAlignment="1">
      <alignment horizontal="center" vertical="center"/>
    </xf>
    <xf numFmtId="2" fontId="6" fillId="7" borderId="11" xfId="6" applyNumberFormat="1" applyFont="1" applyBorder="1" applyAlignment="1">
      <alignment horizontal="center" vertical="center"/>
    </xf>
    <xf numFmtId="2" fontId="6" fillId="7" borderId="4" xfId="6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11" fillId="10" borderId="13" xfId="9" applyFont="1" applyAlignment="1">
      <alignment horizontal="center"/>
    </xf>
    <xf numFmtId="0" fontId="8" fillId="5" borderId="2" xfId="4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8" fillId="7" borderId="2" xfId="6" applyFont="1" applyBorder="1" applyAlignment="1">
      <alignment horizontal="center" vertical="center"/>
    </xf>
    <xf numFmtId="0" fontId="8" fillId="9" borderId="2" xfId="8" applyFont="1" applyBorder="1" applyAlignment="1">
      <alignment horizontal="center" vertical="center"/>
    </xf>
    <xf numFmtId="0" fontId="8" fillId="8" borderId="2" xfId="7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0" fontId="7" fillId="2" borderId="2" xfId="1" applyFont="1" applyBorder="1" applyAlignment="1">
      <alignment vertical="center"/>
    </xf>
    <xf numFmtId="0" fontId="7" fillId="2" borderId="12" xfId="1" applyFont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7" fillId="2" borderId="15" xfId="1" applyFont="1" applyBorder="1" applyAlignment="1">
      <alignment horizontal="center" vertical="center"/>
    </xf>
    <xf numFmtId="0" fontId="7" fillId="2" borderId="15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</cellXfs>
  <cellStyles count="10">
    <cellStyle name="40% - Accent1" xfId="4" builtinId="31"/>
    <cellStyle name="40% - Accent2" xfId="5" builtinId="35"/>
    <cellStyle name="40% - Accent4" xfId="6" builtinId="43"/>
    <cellStyle name="40% - Accent5" xfId="8" builtinId="47"/>
    <cellStyle name="40% - Accent6" xfId="7" builtinId="51"/>
    <cellStyle name="Good" xfId="1" builtinId="26"/>
    <cellStyle name="Input" xfId="9" builtinId="20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E733-C703-4457-A14D-DC4A17A73E59}">
  <dimension ref="B3:AT99"/>
  <sheetViews>
    <sheetView zoomScale="25" zoomScaleNormal="25" workbookViewId="0">
      <selection activeCell="AA71" sqref="AA71"/>
    </sheetView>
  </sheetViews>
  <sheetFormatPr defaultColWidth="8.85546875" defaultRowHeight="21.75" x14ac:dyDescent="0.25"/>
  <cols>
    <col min="1" max="1" width="8.85546875" style="1"/>
    <col min="2" max="2" width="4.28515625" style="1" bestFit="1" customWidth="1"/>
    <col min="3" max="3" width="16.140625" style="1" bestFit="1" customWidth="1"/>
    <col min="4" max="4" width="14.42578125" style="1" bestFit="1" customWidth="1"/>
    <col min="5" max="5" width="16.140625" style="1" bestFit="1" customWidth="1"/>
    <col min="6" max="6" width="15.7109375" style="1" bestFit="1" customWidth="1"/>
    <col min="7" max="7" width="12.85546875" style="1" customWidth="1"/>
    <col min="8" max="8" width="13.42578125" style="1" customWidth="1"/>
    <col min="9" max="9" width="16.140625" style="1" bestFit="1" customWidth="1"/>
    <col min="10" max="10" width="16" style="1" bestFit="1" customWidth="1"/>
    <col min="11" max="12" width="15.140625" style="1" bestFit="1" customWidth="1"/>
    <col min="13" max="13" width="4.28515625" style="1" bestFit="1" customWidth="1"/>
    <col min="14" max="14" width="16.140625" style="1" bestFit="1" customWidth="1"/>
    <col min="15" max="15" width="14.42578125" style="1" bestFit="1" customWidth="1"/>
    <col min="16" max="16" width="16.140625" style="1" bestFit="1" customWidth="1"/>
    <col min="17" max="17" width="16" style="1" bestFit="1" customWidth="1"/>
    <col min="18" max="18" width="14.140625" style="1" customWidth="1"/>
    <col min="19" max="19" width="14.28515625" style="1" customWidth="1"/>
    <col min="20" max="20" width="15.140625" style="1" bestFit="1" customWidth="1"/>
    <col min="21" max="21" width="16" style="1" bestFit="1" customWidth="1"/>
    <col min="22" max="22" width="23.28515625" style="1" bestFit="1" customWidth="1"/>
    <col min="23" max="24" width="15.5703125" style="1" bestFit="1" customWidth="1"/>
    <col min="25" max="25" width="15.7109375" style="1" bestFit="1" customWidth="1"/>
    <col min="26" max="26" width="15.140625" style="1" bestFit="1" customWidth="1"/>
    <col min="27" max="27" width="14.42578125" style="1" bestFit="1" customWidth="1"/>
    <col min="28" max="28" width="16.140625" style="1" bestFit="1" customWidth="1"/>
    <col min="29" max="29" width="15.7109375" style="1" bestFit="1" customWidth="1"/>
    <col min="30" max="30" width="10.7109375" style="1" bestFit="1" customWidth="1"/>
    <col min="31" max="31" width="22.85546875" style="1" bestFit="1" customWidth="1"/>
    <col min="32" max="33" width="23.140625" style="1" bestFit="1" customWidth="1"/>
    <col min="34" max="34" width="23.28515625" style="1" bestFit="1" customWidth="1"/>
    <col min="35" max="35" width="16" style="1" bestFit="1" customWidth="1"/>
    <col min="36" max="36" width="9.28515625" style="1" bestFit="1" customWidth="1"/>
    <col min="37" max="37" width="16" style="1" bestFit="1" customWidth="1"/>
    <col min="38" max="38" width="14.42578125" style="1" bestFit="1" customWidth="1"/>
    <col min="39" max="39" width="16.140625" style="1" bestFit="1" customWidth="1"/>
    <col min="40" max="40" width="15.7109375" style="1" bestFit="1" customWidth="1"/>
    <col min="41" max="41" width="13.7109375" style="1" bestFit="1" customWidth="1"/>
    <col min="42" max="42" width="15.7109375" style="1" bestFit="1" customWidth="1"/>
    <col min="43" max="43" width="22.85546875" style="1" bestFit="1" customWidth="1"/>
    <col min="44" max="44" width="23.140625" style="1" bestFit="1" customWidth="1"/>
    <col min="45" max="45" width="23.28515625" style="1" bestFit="1" customWidth="1"/>
    <col min="46" max="46" width="23.140625" style="1" bestFit="1" customWidth="1"/>
    <col min="47" max="47" width="23.28515625" style="1" bestFit="1" customWidth="1"/>
    <col min="48" max="48" width="16" style="1" bestFit="1" customWidth="1"/>
    <col min="49" max="16384" width="8.85546875" style="1"/>
  </cols>
  <sheetData>
    <row r="3" spans="2:46" x14ac:dyDescent="0.25">
      <c r="B3" s="59" t="s">
        <v>33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X3" s="59" t="s">
        <v>50</v>
      </c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</row>
    <row r="4" spans="2:46" ht="21.75" customHeight="1" x14ac:dyDescent="0.25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</row>
    <row r="7" spans="2:46" x14ac:dyDescent="0.25">
      <c r="B7" s="42" t="s">
        <v>30</v>
      </c>
      <c r="C7" s="43"/>
      <c r="D7" s="43"/>
      <c r="E7" s="43"/>
      <c r="F7" s="43"/>
      <c r="G7" s="43"/>
      <c r="H7" s="43"/>
      <c r="I7" s="43"/>
      <c r="J7" s="43"/>
      <c r="K7" s="44"/>
      <c r="M7" s="42" t="s">
        <v>30</v>
      </c>
      <c r="N7" s="43"/>
      <c r="O7" s="43"/>
      <c r="P7" s="43"/>
      <c r="Q7" s="43"/>
      <c r="R7" s="43"/>
      <c r="S7" s="43"/>
      <c r="T7" s="43"/>
      <c r="U7" s="43"/>
      <c r="V7" s="44"/>
      <c r="X7" s="27" t="s">
        <v>32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 t="s">
        <v>32</v>
      </c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spans="2:46" x14ac:dyDescent="0.25">
      <c r="B8" s="45"/>
      <c r="C8" s="46"/>
      <c r="D8" s="46"/>
      <c r="E8" s="46"/>
      <c r="F8" s="46"/>
      <c r="G8" s="46"/>
      <c r="H8" s="46"/>
      <c r="I8" s="46"/>
      <c r="J8" s="46"/>
      <c r="K8" s="47"/>
      <c r="M8" s="45"/>
      <c r="N8" s="46"/>
      <c r="O8" s="46"/>
      <c r="P8" s="46"/>
      <c r="Q8" s="46"/>
      <c r="R8" s="46"/>
      <c r="S8" s="46"/>
      <c r="T8" s="46"/>
      <c r="U8" s="46"/>
      <c r="V8" s="4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spans="2:46" x14ac:dyDescent="0.25">
      <c r="B9" s="31" t="s">
        <v>5</v>
      </c>
      <c r="C9" s="31" t="s">
        <v>7</v>
      </c>
      <c r="D9" s="68" t="s">
        <v>6</v>
      </c>
      <c r="E9" s="69"/>
      <c r="F9" s="69"/>
      <c r="G9" s="69"/>
      <c r="H9" s="70"/>
      <c r="I9" s="40" t="s">
        <v>15</v>
      </c>
      <c r="J9" s="40" t="s">
        <v>16</v>
      </c>
      <c r="K9" s="39" t="s">
        <v>13</v>
      </c>
      <c r="M9" s="31" t="s">
        <v>5</v>
      </c>
      <c r="N9" s="31" t="s">
        <v>7</v>
      </c>
      <c r="O9" s="68" t="s">
        <v>6</v>
      </c>
      <c r="P9" s="69"/>
      <c r="Q9" s="69"/>
      <c r="R9" s="69"/>
      <c r="S9" s="70"/>
      <c r="T9" s="40" t="s">
        <v>15</v>
      </c>
      <c r="U9" s="40" t="s">
        <v>16</v>
      </c>
      <c r="V9" s="31" t="s">
        <v>13</v>
      </c>
      <c r="X9" s="31" t="s">
        <v>5</v>
      </c>
      <c r="Y9" s="31" t="s">
        <v>7</v>
      </c>
      <c r="Z9" s="68" t="s">
        <v>6</v>
      </c>
      <c r="AA9" s="69"/>
      <c r="AB9" s="69"/>
      <c r="AC9" s="69"/>
      <c r="AD9" s="70"/>
      <c r="AE9" s="71" t="s">
        <v>51</v>
      </c>
      <c r="AF9" s="40" t="s">
        <v>15</v>
      </c>
      <c r="AG9" s="40" t="s">
        <v>16</v>
      </c>
      <c r="AH9" s="31" t="s">
        <v>13</v>
      </c>
      <c r="AJ9" s="31" t="s">
        <v>5</v>
      </c>
      <c r="AK9" s="31" t="s">
        <v>7</v>
      </c>
      <c r="AL9" s="68" t="s">
        <v>6</v>
      </c>
      <c r="AM9" s="69"/>
      <c r="AN9" s="69"/>
      <c r="AO9" s="69"/>
      <c r="AP9" s="70"/>
      <c r="AQ9" s="71" t="s">
        <v>51</v>
      </c>
      <c r="AR9" s="41" t="s">
        <v>15</v>
      </c>
      <c r="AS9" s="40" t="s">
        <v>16</v>
      </c>
      <c r="AT9" s="31" t="s">
        <v>13</v>
      </c>
    </row>
    <row r="10" spans="2:46" x14ac:dyDescent="0.25">
      <c r="B10" s="31"/>
      <c r="C10" s="31"/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41"/>
      <c r="J10" s="41"/>
      <c r="K10" s="58"/>
      <c r="M10" s="31"/>
      <c r="N10" s="31"/>
      <c r="O10" s="2" t="s">
        <v>0</v>
      </c>
      <c r="P10" s="2" t="s">
        <v>1</v>
      </c>
      <c r="Q10" s="2" t="s">
        <v>2</v>
      </c>
      <c r="R10" s="2" t="s">
        <v>3</v>
      </c>
      <c r="S10" s="2" t="s">
        <v>4</v>
      </c>
      <c r="T10" s="41"/>
      <c r="U10" s="41"/>
      <c r="V10" s="31"/>
      <c r="X10" s="31"/>
      <c r="Y10" s="31"/>
      <c r="Z10" s="2" t="s">
        <v>0</v>
      </c>
      <c r="AA10" s="2" t="s">
        <v>1</v>
      </c>
      <c r="AB10" s="2" t="s">
        <v>2</v>
      </c>
      <c r="AC10" s="2" t="s">
        <v>3</v>
      </c>
      <c r="AD10" s="2" t="s">
        <v>4</v>
      </c>
      <c r="AE10" s="12" t="s">
        <v>52</v>
      </c>
      <c r="AF10" s="41"/>
      <c r="AG10" s="41"/>
      <c r="AH10" s="31"/>
      <c r="AJ10" s="31"/>
      <c r="AK10" s="31"/>
      <c r="AL10" s="2" t="s">
        <v>0</v>
      </c>
      <c r="AM10" s="2" t="s">
        <v>1</v>
      </c>
      <c r="AN10" s="2" t="s">
        <v>2</v>
      </c>
      <c r="AO10" s="2" t="s">
        <v>3</v>
      </c>
      <c r="AP10" s="2" t="s">
        <v>4</v>
      </c>
      <c r="AQ10" s="12" t="s">
        <v>52</v>
      </c>
      <c r="AR10" s="72"/>
      <c r="AS10" s="41"/>
      <c r="AT10" s="31"/>
    </row>
    <row r="11" spans="2:46" x14ac:dyDescent="0.25">
      <c r="B11" s="3">
        <v>1</v>
      </c>
      <c r="C11" s="3" t="s">
        <v>9</v>
      </c>
      <c r="D11" s="60" t="s">
        <v>10</v>
      </c>
      <c r="E11" s="60" t="s">
        <v>10</v>
      </c>
      <c r="F11" s="60" t="s">
        <v>10</v>
      </c>
      <c r="G11" s="60"/>
      <c r="H11" s="3">
        <v>1</v>
      </c>
      <c r="I11" s="7">
        <v>0.8</v>
      </c>
      <c r="J11" s="7">
        <v>0.7</v>
      </c>
      <c r="K11" s="49">
        <f>MAX(I11:J15)</f>
        <v>0.8</v>
      </c>
      <c r="M11" s="3">
        <v>1</v>
      </c>
      <c r="N11" s="3" t="s">
        <v>8</v>
      </c>
      <c r="O11" s="60" t="s">
        <v>10</v>
      </c>
      <c r="P11" s="60" t="s">
        <v>10</v>
      </c>
      <c r="Q11" s="60" t="s">
        <v>10</v>
      </c>
      <c r="R11" s="60"/>
      <c r="S11" s="3">
        <v>1</v>
      </c>
      <c r="T11" s="7">
        <v>0.65</v>
      </c>
      <c r="U11" s="7">
        <v>0.7</v>
      </c>
      <c r="V11" s="32">
        <f>MAX(T11:U15)</f>
        <v>0.75</v>
      </c>
      <c r="X11" s="3">
        <v>1</v>
      </c>
      <c r="Y11" s="3" t="s">
        <v>9</v>
      </c>
      <c r="Z11" s="60" t="s">
        <v>10</v>
      </c>
      <c r="AA11" s="60" t="s">
        <v>10</v>
      </c>
      <c r="AB11" s="60" t="s">
        <v>10</v>
      </c>
      <c r="AC11" s="60"/>
      <c r="AD11" s="3">
        <v>1</v>
      </c>
      <c r="AE11" s="3">
        <v>16</v>
      </c>
      <c r="AF11" s="7">
        <v>0.55000000000000004</v>
      </c>
      <c r="AG11" s="7">
        <v>0.7</v>
      </c>
      <c r="AH11" s="32">
        <f>MAX(AF11:AG15)</f>
        <v>0.7</v>
      </c>
      <c r="AJ11" s="3">
        <v>1</v>
      </c>
      <c r="AK11" s="3" t="s">
        <v>8</v>
      </c>
      <c r="AL11" s="60" t="s">
        <v>10</v>
      </c>
      <c r="AM11" s="60" t="s">
        <v>10</v>
      </c>
      <c r="AN11" s="60" t="s">
        <v>10</v>
      </c>
      <c r="AO11" s="60"/>
      <c r="AP11" s="3">
        <v>1</v>
      </c>
      <c r="AQ11" s="3">
        <v>16</v>
      </c>
      <c r="AR11" s="7">
        <v>0.9</v>
      </c>
      <c r="AS11" s="7">
        <v>0.9</v>
      </c>
      <c r="AT11" s="32">
        <f>MAX(AR11:AS15)</f>
        <v>0.9</v>
      </c>
    </row>
    <row r="12" spans="2:46" x14ac:dyDescent="0.25">
      <c r="B12" s="3">
        <v>2</v>
      </c>
      <c r="C12" s="3" t="s">
        <v>9</v>
      </c>
      <c r="D12" s="60" t="s">
        <v>10</v>
      </c>
      <c r="E12" s="60" t="s">
        <v>10</v>
      </c>
      <c r="F12" s="60" t="s">
        <v>10</v>
      </c>
      <c r="G12" s="60"/>
      <c r="H12" s="3">
        <v>2</v>
      </c>
      <c r="I12" s="7">
        <v>0.75</v>
      </c>
      <c r="J12" s="7">
        <v>0.7</v>
      </c>
      <c r="K12" s="50"/>
      <c r="M12" s="3">
        <v>2</v>
      </c>
      <c r="N12" s="3" t="s">
        <v>8</v>
      </c>
      <c r="O12" s="60" t="s">
        <v>10</v>
      </c>
      <c r="P12" s="60" t="s">
        <v>10</v>
      </c>
      <c r="Q12" s="60" t="s">
        <v>10</v>
      </c>
      <c r="R12" s="60"/>
      <c r="S12" s="3">
        <v>2</v>
      </c>
      <c r="T12" s="7">
        <v>0.65</v>
      </c>
      <c r="U12" s="7">
        <v>0.75</v>
      </c>
      <c r="V12" s="32"/>
      <c r="X12" s="3">
        <v>2</v>
      </c>
      <c r="Y12" s="3" t="s">
        <v>9</v>
      </c>
      <c r="Z12" s="60" t="s">
        <v>10</v>
      </c>
      <c r="AA12" s="60" t="s">
        <v>10</v>
      </c>
      <c r="AB12" s="60" t="s">
        <v>10</v>
      </c>
      <c r="AC12" s="60"/>
      <c r="AD12" s="3">
        <v>2</v>
      </c>
      <c r="AE12" s="3">
        <v>16</v>
      </c>
      <c r="AF12" s="7">
        <v>0.55000000000000004</v>
      </c>
      <c r="AG12" s="7">
        <v>0.7</v>
      </c>
      <c r="AH12" s="32"/>
      <c r="AJ12" s="3">
        <v>2</v>
      </c>
      <c r="AK12" s="3" t="s">
        <v>8</v>
      </c>
      <c r="AL12" s="60" t="s">
        <v>10</v>
      </c>
      <c r="AM12" s="60" t="s">
        <v>10</v>
      </c>
      <c r="AN12" s="60" t="s">
        <v>10</v>
      </c>
      <c r="AO12" s="60"/>
      <c r="AP12" s="3">
        <v>2</v>
      </c>
      <c r="AQ12" s="3">
        <v>16</v>
      </c>
      <c r="AR12" s="7">
        <v>0.9</v>
      </c>
      <c r="AS12" s="7">
        <v>0.9</v>
      </c>
      <c r="AT12" s="32"/>
    </row>
    <row r="13" spans="2:46" x14ac:dyDescent="0.25">
      <c r="B13" s="3">
        <v>3</v>
      </c>
      <c r="C13" s="3" t="s">
        <v>9</v>
      </c>
      <c r="D13" s="60" t="s">
        <v>10</v>
      </c>
      <c r="E13" s="60" t="s">
        <v>10</v>
      </c>
      <c r="F13" s="60" t="s">
        <v>10</v>
      </c>
      <c r="G13" s="60"/>
      <c r="H13" s="3">
        <v>3</v>
      </c>
      <c r="I13" s="7">
        <v>0.75</v>
      </c>
      <c r="J13" s="7">
        <v>0.65</v>
      </c>
      <c r="K13" s="50"/>
      <c r="M13" s="3">
        <v>3</v>
      </c>
      <c r="N13" s="3" t="s">
        <v>8</v>
      </c>
      <c r="O13" s="60" t="s">
        <v>10</v>
      </c>
      <c r="P13" s="60" t="s">
        <v>10</v>
      </c>
      <c r="Q13" s="60" t="s">
        <v>10</v>
      </c>
      <c r="R13" s="60"/>
      <c r="S13" s="3">
        <v>3</v>
      </c>
      <c r="T13" s="7">
        <v>0.55000000000000004</v>
      </c>
      <c r="U13" s="7">
        <v>0.65</v>
      </c>
      <c r="V13" s="32"/>
      <c r="X13" s="3">
        <v>3</v>
      </c>
      <c r="Y13" s="3" t="s">
        <v>9</v>
      </c>
      <c r="Z13" s="60" t="s">
        <v>10</v>
      </c>
      <c r="AA13" s="60" t="s">
        <v>10</v>
      </c>
      <c r="AB13" s="60" t="s">
        <v>10</v>
      </c>
      <c r="AC13" s="60"/>
      <c r="AD13" s="3">
        <v>3</v>
      </c>
      <c r="AE13" s="3">
        <v>16</v>
      </c>
      <c r="AF13" s="7">
        <v>0.55000000000000004</v>
      </c>
      <c r="AG13" s="7">
        <v>0.7</v>
      </c>
      <c r="AH13" s="32"/>
      <c r="AJ13" s="3">
        <v>3</v>
      </c>
      <c r="AK13" s="3" t="s">
        <v>8</v>
      </c>
      <c r="AL13" s="60" t="s">
        <v>10</v>
      </c>
      <c r="AM13" s="60" t="s">
        <v>10</v>
      </c>
      <c r="AN13" s="60" t="s">
        <v>10</v>
      </c>
      <c r="AO13" s="60"/>
      <c r="AP13" s="3">
        <v>3</v>
      </c>
      <c r="AQ13" s="3">
        <v>16</v>
      </c>
      <c r="AR13" s="7">
        <v>0.9</v>
      </c>
      <c r="AS13" s="7">
        <v>0.9</v>
      </c>
      <c r="AT13" s="32"/>
    </row>
    <row r="14" spans="2:46" x14ac:dyDescent="0.25">
      <c r="B14" s="3">
        <v>4</v>
      </c>
      <c r="C14" s="3" t="s">
        <v>9</v>
      </c>
      <c r="D14" s="60" t="s">
        <v>10</v>
      </c>
      <c r="E14" s="60" t="s">
        <v>10</v>
      </c>
      <c r="F14" s="60" t="s">
        <v>10</v>
      </c>
      <c r="G14" s="60"/>
      <c r="H14" s="3">
        <v>4</v>
      </c>
      <c r="I14" s="7">
        <v>0.75</v>
      </c>
      <c r="J14" s="7">
        <v>0.7</v>
      </c>
      <c r="K14" s="50"/>
      <c r="M14" s="3">
        <v>4</v>
      </c>
      <c r="N14" s="3" t="s">
        <v>8</v>
      </c>
      <c r="O14" s="60" t="s">
        <v>10</v>
      </c>
      <c r="P14" s="60" t="s">
        <v>10</v>
      </c>
      <c r="Q14" s="60" t="s">
        <v>10</v>
      </c>
      <c r="R14" s="60"/>
      <c r="S14" s="3">
        <v>4</v>
      </c>
      <c r="T14" s="7">
        <v>0.65</v>
      </c>
      <c r="U14" s="7">
        <v>0.65</v>
      </c>
      <c r="V14" s="32"/>
      <c r="X14" s="3">
        <v>4</v>
      </c>
      <c r="Y14" s="3" t="s">
        <v>9</v>
      </c>
      <c r="Z14" s="60" t="s">
        <v>10</v>
      </c>
      <c r="AA14" s="60" t="s">
        <v>10</v>
      </c>
      <c r="AB14" s="60" t="s">
        <v>10</v>
      </c>
      <c r="AC14" s="60"/>
      <c r="AD14" s="3">
        <v>4</v>
      </c>
      <c r="AE14" s="3">
        <v>16</v>
      </c>
      <c r="AF14" s="7">
        <v>0.55000000000000004</v>
      </c>
      <c r="AG14" s="7">
        <v>0.7</v>
      </c>
      <c r="AH14" s="32"/>
      <c r="AJ14" s="3">
        <v>4</v>
      </c>
      <c r="AK14" s="3" t="s">
        <v>8</v>
      </c>
      <c r="AL14" s="60" t="s">
        <v>10</v>
      </c>
      <c r="AM14" s="60" t="s">
        <v>10</v>
      </c>
      <c r="AN14" s="60" t="s">
        <v>10</v>
      </c>
      <c r="AO14" s="60"/>
      <c r="AP14" s="3">
        <v>4</v>
      </c>
      <c r="AQ14" s="3">
        <v>16</v>
      </c>
      <c r="AR14" s="7">
        <v>0.9</v>
      </c>
      <c r="AS14" s="7">
        <v>0.9</v>
      </c>
      <c r="AT14" s="32"/>
    </row>
    <row r="15" spans="2:46" x14ac:dyDescent="0.25">
      <c r="B15" s="3">
        <v>5</v>
      </c>
      <c r="C15" s="3" t="s">
        <v>9</v>
      </c>
      <c r="D15" s="60" t="s">
        <v>10</v>
      </c>
      <c r="E15" s="60" t="s">
        <v>10</v>
      </c>
      <c r="F15" s="60" t="s">
        <v>10</v>
      </c>
      <c r="G15" s="60"/>
      <c r="H15" s="3">
        <v>5</v>
      </c>
      <c r="I15" s="7">
        <v>0.75</v>
      </c>
      <c r="J15" s="7">
        <v>0.65</v>
      </c>
      <c r="K15" s="51"/>
      <c r="M15" s="3">
        <v>5</v>
      </c>
      <c r="N15" s="3" t="s">
        <v>8</v>
      </c>
      <c r="O15" s="60" t="s">
        <v>10</v>
      </c>
      <c r="P15" s="60" t="s">
        <v>10</v>
      </c>
      <c r="Q15" s="60" t="s">
        <v>10</v>
      </c>
      <c r="R15" s="60"/>
      <c r="S15" s="3">
        <v>5</v>
      </c>
      <c r="T15" s="7">
        <v>0.7</v>
      </c>
      <c r="U15" s="7">
        <v>0.65</v>
      </c>
      <c r="V15" s="32"/>
      <c r="X15" s="3">
        <v>5</v>
      </c>
      <c r="Y15" s="3" t="s">
        <v>9</v>
      </c>
      <c r="Z15" s="60" t="s">
        <v>10</v>
      </c>
      <c r="AA15" s="60" t="s">
        <v>10</v>
      </c>
      <c r="AB15" s="60" t="s">
        <v>10</v>
      </c>
      <c r="AC15" s="60"/>
      <c r="AD15" s="3">
        <v>5</v>
      </c>
      <c r="AE15" s="3">
        <v>16</v>
      </c>
      <c r="AF15" s="7">
        <v>0.55000000000000004</v>
      </c>
      <c r="AG15" s="7">
        <v>0.7</v>
      </c>
      <c r="AH15" s="32"/>
      <c r="AJ15" s="3">
        <v>5</v>
      </c>
      <c r="AK15" s="3" t="s">
        <v>8</v>
      </c>
      <c r="AL15" s="60" t="s">
        <v>10</v>
      </c>
      <c r="AM15" s="60" t="s">
        <v>10</v>
      </c>
      <c r="AN15" s="60" t="s">
        <v>10</v>
      </c>
      <c r="AO15" s="60"/>
      <c r="AP15" s="3">
        <v>5</v>
      </c>
      <c r="AQ15" s="3">
        <v>16</v>
      </c>
      <c r="AR15" s="7">
        <v>0.9</v>
      </c>
      <c r="AS15" s="7">
        <v>0.9</v>
      </c>
      <c r="AT15" s="32"/>
    </row>
    <row r="16" spans="2:46" x14ac:dyDescent="0.25">
      <c r="B16" s="3">
        <v>6</v>
      </c>
      <c r="C16" s="3" t="s">
        <v>9</v>
      </c>
      <c r="D16" s="61" t="s">
        <v>10</v>
      </c>
      <c r="E16" s="61" t="s">
        <v>10</v>
      </c>
      <c r="F16" s="61"/>
      <c r="G16" s="61" t="s">
        <v>10</v>
      </c>
      <c r="H16" s="3">
        <v>1</v>
      </c>
      <c r="I16" s="9">
        <v>0.75</v>
      </c>
      <c r="J16" s="9">
        <v>0.65</v>
      </c>
      <c r="K16" s="52">
        <f>MAX(I16:J20)</f>
        <v>0.75</v>
      </c>
      <c r="M16" s="3">
        <v>6</v>
      </c>
      <c r="N16" s="3" t="s">
        <v>8</v>
      </c>
      <c r="O16" s="61" t="s">
        <v>10</v>
      </c>
      <c r="P16" s="61" t="s">
        <v>10</v>
      </c>
      <c r="Q16" s="61"/>
      <c r="R16" s="61" t="s">
        <v>10</v>
      </c>
      <c r="S16" s="3">
        <v>1</v>
      </c>
      <c r="T16" s="9">
        <v>0.6</v>
      </c>
      <c r="U16" s="9">
        <v>0.65</v>
      </c>
      <c r="V16" s="28">
        <f>MAX(T16:U20)</f>
        <v>0.65</v>
      </c>
      <c r="X16" s="3">
        <v>6</v>
      </c>
      <c r="Y16" s="3" t="s">
        <v>9</v>
      </c>
      <c r="Z16" s="61" t="s">
        <v>10</v>
      </c>
      <c r="AA16" s="61" t="s">
        <v>10</v>
      </c>
      <c r="AB16" s="61"/>
      <c r="AC16" s="61" t="s">
        <v>10</v>
      </c>
      <c r="AD16" s="3">
        <v>1</v>
      </c>
      <c r="AE16" s="3">
        <v>16</v>
      </c>
      <c r="AF16" s="9">
        <v>0.55000000000000004</v>
      </c>
      <c r="AG16" s="9">
        <v>0.65</v>
      </c>
      <c r="AH16" s="28">
        <f>MAX(AF16:AG20)</f>
        <v>0.75</v>
      </c>
      <c r="AJ16" s="3">
        <v>6</v>
      </c>
      <c r="AK16" s="3" t="s">
        <v>8</v>
      </c>
      <c r="AL16" s="61" t="s">
        <v>10</v>
      </c>
      <c r="AM16" s="61" t="s">
        <v>10</v>
      </c>
      <c r="AN16" s="61"/>
      <c r="AO16" s="61" t="s">
        <v>10</v>
      </c>
      <c r="AP16" s="3">
        <v>1</v>
      </c>
      <c r="AQ16" s="3">
        <v>16</v>
      </c>
      <c r="AR16" s="9">
        <v>0.95</v>
      </c>
      <c r="AS16" s="9">
        <v>0.95</v>
      </c>
      <c r="AT16" s="28">
        <f>MAX(AR16:AS20)</f>
        <v>0.95</v>
      </c>
    </row>
    <row r="17" spans="2:46" x14ac:dyDescent="0.25">
      <c r="B17" s="3">
        <v>7</v>
      </c>
      <c r="C17" s="3" t="s">
        <v>9</v>
      </c>
      <c r="D17" s="61" t="s">
        <v>10</v>
      </c>
      <c r="E17" s="61" t="s">
        <v>10</v>
      </c>
      <c r="F17" s="61"/>
      <c r="G17" s="61" t="s">
        <v>10</v>
      </c>
      <c r="H17" s="3">
        <v>2</v>
      </c>
      <c r="I17" s="9">
        <v>0.75</v>
      </c>
      <c r="J17" s="9">
        <v>0.65</v>
      </c>
      <c r="K17" s="53"/>
      <c r="M17" s="3">
        <v>7</v>
      </c>
      <c r="N17" s="3" t="s">
        <v>8</v>
      </c>
      <c r="O17" s="61" t="s">
        <v>10</v>
      </c>
      <c r="P17" s="61" t="s">
        <v>10</v>
      </c>
      <c r="Q17" s="61"/>
      <c r="R17" s="61" t="s">
        <v>10</v>
      </c>
      <c r="S17" s="3">
        <v>2</v>
      </c>
      <c r="T17" s="9">
        <v>0.6</v>
      </c>
      <c r="U17" s="9">
        <v>0.65</v>
      </c>
      <c r="V17" s="28"/>
      <c r="X17" s="3">
        <v>7</v>
      </c>
      <c r="Y17" s="3" t="s">
        <v>9</v>
      </c>
      <c r="Z17" s="61" t="s">
        <v>10</v>
      </c>
      <c r="AA17" s="61" t="s">
        <v>10</v>
      </c>
      <c r="AB17" s="61"/>
      <c r="AC17" s="61" t="s">
        <v>10</v>
      </c>
      <c r="AD17" s="3">
        <v>2</v>
      </c>
      <c r="AE17" s="3">
        <v>16</v>
      </c>
      <c r="AF17" s="9">
        <v>0.55000000000000004</v>
      </c>
      <c r="AG17" s="9">
        <v>0.65</v>
      </c>
      <c r="AH17" s="28"/>
      <c r="AJ17" s="3">
        <v>7</v>
      </c>
      <c r="AK17" s="3" t="s">
        <v>8</v>
      </c>
      <c r="AL17" s="61" t="s">
        <v>10</v>
      </c>
      <c r="AM17" s="61" t="s">
        <v>10</v>
      </c>
      <c r="AN17" s="61"/>
      <c r="AO17" s="61" t="s">
        <v>10</v>
      </c>
      <c r="AP17" s="3">
        <v>2</v>
      </c>
      <c r="AQ17" s="3">
        <v>16</v>
      </c>
      <c r="AR17" s="9">
        <v>0.9</v>
      </c>
      <c r="AS17" s="9">
        <v>0.95</v>
      </c>
      <c r="AT17" s="28"/>
    </row>
    <row r="18" spans="2:46" x14ac:dyDescent="0.25">
      <c r="B18" s="3">
        <v>8</v>
      </c>
      <c r="C18" s="3" t="s">
        <v>9</v>
      </c>
      <c r="D18" s="61" t="s">
        <v>10</v>
      </c>
      <c r="E18" s="61" t="s">
        <v>10</v>
      </c>
      <c r="F18" s="61"/>
      <c r="G18" s="61" t="s">
        <v>10</v>
      </c>
      <c r="H18" s="3">
        <v>3</v>
      </c>
      <c r="I18" s="9">
        <v>0.7</v>
      </c>
      <c r="J18" s="9">
        <v>0.6</v>
      </c>
      <c r="K18" s="53"/>
      <c r="M18" s="3">
        <v>8</v>
      </c>
      <c r="N18" s="3" t="s">
        <v>8</v>
      </c>
      <c r="O18" s="61" t="s">
        <v>10</v>
      </c>
      <c r="P18" s="61" t="s">
        <v>10</v>
      </c>
      <c r="Q18" s="61"/>
      <c r="R18" s="61" t="s">
        <v>10</v>
      </c>
      <c r="S18" s="3">
        <v>3</v>
      </c>
      <c r="T18" s="9">
        <v>0.55000000000000004</v>
      </c>
      <c r="U18" s="9">
        <v>0.6</v>
      </c>
      <c r="V18" s="28"/>
      <c r="X18" s="3">
        <v>8</v>
      </c>
      <c r="Y18" s="3" t="s">
        <v>9</v>
      </c>
      <c r="Z18" s="61" t="s">
        <v>10</v>
      </c>
      <c r="AA18" s="61" t="s">
        <v>10</v>
      </c>
      <c r="AB18" s="61"/>
      <c r="AC18" s="61" t="s">
        <v>10</v>
      </c>
      <c r="AD18" s="3">
        <v>3</v>
      </c>
      <c r="AE18" s="3">
        <v>16</v>
      </c>
      <c r="AF18" s="9">
        <v>0.55000000000000004</v>
      </c>
      <c r="AG18" s="9">
        <v>0.7</v>
      </c>
      <c r="AH18" s="28"/>
      <c r="AJ18" s="3">
        <v>8</v>
      </c>
      <c r="AK18" s="3" t="s">
        <v>8</v>
      </c>
      <c r="AL18" s="61" t="s">
        <v>10</v>
      </c>
      <c r="AM18" s="61" t="s">
        <v>10</v>
      </c>
      <c r="AN18" s="61"/>
      <c r="AO18" s="61" t="s">
        <v>10</v>
      </c>
      <c r="AP18" s="3">
        <v>3</v>
      </c>
      <c r="AQ18" s="3">
        <v>16</v>
      </c>
      <c r="AR18" s="9">
        <v>0.9</v>
      </c>
      <c r="AS18" s="9">
        <v>0.95</v>
      </c>
      <c r="AT18" s="28"/>
    </row>
    <row r="19" spans="2:46" x14ac:dyDescent="0.25">
      <c r="B19" s="3">
        <v>9</v>
      </c>
      <c r="C19" s="3" t="s">
        <v>9</v>
      </c>
      <c r="D19" s="61" t="s">
        <v>10</v>
      </c>
      <c r="E19" s="61" t="s">
        <v>10</v>
      </c>
      <c r="F19" s="61"/>
      <c r="G19" s="61" t="s">
        <v>10</v>
      </c>
      <c r="H19" s="3">
        <v>4</v>
      </c>
      <c r="I19" s="9">
        <v>0.65</v>
      </c>
      <c r="J19" s="9">
        <v>0.5</v>
      </c>
      <c r="K19" s="53"/>
      <c r="M19" s="3">
        <v>9</v>
      </c>
      <c r="N19" s="3" t="s">
        <v>8</v>
      </c>
      <c r="O19" s="61" t="s">
        <v>10</v>
      </c>
      <c r="P19" s="61" t="s">
        <v>10</v>
      </c>
      <c r="Q19" s="61"/>
      <c r="R19" s="61" t="s">
        <v>10</v>
      </c>
      <c r="S19" s="3">
        <v>4</v>
      </c>
      <c r="T19" s="9">
        <v>0.5</v>
      </c>
      <c r="U19" s="9">
        <v>0.6</v>
      </c>
      <c r="V19" s="28"/>
      <c r="X19" s="3">
        <v>9</v>
      </c>
      <c r="Y19" s="3" t="s">
        <v>9</v>
      </c>
      <c r="Z19" s="61" t="s">
        <v>10</v>
      </c>
      <c r="AA19" s="61" t="s">
        <v>10</v>
      </c>
      <c r="AB19" s="61"/>
      <c r="AC19" s="61" t="s">
        <v>10</v>
      </c>
      <c r="AD19" s="3">
        <v>4</v>
      </c>
      <c r="AE19" s="3">
        <v>16</v>
      </c>
      <c r="AF19" s="9">
        <v>0.55000000000000004</v>
      </c>
      <c r="AG19" s="9">
        <v>0.75</v>
      </c>
      <c r="AH19" s="28"/>
      <c r="AJ19" s="3">
        <v>9</v>
      </c>
      <c r="AK19" s="3" t="s">
        <v>8</v>
      </c>
      <c r="AL19" s="61" t="s">
        <v>10</v>
      </c>
      <c r="AM19" s="61" t="s">
        <v>10</v>
      </c>
      <c r="AN19" s="61"/>
      <c r="AO19" s="61" t="s">
        <v>10</v>
      </c>
      <c r="AP19" s="3">
        <v>4</v>
      </c>
      <c r="AQ19" s="3">
        <v>16</v>
      </c>
      <c r="AR19" s="9">
        <v>0.9</v>
      </c>
      <c r="AS19" s="9">
        <v>0.95</v>
      </c>
      <c r="AT19" s="28"/>
    </row>
    <row r="20" spans="2:46" x14ac:dyDescent="0.25">
      <c r="B20" s="3">
        <v>10</v>
      </c>
      <c r="C20" s="3" t="s">
        <v>9</v>
      </c>
      <c r="D20" s="61" t="s">
        <v>10</v>
      </c>
      <c r="E20" s="61" t="s">
        <v>10</v>
      </c>
      <c r="F20" s="61"/>
      <c r="G20" s="61" t="s">
        <v>10</v>
      </c>
      <c r="H20" s="3">
        <v>5</v>
      </c>
      <c r="I20" s="9">
        <v>0.55000000000000004</v>
      </c>
      <c r="J20" s="9">
        <v>0.55000000000000004</v>
      </c>
      <c r="K20" s="54"/>
      <c r="M20" s="3">
        <v>10</v>
      </c>
      <c r="N20" s="3" t="s">
        <v>8</v>
      </c>
      <c r="O20" s="61" t="s">
        <v>10</v>
      </c>
      <c r="P20" s="61" t="s">
        <v>10</v>
      </c>
      <c r="Q20" s="61"/>
      <c r="R20" s="61" t="s">
        <v>10</v>
      </c>
      <c r="S20" s="3">
        <v>5</v>
      </c>
      <c r="T20" s="9">
        <v>0.45</v>
      </c>
      <c r="U20" s="9">
        <v>0.65</v>
      </c>
      <c r="V20" s="28"/>
      <c r="X20" s="3">
        <v>10</v>
      </c>
      <c r="Y20" s="3" t="s">
        <v>9</v>
      </c>
      <c r="Z20" s="61" t="s">
        <v>10</v>
      </c>
      <c r="AA20" s="61" t="s">
        <v>10</v>
      </c>
      <c r="AB20" s="61"/>
      <c r="AC20" s="61" t="s">
        <v>10</v>
      </c>
      <c r="AD20" s="3">
        <v>5</v>
      </c>
      <c r="AE20" s="3">
        <v>16</v>
      </c>
      <c r="AF20" s="9">
        <v>0.55000000000000004</v>
      </c>
      <c r="AG20" s="9">
        <v>0.75</v>
      </c>
      <c r="AH20" s="28"/>
      <c r="AJ20" s="3">
        <v>10</v>
      </c>
      <c r="AK20" s="3" t="s">
        <v>8</v>
      </c>
      <c r="AL20" s="61" t="s">
        <v>10</v>
      </c>
      <c r="AM20" s="61" t="s">
        <v>10</v>
      </c>
      <c r="AN20" s="61"/>
      <c r="AO20" s="61" t="s">
        <v>10</v>
      </c>
      <c r="AP20" s="3">
        <v>5</v>
      </c>
      <c r="AQ20" s="3">
        <v>16</v>
      </c>
      <c r="AR20" s="9">
        <v>0.9</v>
      </c>
      <c r="AS20" s="9">
        <v>0.95</v>
      </c>
      <c r="AT20" s="28"/>
    </row>
    <row r="21" spans="2:46" x14ac:dyDescent="0.25">
      <c r="B21" s="3">
        <v>11</v>
      </c>
      <c r="C21" s="3" t="s">
        <v>9</v>
      </c>
      <c r="D21" s="62" t="s">
        <v>10</v>
      </c>
      <c r="E21" s="62"/>
      <c r="F21" s="62" t="s">
        <v>10</v>
      </c>
      <c r="G21" s="62" t="s">
        <v>10</v>
      </c>
      <c r="H21" s="3">
        <v>1</v>
      </c>
      <c r="I21" s="10">
        <v>0.75</v>
      </c>
      <c r="J21" s="10">
        <v>0.65</v>
      </c>
      <c r="K21" s="55">
        <f>MAX(I21:J25)</f>
        <v>0.75</v>
      </c>
      <c r="M21" s="3">
        <v>11</v>
      </c>
      <c r="N21" s="3" t="s">
        <v>8</v>
      </c>
      <c r="O21" s="62" t="s">
        <v>10</v>
      </c>
      <c r="P21" s="62"/>
      <c r="Q21" s="62" t="s">
        <v>10</v>
      </c>
      <c r="R21" s="62" t="s">
        <v>10</v>
      </c>
      <c r="S21" s="3">
        <v>1</v>
      </c>
      <c r="T21" s="10">
        <v>0.7</v>
      </c>
      <c r="U21" s="10">
        <v>0.65</v>
      </c>
      <c r="V21" s="29">
        <f>MAX(T21:U25)</f>
        <v>0.7</v>
      </c>
      <c r="X21" s="3">
        <v>11</v>
      </c>
      <c r="Y21" s="3" t="s">
        <v>9</v>
      </c>
      <c r="Z21" s="62" t="s">
        <v>10</v>
      </c>
      <c r="AA21" s="62"/>
      <c r="AB21" s="62" t="s">
        <v>10</v>
      </c>
      <c r="AC21" s="62" t="s">
        <v>10</v>
      </c>
      <c r="AD21" s="3">
        <v>1</v>
      </c>
      <c r="AE21" s="3">
        <v>16</v>
      </c>
      <c r="AF21" s="10">
        <v>0.55000000000000004</v>
      </c>
      <c r="AG21" s="10">
        <v>0.65</v>
      </c>
      <c r="AH21" s="29">
        <f>MAX(AF21:AG25)</f>
        <v>0.75</v>
      </c>
      <c r="AJ21" s="3">
        <v>11</v>
      </c>
      <c r="AK21" s="3" t="s">
        <v>8</v>
      </c>
      <c r="AL21" s="62" t="s">
        <v>10</v>
      </c>
      <c r="AM21" s="62"/>
      <c r="AN21" s="62" t="s">
        <v>10</v>
      </c>
      <c r="AO21" s="62" t="s">
        <v>10</v>
      </c>
      <c r="AP21" s="3">
        <v>1</v>
      </c>
      <c r="AQ21" s="3">
        <v>16</v>
      </c>
      <c r="AR21" s="10">
        <v>0.95</v>
      </c>
      <c r="AS21" s="10">
        <v>0.95</v>
      </c>
      <c r="AT21" s="29">
        <f>MAX(AR21:AS25)</f>
        <v>0.95</v>
      </c>
    </row>
    <row r="22" spans="2:46" x14ac:dyDescent="0.25">
      <c r="B22" s="3">
        <v>12</v>
      </c>
      <c r="C22" s="3" t="s">
        <v>9</v>
      </c>
      <c r="D22" s="62" t="s">
        <v>10</v>
      </c>
      <c r="E22" s="62"/>
      <c r="F22" s="62" t="s">
        <v>10</v>
      </c>
      <c r="G22" s="62" t="s">
        <v>10</v>
      </c>
      <c r="H22" s="3">
        <v>2</v>
      </c>
      <c r="I22" s="10">
        <v>0.75</v>
      </c>
      <c r="J22" s="10">
        <v>0.65</v>
      </c>
      <c r="K22" s="56"/>
      <c r="M22" s="3">
        <v>12</v>
      </c>
      <c r="N22" s="3" t="s">
        <v>8</v>
      </c>
      <c r="O22" s="62" t="s">
        <v>10</v>
      </c>
      <c r="P22" s="62"/>
      <c r="Q22" s="62" t="s">
        <v>10</v>
      </c>
      <c r="R22" s="62" t="s">
        <v>10</v>
      </c>
      <c r="S22" s="3">
        <v>2</v>
      </c>
      <c r="T22" s="10">
        <v>0.7</v>
      </c>
      <c r="U22" s="10">
        <v>0.55000000000000004</v>
      </c>
      <c r="V22" s="29"/>
      <c r="X22" s="3">
        <v>12</v>
      </c>
      <c r="Y22" s="3" t="s">
        <v>9</v>
      </c>
      <c r="Z22" s="62" t="s">
        <v>10</v>
      </c>
      <c r="AA22" s="62"/>
      <c r="AB22" s="62" t="s">
        <v>10</v>
      </c>
      <c r="AC22" s="62" t="s">
        <v>10</v>
      </c>
      <c r="AD22" s="3">
        <v>2</v>
      </c>
      <c r="AE22" s="3">
        <v>16</v>
      </c>
      <c r="AF22" s="10">
        <v>0.55000000000000004</v>
      </c>
      <c r="AG22" s="10">
        <v>0.65</v>
      </c>
      <c r="AH22" s="29"/>
      <c r="AJ22" s="3">
        <v>12</v>
      </c>
      <c r="AK22" s="3" t="s">
        <v>8</v>
      </c>
      <c r="AL22" s="62" t="s">
        <v>10</v>
      </c>
      <c r="AM22" s="62"/>
      <c r="AN22" s="62" t="s">
        <v>10</v>
      </c>
      <c r="AO22" s="62" t="s">
        <v>10</v>
      </c>
      <c r="AP22" s="3">
        <v>2</v>
      </c>
      <c r="AQ22" s="3">
        <v>16</v>
      </c>
      <c r="AR22" s="10">
        <v>0.9</v>
      </c>
      <c r="AS22" s="10">
        <v>0.95</v>
      </c>
      <c r="AT22" s="29"/>
    </row>
    <row r="23" spans="2:46" x14ac:dyDescent="0.25">
      <c r="B23" s="3">
        <v>13</v>
      </c>
      <c r="C23" s="3" t="s">
        <v>9</v>
      </c>
      <c r="D23" s="62" t="s">
        <v>10</v>
      </c>
      <c r="E23" s="62"/>
      <c r="F23" s="62" t="s">
        <v>10</v>
      </c>
      <c r="G23" s="62" t="s">
        <v>10</v>
      </c>
      <c r="H23" s="3">
        <v>3</v>
      </c>
      <c r="I23" s="10">
        <v>0.7</v>
      </c>
      <c r="J23" s="10">
        <v>0.6</v>
      </c>
      <c r="K23" s="56"/>
      <c r="M23" s="3">
        <v>13</v>
      </c>
      <c r="N23" s="3" t="s">
        <v>8</v>
      </c>
      <c r="O23" s="62" t="s">
        <v>10</v>
      </c>
      <c r="P23" s="62"/>
      <c r="Q23" s="62" t="s">
        <v>10</v>
      </c>
      <c r="R23" s="62" t="s">
        <v>10</v>
      </c>
      <c r="S23" s="3">
        <v>3</v>
      </c>
      <c r="T23" s="10">
        <v>0.6</v>
      </c>
      <c r="U23" s="10">
        <v>0.6</v>
      </c>
      <c r="V23" s="29"/>
      <c r="X23" s="3">
        <v>13</v>
      </c>
      <c r="Y23" s="3" t="s">
        <v>9</v>
      </c>
      <c r="Z23" s="62" t="s">
        <v>10</v>
      </c>
      <c r="AA23" s="62"/>
      <c r="AB23" s="62" t="s">
        <v>10</v>
      </c>
      <c r="AC23" s="62" t="s">
        <v>10</v>
      </c>
      <c r="AD23" s="3">
        <v>3</v>
      </c>
      <c r="AE23" s="3">
        <v>16</v>
      </c>
      <c r="AF23" s="10">
        <v>0.55000000000000004</v>
      </c>
      <c r="AG23" s="10">
        <v>0.7</v>
      </c>
      <c r="AH23" s="29"/>
      <c r="AJ23" s="3">
        <v>13</v>
      </c>
      <c r="AK23" s="3" t="s">
        <v>8</v>
      </c>
      <c r="AL23" s="62" t="s">
        <v>10</v>
      </c>
      <c r="AM23" s="62"/>
      <c r="AN23" s="62" t="s">
        <v>10</v>
      </c>
      <c r="AO23" s="62" t="s">
        <v>10</v>
      </c>
      <c r="AP23" s="3">
        <v>3</v>
      </c>
      <c r="AQ23" s="3">
        <v>16</v>
      </c>
      <c r="AR23" s="10">
        <v>0.9</v>
      </c>
      <c r="AS23" s="10">
        <v>0.95</v>
      </c>
      <c r="AT23" s="29"/>
    </row>
    <row r="24" spans="2:46" x14ac:dyDescent="0.25">
      <c r="B24" s="3">
        <v>14</v>
      </c>
      <c r="C24" s="3" t="s">
        <v>9</v>
      </c>
      <c r="D24" s="62" t="s">
        <v>10</v>
      </c>
      <c r="E24" s="62"/>
      <c r="F24" s="62" t="s">
        <v>10</v>
      </c>
      <c r="G24" s="62" t="s">
        <v>10</v>
      </c>
      <c r="H24" s="3">
        <v>4</v>
      </c>
      <c r="I24" s="10">
        <v>0.7</v>
      </c>
      <c r="J24" s="10">
        <v>0.65</v>
      </c>
      <c r="K24" s="56"/>
      <c r="M24" s="3">
        <v>14</v>
      </c>
      <c r="N24" s="3" t="s">
        <v>8</v>
      </c>
      <c r="O24" s="62" t="s">
        <v>10</v>
      </c>
      <c r="P24" s="62"/>
      <c r="Q24" s="62" t="s">
        <v>10</v>
      </c>
      <c r="R24" s="62" t="s">
        <v>10</v>
      </c>
      <c r="S24" s="3">
        <v>4</v>
      </c>
      <c r="T24" s="10">
        <v>0.7</v>
      </c>
      <c r="U24" s="10">
        <v>0.65</v>
      </c>
      <c r="V24" s="29"/>
      <c r="X24" s="3">
        <v>14</v>
      </c>
      <c r="Y24" s="3" t="s">
        <v>9</v>
      </c>
      <c r="Z24" s="62" t="s">
        <v>10</v>
      </c>
      <c r="AA24" s="62"/>
      <c r="AB24" s="62" t="s">
        <v>10</v>
      </c>
      <c r="AC24" s="62" t="s">
        <v>10</v>
      </c>
      <c r="AD24" s="3">
        <v>4</v>
      </c>
      <c r="AE24" s="3">
        <v>16</v>
      </c>
      <c r="AF24" s="10">
        <v>0.55000000000000004</v>
      </c>
      <c r="AG24" s="10">
        <v>0.75</v>
      </c>
      <c r="AH24" s="29"/>
      <c r="AJ24" s="3">
        <v>14</v>
      </c>
      <c r="AK24" s="3" t="s">
        <v>8</v>
      </c>
      <c r="AL24" s="62" t="s">
        <v>10</v>
      </c>
      <c r="AM24" s="62"/>
      <c r="AN24" s="62" t="s">
        <v>10</v>
      </c>
      <c r="AO24" s="62" t="s">
        <v>10</v>
      </c>
      <c r="AP24" s="3">
        <v>4</v>
      </c>
      <c r="AQ24" s="3">
        <v>16</v>
      </c>
      <c r="AR24" s="10">
        <v>0.9</v>
      </c>
      <c r="AS24" s="10">
        <v>0.95</v>
      </c>
      <c r="AT24" s="29"/>
    </row>
    <row r="25" spans="2:46" x14ac:dyDescent="0.25">
      <c r="B25" s="3">
        <v>15</v>
      </c>
      <c r="C25" s="3" t="s">
        <v>9</v>
      </c>
      <c r="D25" s="62" t="s">
        <v>10</v>
      </c>
      <c r="E25" s="62"/>
      <c r="F25" s="62" t="s">
        <v>10</v>
      </c>
      <c r="G25" s="62" t="s">
        <v>10</v>
      </c>
      <c r="H25" s="3">
        <v>5</v>
      </c>
      <c r="I25" s="10">
        <v>0.75</v>
      </c>
      <c r="J25" s="10">
        <v>0.65</v>
      </c>
      <c r="K25" s="57"/>
      <c r="M25" s="3">
        <v>15</v>
      </c>
      <c r="N25" s="3" t="s">
        <v>8</v>
      </c>
      <c r="O25" s="62" t="s">
        <v>10</v>
      </c>
      <c r="P25" s="62"/>
      <c r="Q25" s="62" t="s">
        <v>10</v>
      </c>
      <c r="R25" s="62" t="s">
        <v>10</v>
      </c>
      <c r="S25" s="3">
        <v>5</v>
      </c>
      <c r="T25" s="10">
        <v>0.65</v>
      </c>
      <c r="U25" s="10">
        <v>0.6</v>
      </c>
      <c r="V25" s="29"/>
      <c r="X25" s="3">
        <v>15</v>
      </c>
      <c r="Y25" s="3" t="s">
        <v>9</v>
      </c>
      <c r="Z25" s="62" t="s">
        <v>10</v>
      </c>
      <c r="AA25" s="62"/>
      <c r="AB25" s="62" t="s">
        <v>10</v>
      </c>
      <c r="AC25" s="62" t="s">
        <v>10</v>
      </c>
      <c r="AD25" s="3">
        <v>5</v>
      </c>
      <c r="AE25" s="3">
        <v>16</v>
      </c>
      <c r="AF25" s="10">
        <v>0.55000000000000004</v>
      </c>
      <c r="AG25" s="10">
        <v>0.75</v>
      </c>
      <c r="AH25" s="29"/>
      <c r="AJ25" s="3">
        <v>15</v>
      </c>
      <c r="AK25" s="3" t="s">
        <v>8</v>
      </c>
      <c r="AL25" s="62" t="s">
        <v>10</v>
      </c>
      <c r="AM25" s="62"/>
      <c r="AN25" s="62" t="s">
        <v>10</v>
      </c>
      <c r="AO25" s="62" t="s">
        <v>10</v>
      </c>
      <c r="AP25" s="3">
        <v>5</v>
      </c>
      <c r="AQ25" s="3">
        <v>16</v>
      </c>
      <c r="AR25" s="10">
        <v>0.9</v>
      </c>
      <c r="AS25" s="10">
        <v>0.95</v>
      </c>
      <c r="AT25" s="29"/>
    </row>
    <row r="26" spans="2:46" x14ac:dyDescent="0.25">
      <c r="B26" s="3">
        <v>16</v>
      </c>
      <c r="C26" s="3" t="s">
        <v>9</v>
      </c>
      <c r="D26" s="64"/>
      <c r="E26" s="64" t="s">
        <v>10</v>
      </c>
      <c r="F26" s="64" t="s">
        <v>10</v>
      </c>
      <c r="G26" s="64" t="s">
        <v>10</v>
      </c>
      <c r="H26" s="3">
        <v>1</v>
      </c>
      <c r="I26" s="11">
        <v>0.75</v>
      </c>
      <c r="J26" s="11">
        <v>0.65</v>
      </c>
      <c r="K26" s="23">
        <f>MAX(I26:J30)</f>
        <v>0.8</v>
      </c>
      <c r="M26" s="3">
        <v>16</v>
      </c>
      <c r="N26" s="3" t="s">
        <v>8</v>
      </c>
      <c r="O26" s="64"/>
      <c r="P26" s="64" t="s">
        <v>10</v>
      </c>
      <c r="Q26" s="64" t="s">
        <v>10</v>
      </c>
      <c r="R26" s="64" t="s">
        <v>10</v>
      </c>
      <c r="S26" s="3">
        <v>1</v>
      </c>
      <c r="T26" s="11">
        <v>0.6</v>
      </c>
      <c r="U26" s="11">
        <v>0.6</v>
      </c>
      <c r="V26" s="30">
        <f>MAX(T26:U30)</f>
        <v>0.7</v>
      </c>
      <c r="X26" s="3">
        <v>16</v>
      </c>
      <c r="Y26" s="3" t="s">
        <v>9</v>
      </c>
      <c r="Z26" s="64"/>
      <c r="AA26" s="64" t="s">
        <v>10</v>
      </c>
      <c r="AB26" s="64" t="s">
        <v>10</v>
      </c>
      <c r="AC26" s="64" t="s">
        <v>10</v>
      </c>
      <c r="AD26" s="3">
        <v>1</v>
      </c>
      <c r="AE26" s="3">
        <v>16</v>
      </c>
      <c r="AF26" s="11">
        <v>0.55000000000000004</v>
      </c>
      <c r="AG26" s="11">
        <v>0.75</v>
      </c>
      <c r="AH26" s="30">
        <f>MAX(AF26:AG30)</f>
        <v>0.75</v>
      </c>
      <c r="AJ26" s="3">
        <v>16</v>
      </c>
      <c r="AK26" s="3" t="s">
        <v>8</v>
      </c>
      <c r="AL26" s="64"/>
      <c r="AM26" s="64" t="s">
        <v>10</v>
      </c>
      <c r="AN26" s="64" t="s">
        <v>10</v>
      </c>
      <c r="AO26" s="64" t="s">
        <v>10</v>
      </c>
      <c r="AP26" s="3">
        <v>1</v>
      </c>
      <c r="AQ26" s="3">
        <v>16</v>
      </c>
      <c r="AR26" s="11">
        <v>0.95</v>
      </c>
      <c r="AS26" s="11">
        <v>0.95</v>
      </c>
      <c r="AT26" s="30">
        <f>MAX(AR26:AS30)</f>
        <v>0.95</v>
      </c>
    </row>
    <row r="27" spans="2:46" x14ac:dyDescent="0.25">
      <c r="B27" s="3">
        <v>17</v>
      </c>
      <c r="C27" s="3" t="s">
        <v>9</v>
      </c>
      <c r="D27" s="64"/>
      <c r="E27" s="64" t="s">
        <v>10</v>
      </c>
      <c r="F27" s="64" t="s">
        <v>10</v>
      </c>
      <c r="G27" s="64" t="s">
        <v>10</v>
      </c>
      <c r="H27" s="3">
        <v>2</v>
      </c>
      <c r="I27" s="11">
        <v>0.8</v>
      </c>
      <c r="J27" s="11">
        <v>0.7</v>
      </c>
      <c r="K27" s="24"/>
      <c r="M27" s="3">
        <v>17</v>
      </c>
      <c r="N27" s="3" t="s">
        <v>8</v>
      </c>
      <c r="O27" s="64"/>
      <c r="P27" s="64" t="s">
        <v>10</v>
      </c>
      <c r="Q27" s="64" t="s">
        <v>10</v>
      </c>
      <c r="R27" s="64" t="s">
        <v>10</v>
      </c>
      <c r="S27" s="3">
        <v>2</v>
      </c>
      <c r="T27" s="11">
        <v>0.55000000000000004</v>
      </c>
      <c r="U27" s="11">
        <v>0.7</v>
      </c>
      <c r="V27" s="30"/>
      <c r="X27" s="3">
        <v>17</v>
      </c>
      <c r="Y27" s="3" t="s">
        <v>9</v>
      </c>
      <c r="Z27" s="64"/>
      <c r="AA27" s="64" t="s">
        <v>10</v>
      </c>
      <c r="AB27" s="64" t="s">
        <v>10</v>
      </c>
      <c r="AC27" s="64" t="s">
        <v>10</v>
      </c>
      <c r="AD27" s="3">
        <v>2</v>
      </c>
      <c r="AE27" s="3">
        <v>16</v>
      </c>
      <c r="AF27" s="11">
        <v>0.55000000000000004</v>
      </c>
      <c r="AG27" s="11">
        <v>0.65</v>
      </c>
      <c r="AH27" s="30"/>
      <c r="AJ27" s="3">
        <v>17</v>
      </c>
      <c r="AK27" s="3" t="s">
        <v>8</v>
      </c>
      <c r="AL27" s="64"/>
      <c r="AM27" s="64" t="s">
        <v>10</v>
      </c>
      <c r="AN27" s="64" t="s">
        <v>10</v>
      </c>
      <c r="AO27" s="64" t="s">
        <v>10</v>
      </c>
      <c r="AP27" s="3">
        <v>2</v>
      </c>
      <c r="AQ27" s="3">
        <v>16</v>
      </c>
      <c r="AR27" s="11">
        <v>0.9</v>
      </c>
      <c r="AS27" s="11">
        <v>0.95</v>
      </c>
      <c r="AT27" s="30"/>
    </row>
    <row r="28" spans="2:46" x14ac:dyDescent="0.25">
      <c r="B28" s="3">
        <v>18</v>
      </c>
      <c r="C28" s="3" t="s">
        <v>9</v>
      </c>
      <c r="D28" s="64"/>
      <c r="E28" s="64" t="s">
        <v>10</v>
      </c>
      <c r="F28" s="64" t="s">
        <v>10</v>
      </c>
      <c r="G28" s="64" t="s">
        <v>10</v>
      </c>
      <c r="H28" s="3">
        <v>3</v>
      </c>
      <c r="I28" s="11">
        <v>0.75</v>
      </c>
      <c r="J28" s="11">
        <v>0.7</v>
      </c>
      <c r="K28" s="24"/>
      <c r="M28" s="3">
        <v>18</v>
      </c>
      <c r="N28" s="3" t="s">
        <v>8</v>
      </c>
      <c r="O28" s="64"/>
      <c r="P28" s="64" t="s">
        <v>10</v>
      </c>
      <c r="Q28" s="64" t="s">
        <v>10</v>
      </c>
      <c r="R28" s="64" t="s">
        <v>10</v>
      </c>
      <c r="S28" s="3">
        <v>3</v>
      </c>
      <c r="T28" s="11">
        <v>0.6</v>
      </c>
      <c r="U28" s="11">
        <v>0.65</v>
      </c>
      <c r="V28" s="30"/>
      <c r="X28" s="3">
        <v>18</v>
      </c>
      <c r="Y28" s="3" t="s">
        <v>9</v>
      </c>
      <c r="Z28" s="64"/>
      <c r="AA28" s="64" t="s">
        <v>10</v>
      </c>
      <c r="AB28" s="64" t="s">
        <v>10</v>
      </c>
      <c r="AC28" s="64" t="s">
        <v>10</v>
      </c>
      <c r="AD28" s="3">
        <v>3</v>
      </c>
      <c r="AE28" s="3">
        <v>16</v>
      </c>
      <c r="AF28" s="11">
        <v>0.55000000000000004</v>
      </c>
      <c r="AG28" s="11">
        <v>0.7</v>
      </c>
      <c r="AH28" s="30"/>
      <c r="AJ28" s="3">
        <v>18</v>
      </c>
      <c r="AK28" s="3" t="s">
        <v>8</v>
      </c>
      <c r="AL28" s="64"/>
      <c r="AM28" s="64" t="s">
        <v>10</v>
      </c>
      <c r="AN28" s="64" t="s">
        <v>10</v>
      </c>
      <c r="AO28" s="64" t="s">
        <v>10</v>
      </c>
      <c r="AP28" s="3">
        <v>3</v>
      </c>
      <c r="AQ28" s="3">
        <v>16</v>
      </c>
      <c r="AR28" s="11">
        <v>0.9</v>
      </c>
      <c r="AS28" s="11">
        <v>0.95</v>
      </c>
      <c r="AT28" s="30"/>
    </row>
    <row r="29" spans="2:46" x14ac:dyDescent="0.25">
      <c r="B29" s="3">
        <v>19</v>
      </c>
      <c r="C29" s="3" t="s">
        <v>9</v>
      </c>
      <c r="D29" s="64"/>
      <c r="E29" s="64" t="s">
        <v>10</v>
      </c>
      <c r="F29" s="64" t="s">
        <v>10</v>
      </c>
      <c r="G29" s="64" t="s">
        <v>10</v>
      </c>
      <c r="H29" s="3">
        <v>4</v>
      </c>
      <c r="I29" s="11">
        <v>0.75</v>
      </c>
      <c r="J29" s="11">
        <v>0.65</v>
      </c>
      <c r="K29" s="24"/>
      <c r="M29" s="3">
        <v>19</v>
      </c>
      <c r="N29" s="3" t="s">
        <v>8</v>
      </c>
      <c r="O29" s="64"/>
      <c r="P29" s="64" t="s">
        <v>10</v>
      </c>
      <c r="Q29" s="64" t="s">
        <v>10</v>
      </c>
      <c r="R29" s="64" t="s">
        <v>10</v>
      </c>
      <c r="S29" s="3">
        <v>4</v>
      </c>
      <c r="T29" s="11">
        <v>0.65</v>
      </c>
      <c r="U29" s="11">
        <v>0.7</v>
      </c>
      <c r="V29" s="30"/>
      <c r="X29" s="3">
        <v>19</v>
      </c>
      <c r="Y29" s="3" t="s">
        <v>9</v>
      </c>
      <c r="Z29" s="64"/>
      <c r="AA29" s="64" t="s">
        <v>10</v>
      </c>
      <c r="AB29" s="64" t="s">
        <v>10</v>
      </c>
      <c r="AC29" s="64" t="s">
        <v>10</v>
      </c>
      <c r="AD29" s="3">
        <v>4</v>
      </c>
      <c r="AE29" s="3">
        <v>16</v>
      </c>
      <c r="AF29" s="11">
        <v>0.55000000000000004</v>
      </c>
      <c r="AG29" s="11">
        <v>0.7</v>
      </c>
      <c r="AH29" s="30"/>
      <c r="AJ29" s="3">
        <v>19</v>
      </c>
      <c r="AK29" s="3" t="s">
        <v>8</v>
      </c>
      <c r="AL29" s="64"/>
      <c r="AM29" s="64" t="s">
        <v>10</v>
      </c>
      <c r="AN29" s="64" t="s">
        <v>10</v>
      </c>
      <c r="AO29" s="64" t="s">
        <v>10</v>
      </c>
      <c r="AP29" s="3">
        <v>4</v>
      </c>
      <c r="AQ29" s="3">
        <v>16</v>
      </c>
      <c r="AR29" s="11">
        <v>0.9</v>
      </c>
      <c r="AS29" s="11">
        <v>0.95</v>
      </c>
      <c r="AT29" s="30"/>
    </row>
    <row r="30" spans="2:46" x14ac:dyDescent="0.25">
      <c r="B30" s="3">
        <v>20</v>
      </c>
      <c r="C30" s="3" t="s">
        <v>9</v>
      </c>
      <c r="D30" s="64"/>
      <c r="E30" s="64" t="s">
        <v>10</v>
      </c>
      <c r="F30" s="64" t="s">
        <v>10</v>
      </c>
      <c r="G30" s="64" t="s">
        <v>10</v>
      </c>
      <c r="H30" s="3">
        <v>5</v>
      </c>
      <c r="I30" s="11">
        <v>0.7</v>
      </c>
      <c r="J30" s="11">
        <v>0.55000000000000004</v>
      </c>
      <c r="K30" s="25"/>
      <c r="M30" s="3">
        <v>20</v>
      </c>
      <c r="N30" s="3" t="s">
        <v>8</v>
      </c>
      <c r="O30" s="64"/>
      <c r="P30" s="64" t="s">
        <v>10</v>
      </c>
      <c r="Q30" s="64" t="s">
        <v>10</v>
      </c>
      <c r="R30" s="64" t="s">
        <v>10</v>
      </c>
      <c r="S30" s="3">
        <v>5</v>
      </c>
      <c r="T30" s="11">
        <v>0.65</v>
      </c>
      <c r="U30" s="11">
        <v>0.65</v>
      </c>
      <c r="V30" s="30"/>
      <c r="X30" s="3">
        <v>20</v>
      </c>
      <c r="Y30" s="3" t="s">
        <v>9</v>
      </c>
      <c r="Z30" s="64"/>
      <c r="AA30" s="64" t="s">
        <v>10</v>
      </c>
      <c r="AB30" s="64" t="s">
        <v>10</v>
      </c>
      <c r="AC30" s="64" t="s">
        <v>10</v>
      </c>
      <c r="AD30" s="3">
        <v>5</v>
      </c>
      <c r="AE30" s="3">
        <v>16</v>
      </c>
      <c r="AF30" s="11">
        <v>0.55000000000000004</v>
      </c>
      <c r="AG30" s="11">
        <v>0.7</v>
      </c>
      <c r="AH30" s="30"/>
      <c r="AJ30" s="3">
        <v>20</v>
      </c>
      <c r="AK30" s="3" t="s">
        <v>8</v>
      </c>
      <c r="AL30" s="64"/>
      <c r="AM30" s="64" t="s">
        <v>10</v>
      </c>
      <c r="AN30" s="64" t="s">
        <v>10</v>
      </c>
      <c r="AO30" s="64" t="s">
        <v>10</v>
      </c>
      <c r="AP30" s="3">
        <v>5</v>
      </c>
      <c r="AQ30" s="3">
        <v>16</v>
      </c>
      <c r="AR30" s="11">
        <v>0.9</v>
      </c>
      <c r="AS30" s="11">
        <v>0.95</v>
      </c>
      <c r="AT30" s="30"/>
    </row>
    <row r="31" spans="2:46" x14ac:dyDescent="0.25">
      <c r="B31" s="3">
        <v>21</v>
      </c>
      <c r="C31" s="3" t="s">
        <v>9</v>
      </c>
      <c r="D31" s="65" t="s">
        <v>10</v>
      </c>
      <c r="E31" s="65" t="s">
        <v>10</v>
      </c>
      <c r="F31" s="65" t="s">
        <v>10</v>
      </c>
      <c r="G31" s="65" t="s">
        <v>10</v>
      </c>
      <c r="H31" s="3">
        <v>1</v>
      </c>
      <c r="I31" s="5">
        <v>0.8</v>
      </c>
      <c r="J31" s="5">
        <v>0.75</v>
      </c>
      <c r="K31" s="26">
        <f>MAX(I31:J35)</f>
        <v>0.8</v>
      </c>
      <c r="M31" s="3">
        <v>21</v>
      </c>
      <c r="N31" s="3" t="s">
        <v>8</v>
      </c>
      <c r="O31" s="65" t="s">
        <v>10</v>
      </c>
      <c r="P31" s="65" t="s">
        <v>10</v>
      </c>
      <c r="Q31" s="65" t="s">
        <v>10</v>
      </c>
      <c r="R31" s="65" t="s">
        <v>10</v>
      </c>
      <c r="S31" s="3">
        <v>1</v>
      </c>
      <c r="T31" s="5">
        <v>0.6</v>
      </c>
      <c r="U31" s="5">
        <v>0.65</v>
      </c>
      <c r="V31" s="26">
        <f>MAX(T31:U35)</f>
        <v>0.7</v>
      </c>
      <c r="X31" s="3">
        <v>21</v>
      </c>
      <c r="Y31" s="3" t="s">
        <v>9</v>
      </c>
      <c r="Z31" s="65" t="s">
        <v>10</v>
      </c>
      <c r="AA31" s="65" t="s">
        <v>10</v>
      </c>
      <c r="AB31" s="65" t="s">
        <v>10</v>
      </c>
      <c r="AC31" s="65" t="s">
        <v>10</v>
      </c>
      <c r="AD31" s="3">
        <v>1</v>
      </c>
      <c r="AE31" s="3">
        <v>16</v>
      </c>
      <c r="AF31" s="5">
        <v>0.55000000000000004</v>
      </c>
      <c r="AG31" s="5">
        <v>0.65</v>
      </c>
      <c r="AH31" s="26">
        <f>MAX(AF31:AG35)</f>
        <v>0.75</v>
      </c>
      <c r="AJ31" s="3">
        <v>21</v>
      </c>
      <c r="AK31" s="3" t="s">
        <v>8</v>
      </c>
      <c r="AL31" s="65" t="s">
        <v>10</v>
      </c>
      <c r="AM31" s="65" t="s">
        <v>10</v>
      </c>
      <c r="AN31" s="65" t="s">
        <v>10</v>
      </c>
      <c r="AO31" s="65" t="s">
        <v>10</v>
      </c>
      <c r="AP31" s="3">
        <v>1</v>
      </c>
      <c r="AQ31" s="3">
        <v>16</v>
      </c>
      <c r="AR31" s="5">
        <v>0.95</v>
      </c>
      <c r="AS31" s="5">
        <v>0.95</v>
      </c>
      <c r="AT31" s="26">
        <f>MAX(AR31:AS35)</f>
        <v>0.95</v>
      </c>
    </row>
    <row r="32" spans="2:46" x14ac:dyDescent="0.25">
      <c r="B32" s="3">
        <v>22</v>
      </c>
      <c r="C32" s="3" t="s">
        <v>9</v>
      </c>
      <c r="D32" s="65" t="s">
        <v>10</v>
      </c>
      <c r="E32" s="65" t="s">
        <v>10</v>
      </c>
      <c r="F32" s="65" t="s">
        <v>10</v>
      </c>
      <c r="G32" s="65" t="s">
        <v>10</v>
      </c>
      <c r="H32" s="3">
        <v>2</v>
      </c>
      <c r="I32" s="5">
        <v>0.75</v>
      </c>
      <c r="J32" s="5">
        <v>0.7</v>
      </c>
      <c r="K32" s="26"/>
      <c r="M32" s="3">
        <v>22</v>
      </c>
      <c r="N32" s="3" t="s">
        <v>8</v>
      </c>
      <c r="O32" s="65" t="s">
        <v>10</v>
      </c>
      <c r="P32" s="65" t="s">
        <v>10</v>
      </c>
      <c r="Q32" s="65" t="s">
        <v>10</v>
      </c>
      <c r="R32" s="65" t="s">
        <v>10</v>
      </c>
      <c r="S32" s="3">
        <v>2</v>
      </c>
      <c r="T32" s="5">
        <v>0.6</v>
      </c>
      <c r="U32" s="5">
        <v>0.7</v>
      </c>
      <c r="V32" s="26"/>
      <c r="X32" s="3">
        <v>22</v>
      </c>
      <c r="Y32" s="3" t="s">
        <v>9</v>
      </c>
      <c r="Z32" s="65" t="s">
        <v>10</v>
      </c>
      <c r="AA32" s="65" t="s">
        <v>10</v>
      </c>
      <c r="AB32" s="65" t="s">
        <v>10</v>
      </c>
      <c r="AC32" s="65" t="s">
        <v>10</v>
      </c>
      <c r="AD32" s="3">
        <v>2</v>
      </c>
      <c r="AE32" s="3">
        <v>16</v>
      </c>
      <c r="AF32" s="5">
        <v>0.55000000000000004</v>
      </c>
      <c r="AG32" s="5">
        <v>0.65</v>
      </c>
      <c r="AH32" s="26"/>
      <c r="AJ32" s="3">
        <v>22</v>
      </c>
      <c r="AK32" s="3" t="s">
        <v>8</v>
      </c>
      <c r="AL32" s="65" t="s">
        <v>10</v>
      </c>
      <c r="AM32" s="65" t="s">
        <v>10</v>
      </c>
      <c r="AN32" s="65" t="s">
        <v>10</v>
      </c>
      <c r="AO32" s="65" t="s">
        <v>10</v>
      </c>
      <c r="AP32" s="3">
        <v>2</v>
      </c>
      <c r="AQ32" s="3">
        <v>16</v>
      </c>
      <c r="AR32" s="5">
        <v>0.9</v>
      </c>
      <c r="AS32" s="5">
        <v>0.95</v>
      </c>
      <c r="AT32" s="26"/>
    </row>
    <row r="33" spans="2:46" x14ac:dyDescent="0.25">
      <c r="B33" s="3">
        <v>23</v>
      </c>
      <c r="C33" s="3" t="s">
        <v>9</v>
      </c>
      <c r="D33" s="65" t="s">
        <v>10</v>
      </c>
      <c r="E33" s="65" t="s">
        <v>10</v>
      </c>
      <c r="F33" s="65" t="s">
        <v>10</v>
      </c>
      <c r="G33" s="65" t="s">
        <v>10</v>
      </c>
      <c r="H33" s="3">
        <v>3</v>
      </c>
      <c r="I33" s="5">
        <v>0.75</v>
      </c>
      <c r="J33" s="5">
        <v>0.65</v>
      </c>
      <c r="K33" s="26"/>
      <c r="M33" s="3">
        <v>23</v>
      </c>
      <c r="N33" s="3" t="s">
        <v>8</v>
      </c>
      <c r="O33" s="65" t="s">
        <v>10</v>
      </c>
      <c r="P33" s="65" t="s">
        <v>10</v>
      </c>
      <c r="Q33" s="65" t="s">
        <v>10</v>
      </c>
      <c r="R33" s="65" t="s">
        <v>10</v>
      </c>
      <c r="S33" s="3">
        <v>3</v>
      </c>
      <c r="T33" s="5">
        <v>0.65</v>
      </c>
      <c r="U33" s="5">
        <v>0.65</v>
      </c>
      <c r="V33" s="26"/>
      <c r="X33" s="3">
        <v>23</v>
      </c>
      <c r="Y33" s="3" t="s">
        <v>9</v>
      </c>
      <c r="Z33" s="65" t="s">
        <v>10</v>
      </c>
      <c r="AA33" s="65" t="s">
        <v>10</v>
      </c>
      <c r="AB33" s="65" t="s">
        <v>10</v>
      </c>
      <c r="AC33" s="65" t="s">
        <v>10</v>
      </c>
      <c r="AD33" s="3">
        <v>3</v>
      </c>
      <c r="AE33" s="3">
        <v>16</v>
      </c>
      <c r="AF33" s="5">
        <v>0.55000000000000004</v>
      </c>
      <c r="AG33" s="5">
        <v>0.7</v>
      </c>
      <c r="AH33" s="26"/>
      <c r="AJ33" s="3">
        <v>23</v>
      </c>
      <c r="AK33" s="3" t="s">
        <v>8</v>
      </c>
      <c r="AL33" s="65" t="s">
        <v>10</v>
      </c>
      <c r="AM33" s="65" t="s">
        <v>10</v>
      </c>
      <c r="AN33" s="65" t="s">
        <v>10</v>
      </c>
      <c r="AO33" s="65" t="s">
        <v>10</v>
      </c>
      <c r="AP33" s="3">
        <v>3</v>
      </c>
      <c r="AQ33" s="3">
        <v>16</v>
      </c>
      <c r="AR33" s="5">
        <v>0.9</v>
      </c>
      <c r="AS33" s="5">
        <v>0.95</v>
      </c>
      <c r="AT33" s="26"/>
    </row>
    <row r="34" spans="2:46" x14ac:dyDescent="0.25">
      <c r="B34" s="3">
        <v>24</v>
      </c>
      <c r="C34" s="3" t="s">
        <v>9</v>
      </c>
      <c r="D34" s="65" t="s">
        <v>10</v>
      </c>
      <c r="E34" s="65" t="s">
        <v>10</v>
      </c>
      <c r="F34" s="65" t="s">
        <v>10</v>
      </c>
      <c r="G34" s="65" t="s">
        <v>10</v>
      </c>
      <c r="H34" s="3">
        <v>4</v>
      </c>
      <c r="I34" s="5">
        <v>0.65</v>
      </c>
      <c r="J34" s="5">
        <v>0.6</v>
      </c>
      <c r="K34" s="26"/>
      <c r="M34" s="3">
        <v>24</v>
      </c>
      <c r="N34" s="3" t="s">
        <v>8</v>
      </c>
      <c r="O34" s="65" t="s">
        <v>10</v>
      </c>
      <c r="P34" s="65" t="s">
        <v>10</v>
      </c>
      <c r="Q34" s="65" t="s">
        <v>10</v>
      </c>
      <c r="R34" s="65" t="s">
        <v>10</v>
      </c>
      <c r="S34" s="3">
        <v>4</v>
      </c>
      <c r="T34" s="5">
        <v>0.6</v>
      </c>
      <c r="U34" s="5">
        <v>0.65</v>
      </c>
      <c r="V34" s="26"/>
      <c r="X34" s="3">
        <v>24</v>
      </c>
      <c r="Y34" s="3" t="s">
        <v>9</v>
      </c>
      <c r="Z34" s="65" t="s">
        <v>10</v>
      </c>
      <c r="AA34" s="65" t="s">
        <v>10</v>
      </c>
      <c r="AB34" s="65" t="s">
        <v>10</v>
      </c>
      <c r="AC34" s="65" t="s">
        <v>10</v>
      </c>
      <c r="AD34" s="3">
        <v>4</v>
      </c>
      <c r="AE34" s="3">
        <v>16</v>
      </c>
      <c r="AF34" s="5">
        <v>0.55000000000000004</v>
      </c>
      <c r="AG34" s="5">
        <v>0.75</v>
      </c>
      <c r="AH34" s="26"/>
      <c r="AJ34" s="3">
        <v>24</v>
      </c>
      <c r="AK34" s="3" t="s">
        <v>8</v>
      </c>
      <c r="AL34" s="65" t="s">
        <v>10</v>
      </c>
      <c r="AM34" s="65" t="s">
        <v>10</v>
      </c>
      <c r="AN34" s="65" t="s">
        <v>10</v>
      </c>
      <c r="AO34" s="65" t="s">
        <v>10</v>
      </c>
      <c r="AP34" s="3">
        <v>4</v>
      </c>
      <c r="AQ34" s="3">
        <v>16</v>
      </c>
      <c r="AR34" s="5">
        <v>0.9</v>
      </c>
      <c r="AS34" s="5">
        <v>0.95</v>
      </c>
      <c r="AT34" s="26"/>
    </row>
    <row r="35" spans="2:46" x14ac:dyDescent="0.25">
      <c r="B35" s="3">
        <v>25</v>
      </c>
      <c r="C35" s="3" t="s">
        <v>9</v>
      </c>
      <c r="D35" s="65" t="s">
        <v>10</v>
      </c>
      <c r="E35" s="65" t="s">
        <v>10</v>
      </c>
      <c r="F35" s="65" t="s">
        <v>10</v>
      </c>
      <c r="G35" s="65" t="s">
        <v>10</v>
      </c>
      <c r="H35" s="3">
        <v>5</v>
      </c>
      <c r="I35" s="5">
        <v>0.7</v>
      </c>
      <c r="J35" s="5">
        <v>0.65</v>
      </c>
      <c r="K35" s="26"/>
      <c r="M35" s="3">
        <v>25</v>
      </c>
      <c r="N35" s="3" t="s">
        <v>8</v>
      </c>
      <c r="O35" s="65" t="s">
        <v>10</v>
      </c>
      <c r="P35" s="65" t="s">
        <v>10</v>
      </c>
      <c r="Q35" s="65" t="s">
        <v>10</v>
      </c>
      <c r="R35" s="65" t="s">
        <v>10</v>
      </c>
      <c r="S35" s="3">
        <v>5</v>
      </c>
      <c r="T35" s="5">
        <v>0.65</v>
      </c>
      <c r="U35" s="5">
        <v>0.7</v>
      </c>
      <c r="V35" s="26"/>
      <c r="X35" s="3">
        <v>25</v>
      </c>
      <c r="Y35" s="3" t="s">
        <v>9</v>
      </c>
      <c r="Z35" s="65" t="s">
        <v>10</v>
      </c>
      <c r="AA35" s="65" t="s">
        <v>10</v>
      </c>
      <c r="AB35" s="65" t="s">
        <v>10</v>
      </c>
      <c r="AC35" s="65" t="s">
        <v>10</v>
      </c>
      <c r="AD35" s="3">
        <v>5</v>
      </c>
      <c r="AE35" s="3">
        <v>16</v>
      </c>
      <c r="AF35" s="5">
        <v>0.55000000000000004</v>
      </c>
      <c r="AG35" s="5">
        <v>0.75</v>
      </c>
      <c r="AH35" s="26"/>
      <c r="AJ35" s="3">
        <v>25</v>
      </c>
      <c r="AK35" s="3" t="s">
        <v>8</v>
      </c>
      <c r="AL35" s="65" t="s">
        <v>10</v>
      </c>
      <c r="AM35" s="65" t="s">
        <v>10</v>
      </c>
      <c r="AN35" s="65" t="s">
        <v>10</v>
      </c>
      <c r="AO35" s="65" t="s">
        <v>10</v>
      </c>
      <c r="AP35" s="3">
        <v>5</v>
      </c>
      <c r="AQ35" s="3">
        <v>16</v>
      </c>
      <c r="AR35" s="5">
        <v>0.9</v>
      </c>
      <c r="AS35" s="5">
        <v>0.95</v>
      </c>
      <c r="AT35" s="26"/>
    </row>
    <row r="39" spans="2:46" x14ac:dyDescent="0.25">
      <c r="B39" s="27" t="s">
        <v>32</v>
      </c>
      <c r="C39" s="27"/>
      <c r="D39" s="27"/>
      <c r="E39" s="27"/>
      <c r="F39" s="27"/>
      <c r="G39" s="27"/>
      <c r="H39" s="27"/>
      <c r="I39" s="27"/>
      <c r="J39" s="27"/>
      <c r="K39" s="27"/>
      <c r="M39" s="27" t="s">
        <v>32</v>
      </c>
      <c r="N39" s="27"/>
      <c r="O39" s="27"/>
      <c r="P39" s="27"/>
      <c r="Q39" s="27"/>
      <c r="R39" s="27"/>
      <c r="S39" s="27"/>
      <c r="T39" s="27"/>
      <c r="U39" s="27"/>
      <c r="V39" s="27"/>
      <c r="X39" s="27" t="s">
        <v>28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J39" s="42" t="s">
        <v>28</v>
      </c>
      <c r="AK39" s="43"/>
      <c r="AL39" s="43"/>
      <c r="AM39" s="43"/>
      <c r="AN39" s="43"/>
      <c r="AO39" s="43"/>
      <c r="AP39" s="43"/>
      <c r="AQ39" s="43"/>
      <c r="AR39" s="43"/>
      <c r="AS39" s="43"/>
      <c r="AT39" s="44"/>
    </row>
    <row r="40" spans="2:46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J40" s="45"/>
      <c r="AK40" s="46"/>
      <c r="AL40" s="46"/>
      <c r="AM40" s="46"/>
      <c r="AN40" s="46"/>
      <c r="AO40" s="46"/>
      <c r="AP40" s="46"/>
      <c r="AQ40" s="46"/>
      <c r="AR40" s="46"/>
      <c r="AS40" s="46"/>
      <c r="AT40" s="47"/>
    </row>
    <row r="41" spans="2:46" x14ac:dyDescent="0.25">
      <c r="B41" s="31" t="s">
        <v>5</v>
      </c>
      <c r="C41" s="31" t="s">
        <v>7</v>
      </c>
      <c r="D41" s="68" t="s">
        <v>6</v>
      </c>
      <c r="E41" s="69"/>
      <c r="F41" s="69"/>
      <c r="G41" s="69"/>
      <c r="H41" s="70"/>
      <c r="I41" s="40" t="s">
        <v>15</v>
      </c>
      <c r="J41" s="40" t="s">
        <v>16</v>
      </c>
      <c r="K41" s="31" t="s">
        <v>13</v>
      </c>
      <c r="M41" s="31" t="s">
        <v>5</v>
      </c>
      <c r="N41" s="31" t="s">
        <v>7</v>
      </c>
      <c r="O41" s="68" t="s">
        <v>6</v>
      </c>
      <c r="P41" s="69"/>
      <c r="Q41" s="69"/>
      <c r="R41" s="69"/>
      <c r="S41" s="70"/>
      <c r="T41" s="40" t="s">
        <v>15</v>
      </c>
      <c r="U41" s="40" t="s">
        <v>16</v>
      </c>
      <c r="V41" s="31" t="s">
        <v>13</v>
      </c>
      <c r="X41" s="31" t="s">
        <v>5</v>
      </c>
      <c r="Y41" s="31" t="s">
        <v>7</v>
      </c>
      <c r="Z41" s="68" t="s">
        <v>6</v>
      </c>
      <c r="AA41" s="69"/>
      <c r="AB41" s="69"/>
      <c r="AC41" s="69"/>
      <c r="AD41" s="70"/>
      <c r="AE41" s="71" t="s">
        <v>51</v>
      </c>
      <c r="AF41" s="40" t="s">
        <v>15</v>
      </c>
      <c r="AG41" s="40" t="s">
        <v>16</v>
      </c>
      <c r="AH41" s="31" t="s">
        <v>13</v>
      </c>
      <c r="AJ41" s="31" t="s">
        <v>17</v>
      </c>
      <c r="AK41" s="31" t="s">
        <v>7</v>
      </c>
      <c r="AL41" s="68" t="s">
        <v>6</v>
      </c>
      <c r="AM41" s="69"/>
      <c r="AN41" s="69"/>
      <c r="AO41" s="69"/>
      <c r="AP41" s="70"/>
      <c r="AQ41" s="71" t="s">
        <v>51</v>
      </c>
      <c r="AR41" s="40" t="s">
        <v>15</v>
      </c>
      <c r="AS41" s="40" t="s">
        <v>16</v>
      </c>
      <c r="AT41" s="31" t="s">
        <v>13</v>
      </c>
    </row>
    <row r="42" spans="2:46" x14ac:dyDescent="0.25">
      <c r="B42" s="31"/>
      <c r="C42" s="31"/>
      <c r="D42" s="2" t="s">
        <v>0</v>
      </c>
      <c r="E42" s="2" t="s">
        <v>1</v>
      </c>
      <c r="F42" s="2" t="s">
        <v>2</v>
      </c>
      <c r="G42" s="2" t="s">
        <v>3</v>
      </c>
      <c r="H42" s="2" t="s">
        <v>4</v>
      </c>
      <c r="I42" s="41"/>
      <c r="J42" s="41"/>
      <c r="K42" s="31"/>
      <c r="M42" s="31"/>
      <c r="N42" s="31"/>
      <c r="O42" s="2" t="s">
        <v>0</v>
      </c>
      <c r="P42" s="2" t="s">
        <v>1</v>
      </c>
      <c r="Q42" s="2" t="s">
        <v>2</v>
      </c>
      <c r="R42" s="2" t="s">
        <v>3</v>
      </c>
      <c r="S42" s="2" t="s">
        <v>4</v>
      </c>
      <c r="T42" s="41"/>
      <c r="U42" s="41"/>
      <c r="V42" s="31"/>
      <c r="X42" s="31"/>
      <c r="Y42" s="31"/>
      <c r="Z42" s="2" t="s">
        <v>0</v>
      </c>
      <c r="AA42" s="2" t="s">
        <v>1</v>
      </c>
      <c r="AB42" s="2" t="s">
        <v>2</v>
      </c>
      <c r="AC42" s="2" t="s">
        <v>3</v>
      </c>
      <c r="AD42" s="67" t="s">
        <v>4</v>
      </c>
      <c r="AE42" s="12" t="s">
        <v>52</v>
      </c>
      <c r="AF42" s="40"/>
      <c r="AG42" s="40"/>
      <c r="AH42" s="31"/>
      <c r="AJ42" s="31"/>
      <c r="AK42" s="31"/>
      <c r="AL42" s="2" t="s">
        <v>0</v>
      </c>
      <c r="AM42" s="2" t="s">
        <v>1</v>
      </c>
      <c r="AN42" s="2" t="s">
        <v>2</v>
      </c>
      <c r="AO42" s="2" t="s">
        <v>3</v>
      </c>
      <c r="AP42" s="2" t="s">
        <v>4</v>
      </c>
      <c r="AQ42" s="12" t="s">
        <v>52</v>
      </c>
      <c r="AR42" s="41"/>
      <c r="AS42" s="41"/>
      <c r="AT42" s="31"/>
    </row>
    <row r="43" spans="2:46" x14ac:dyDescent="0.25">
      <c r="B43" s="3">
        <v>1</v>
      </c>
      <c r="C43" s="3" t="s">
        <v>9</v>
      </c>
      <c r="D43" s="60" t="s">
        <v>10</v>
      </c>
      <c r="E43" s="60" t="s">
        <v>10</v>
      </c>
      <c r="F43" s="60" t="s">
        <v>10</v>
      </c>
      <c r="G43" s="60"/>
      <c r="H43" s="3">
        <v>1</v>
      </c>
      <c r="I43" s="7">
        <v>0.7</v>
      </c>
      <c r="J43" s="7">
        <v>0.85</v>
      </c>
      <c r="K43" s="32">
        <f>MAX(I43:J47)</f>
        <v>0.85</v>
      </c>
      <c r="M43" s="3">
        <v>1</v>
      </c>
      <c r="N43" s="3" t="s">
        <v>8</v>
      </c>
      <c r="O43" s="60" t="s">
        <v>10</v>
      </c>
      <c r="P43" s="60" t="s">
        <v>10</v>
      </c>
      <c r="Q43" s="60" t="s">
        <v>10</v>
      </c>
      <c r="R43" s="60"/>
      <c r="S43" s="3">
        <v>1</v>
      </c>
      <c r="T43" s="7">
        <v>0.6</v>
      </c>
      <c r="U43" s="7">
        <v>0.65</v>
      </c>
      <c r="V43" s="32">
        <f>MAX(T43:U47)</f>
        <v>0.7</v>
      </c>
      <c r="X43" s="3">
        <v>1</v>
      </c>
      <c r="Y43" s="3" t="s">
        <v>9</v>
      </c>
      <c r="Z43" s="60" t="s">
        <v>10</v>
      </c>
      <c r="AA43" s="60" t="s">
        <v>10</v>
      </c>
      <c r="AB43" s="60" t="s">
        <v>10</v>
      </c>
      <c r="AC43" s="60"/>
      <c r="AD43" s="3">
        <v>1</v>
      </c>
      <c r="AE43" s="3">
        <v>16</v>
      </c>
      <c r="AF43" s="7">
        <v>0.84</v>
      </c>
      <c r="AG43" s="7">
        <v>0.9</v>
      </c>
      <c r="AH43" s="32">
        <f>MAX(AF43:AG47)</f>
        <v>0.9</v>
      </c>
      <c r="AJ43" s="3">
        <v>1</v>
      </c>
      <c r="AK43" s="3" t="s">
        <v>8</v>
      </c>
      <c r="AL43" s="60" t="s">
        <v>10</v>
      </c>
      <c r="AM43" s="60" t="s">
        <v>10</v>
      </c>
      <c r="AN43" s="60" t="s">
        <v>10</v>
      </c>
      <c r="AO43" s="60"/>
      <c r="AP43" s="3">
        <v>1</v>
      </c>
      <c r="AQ43" s="3">
        <v>16</v>
      </c>
      <c r="AR43" s="7">
        <v>0.88</v>
      </c>
      <c r="AS43" s="7">
        <v>0.88</v>
      </c>
      <c r="AT43" s="32">
        <f>MAX(AR43:AS47)</f>
        <v>0.88</v>
      </c>
    </row>
    <row r="44" spans="2:46" x14ac:dyDescent="0.25">
      <c r="B44" s="3">
        <v>2</v>
      </c>
      <c r="C44" s="3" t="s">
        <v>9</v>
      </c>
      <c r="D44" s="60" t="s">
        <v>10</v>
      </c>
      <c r="E44" s="60" t="s">
        <v>10</v>
      </c>
      <c r="F44" s="60" t="s">
        <v>10</v>
      </c>
      <c r="G44" s="60"/>
      <c r="H44" s="3">
        <v>2</v>
      </c>
      <c r="I44" s="7">
        <v>0.75</v>
      </c>
      <c r="J44" s="7">
        <v>0.8</v>
      </c>
      <c r="K44" s="32"/>
      <c r="M44" s="3">
        <v>2</v>
      </c>
      <c r="N44" s="3" t="s">
        <v>8</v>
      </c>
      <c r="O44" s="60" t="s">
        <v>10</v>
      </c>
      <c r="P44" s="60" t="s">
        <v>10</v>
      </c>
      <c r="Q44" s="60" t="s">
        <v>10</v>
      </c>
      <c r="R44" s="60"/>
      <c r="S44" s="3">
        <v>2</v>
      </c>
      <c r="T44" s="7">
        <v>0.5</v>
      </c>
      <c r="U44" s="7">
        <v>0.6</v>
      </c>
      <c r="V44" s="32"/>
      <c r="X44" s="3">
        <v>2</v>
      </c>
      <c r="Y44" s="3" t="s">
        <v>9</v>
      </c>
      <c r="Z44" s="60" t="s">
        <v>10</v>
      </c>
      <c r="AA44" s="60" t="s">
        <v>10</v>
      </c>
      <c r="AB44" s="60" t="s">
        <v>10</v>
      </c>
      <c r="AC44" s="60"/>
      <c r="AD44" s="3">
        <v>2</v>
      </c>
      <c r="AE44" s="3">
        <v>16</v>
      </c>
      <c r="AF44" s="7">
        <v>0.84</v>
      </c>
      <c r="AG44" s="7">
        <v>0.9</v>
      </c>
      <c r="AH44" s="32"/>
      <c r="AJ44" s="3">
        <v>2</v>
      </c>
      <c r="AK44" s="3" t="s">
        <v>8</v>
      </c>
      <c r="AL44" s="60" t="s">
        <v>10</v>
      </c>
      <c r="AM44" s="60" t="s">
        <v>10</v>
      </c>
      <c r="AN44" s="60" t="s">
        <v>10</v>
      </c>
      <c r="AO44" s="60"/>
      <c r="AP44" s="3">
        <v>2</v>
      </c>
      <c r="AQ44" s="3">
        <v>16</v>
      </c>
      <c r="AR44" s="7">
        <v>0.87</v>
      </c>
      <c r="AS44" s="7">
        <v>0.88</v>
      </c>
      <c r="AT44" s="32"/>
    </row>
    <row r="45" spans="2:46" x14ac:dyDescent="0.25">
      <c r="B45" s="3">
        <v>3</v>
      </c>
      <c r="C45" s="3" t="s">
        <v>9</v>
      </c>
      <c r="D45" s="60" t="s">
        <v>10</v>
      </c>
      <c r="E45" s="60" t="s">
        <v>10</v>
      </c>
      <c r="F45" s="60" t="s">
        <v>10</v>
      </c>
      <c r="G45" s="60"/>
      <c r="H45" s="3">
        <v>3</v>
      </c>
      <c r="I45" s="7">
        <v>0.75</v>
      </c>
      <c r="J45" s="7">
        <v>0.8</v>
      </c>
      <c r="K45" s="32"/>
      <c r="M45" s="3">
        <v>3</v>
      </c>
      <c r="N45" s="3" t="s">
        <v>8</v>
      </c>
      <c r="O45" s="60" t="s">
        <v>10</v>
      </c>
      <c r="P45" s="60" t="s">
        <v>10</v>
      </c>
      <c r="Q45" s="60" t="s">
        <v>10</v>
      </c>
      <c r="R45" s="60"/>
      <c r="S45" s="3">
        <v>3</v>
      </c>
      <c r="T45" s="7">
        <v>0.55000000000000004</v>
      </c>
      <c r="U45" s="7">
        <v>0.65</v>
      </c>
      <c r="V45" s="32"/>
      <c r="X45" s="3">
        <v>3</v>
      </c>
      <c r="Y45" s="3" t="s">
        <v>9</v>
      </c>
      <c r="Z45" s="60" t="s">
        <v>10</v>
      </c>
      <c r="AA45" s="60" t="s">
        <v>10</v>
      </c>
      <c r="AB45" s="60" t="s">
        <v>10</v>
      </c>
      <c r="AC45" s="60"/>
      <c r="AD45" s="3">
        <v>3</v>
      </c>
      <c r="AE45" s="3">
        <v>16</v>
      </c>
      <c r="AF45" s="7">
        <v>0.84</v>
      </c>
      <c r="AG45" s="7">
        <v>0.9</v>
      </c>
      <c r="AH45" s="32"/>
      <c r="AJ45" s="3">
        <v>3</v>
      </c>
      <c r="AK45" s="3" t="s">
        <v>8</v>
      </c>
      <c r="AL45" s="60" t="s">
        <v>10</v>
      </c>
      <c r="AM45" s="60" t="s">
        <v>10</v>
      </c>
      <c r="AN45" s="60" t="s">
        <v>10</v>
      </c>
      <c r="AO45" s="60"/>
      <c r="AP45" s="3">
        <v>3</v>
      </c>
      <c r="AQ45" s="3">
        <v>16</v>
      </c>
      <c r="AR45" s="7">
        <v>0.87</v>
      </c>
      <c r="AS45" s="7">
        <v>0.88</v>
      </c>
      <c r="AT45" s="32"/>
    </row>
    <row r="46" spans="2:46" x14ac:dyDescent="0.25">
      <c r="B46" s="3">
        <v>4</v>
      </c>
      <c r="C46" s="3" t="s">
        <v>9</v>
      </c>
      <c r="D46" s="60" t="s">
        <v>10</v>
      </c>
      <c r="E46" s="60" t="s">
        <v>10</v>
      </c>
      <c r="F46" s="60" t="s">
        <v>10</v>
      </c>
      <c r="G46" s="60"/>
      <c r="H46" s="3">
        <v>4</v>
      </c>
      <c r="I46" s="7">
        <v>0.75</v>
      </c>
      <c r="J46" s="7">
        <v>0.8</v>
      </c>
      <c r="K46" s="32"/>
      <c r="M46" s="3">
        <v>4</v>
      </c>
      <c r="N46" s="3" t="s">
        <v>8</v>
      </c>
      <c r="O46" s="60" t="s">
        <v>10</v>
      </c>
      <c r="P46" s="60" t="s">
        <v>10</v>
      </c>
      <c r="Q46" s="60" t="s">
        <v>10</v>
      </c>
      <c r="R46" s="60"/>
      <c r="S46" s="3">
        <v>4</v>
      </c>
      <c r="T46" s="7">
        <v>0.55000000000000004</v>
      </c>
      <c r="U46" s="7">
        <v>0.7</v>
      </c>
      <c r="V46" s="32"/>
      <c r="X46" s="3">
        <v>4</v>
      </c>
      <c r="Y46" s="3" t="s">
        <v>9</v>
      </c>
      <c r="Z46" s="60" t="s">
        <v>10</v>
      </c>
      <c r="AA46" s="60" t="s">
        <v>10</v>
      </c>
      <c r="AB46" s="60" t="s">
        <v>10</v>
      </c>
      <c r="AC46" s="60"/>
      <c r="AD46" s="3">
        <v>4</v>
      </c>
      <c r="AE46" s="3">
        <v>16</v>
      </c>
      <c r="AF46" s="7">
        <v>0.84</v>
      </c>
      <c r="AG46" s="7">
        <v>0.9</v>
      </c>
      <c r="AH46" s="32"/>
      <c r="AJ46" s="3">
        <v>4</v>
      </c>
      <c r="AK46" s="3" t="s">
        <v>8</v>
      </c>
      <c r="AL46" s="60" t="s">
        <v>10</v>
      </c>
      <c r="AM46" s="60" t="s">
        <v>10</v>
      </c>
      <c r="AN46" s="60" t="s">
        <v>10</v>
      </c>
      <c r="AO46" s="60"/>
      <c r="AP46" s="3">
        <v>4</v>
      </c>
      <c r="AQ46" s="3">
        <v>16</v>
      </c>
      <c r="AR46" s="7">
        <v>0.87</v>
      </c>
      <c r="AS46" s="7">
        <v>0.88</v>
      </c>
      <c r="AT46" s="32"/>
    </row>
    <row r="47" spans="2:46" x14ac:dyDescent="0.25">
      <c r="B47" s="3">
        <v>5</v>
      </c>
      <c r="C47" s="3" t="s">
        <v>9</v>
      </c>
      <c r="D47" s="60" t="s">
        <v>10</v>
      </c>
      <c r="E47" s="60" t="s">
        <v>10</v>
      </c>
      <c r="F47" s="60" t="s">
        <v>10</v>
      </c>
      <c r="G47" s="60"/>
      <c r="H47" s="3">
        <v>5</v>
      </c>
      <c r="I47" s="7">
        <v>0.75</v>
      </c>
      <c r="J47" s="7">
        <v>0.8</v>
      </c>
      <c r="K47" s="32"/>
      <c r="M47" s="3">
        <v>5</v>
      </c>
      <c r="N47" s="3" t="s">
        <v>8</v>
      </c>
      <c r="O47" s="60" t="s">
        <v>10</v>
      </c>
      <c r="P47" s="60" t="s">
        <v>10</v>
      </c>
      <c r="Q47" s="60" t="s">
        <v>10</v>
      </c>
      <c r="R47" s="60"/>
      <c r="S47" s="3">
        <v>5</v>
      </c>
      <c r="T47" s="7">
        <v>0.65</v>
      </c>
      <c r="U47" s="7">
        <v>0.7</v>
      </c>
      <c r="V47" s="32"/>
      <c r="X47" s="3">
        <v>5</v>
      </c>
      <c r="Y47" s="3" t="s">
        <v>9</v>
      </c>
      <c r="Z47" s="60" t="s">
        <v>10</v>
      </c>
      <c r="AA47" s="60" t="s">
        <v>10</v>
      </c>
      <c r="AB47" s="60" t="s">
        <v>10</v>
      </c>
      <c r="AC47" s="60"/>
      <c r="AD47" s="3">
        <v>5</v>
      </c>
      <c r="AE47" s="3">
        <v>16</v>
      </c>
      <c r="AF47" s="7">
        <v>0.84</v>
      </c>
      <c r="AG47" s="7">
        <v>0.9</v>
      </c>
      <c r="AH47" s="32"/>
      <c r="AJ47" s="3">
        <v>5</v>
      </c>
      <c r="AK47" s="3" t="s">
        <v>8</v>
      </c>
      <c r="AL47" s="60" t="s">
        <v>10</v>
      </c>
      <c r="AM47" s="60" t="s">
        <v>10</v>
      </c>
      <c r="AN47" s="60" t="s">
        <v>10</v>
      </c>
      <c r="AO47" s="60"/>
      <c r="AP47" s="3">
        <v>5</v>
      </c>
      <c r="AQ47" s="3">
        <v>16</v>
      </c>
      <c r="AR47" s="7">
        <v>0.87</v>
      </c>
      <c r="AS47" s="7">
        <v>0.88</v>
      </c>
      <c r="AT47" s="32"/>
    </row>
    <row r="48" spans="2:46" x14ac:dyDescent="0.25">
      <c r="B48" s="3">
        <v>6</v>
      </c>
      <c r="C48" s="3" t="s">
        <v>9</v>
      </c>
      <c r="D48" s="61" t="s">
        <v>10</v>
      </c>
      <c r="E48" s="61" t="s">
        <v>10</v>
      </c>
      <c r="F48" s="61"/>
      <c r="G48" s="61" t="s">
        <v>10</v>
      </c>
      <c r="H48" s="3">
        <v>1</v>
      </c>
      <c r="I48" s="9">
        <v>0.45</v>
      </c>
      <c r="J48" s="9">
        <v>0.5</v>
      </c>
      <c r="K48" s="28">
        <f>MAX(I48:J52)</f>
        <v>0.5</v>
      </c>
      <c r="M48" s="3">
        <v>6</v>
      </c>
      <c r="N48" s="3" t="s">
        <v>8</v>
      </c>
      <c r="O48" s="61" t="s">
        <v>10</v>
      </c>
      <c r="P48" s="61" t="s">
        <v>10</v>
      </c>
      <c r="Q48" s="61"/>
      <c r="R48" s="61" t="s">
        <v>10</v>
      </c>
      <c r="S48" s="3">
        <v>1</v>
      </c>
      <c r="T48" s="9">
        <v>0.65</v>
      </c>
      <c r="U48" s="9">
        <v>0.55000000000000004</v>
      </c>
      <c r="V48" s="28">
        <f>MAX(T48:U52)</f>
        <v>0.7</v>
      </c>
      <c r="X48" s="3">
        <v>6</v>
      </c>
      <c r="Y48" s="3" t="s">
        <v>9</v>
      </c>
      <c r="Z48" s="61" t="s">
        <v>10</v>
      </c>
      <c r="AA48" s="61" t="s">
        <v>10</v>
      </c>
      <c r="AB48" s="61"/>
      <c r="AC48" s="61" t="s">
        <v>10</v>
      </c>
      <c r="AD48" s="3">
        <v>1</v>
      </c>
      <c r="AE48" s="3">
        <v>16</v>
      </c>
      <c r="AF48" s="9">
        <v>0.82</v>
      </c>
      <c r="AG48" s="9">
        <v>0.87</v>
      </c>
      <c r="AH48" s="28">
        <f t="shared" ref="AH48" si="0">MAX(AF48:AG52)</f>
        <v>0.89</v>
      </c>
      <c r="AJ48" s="3">
        <v>6</v>
      </c>
      <c r="AK48" s="3" t="s">
        <v>8</v>
      </c>
      <c r="AL48" s="61" t="s">
        <v>10</v>
      </c>
      <c r="AM48" s="61" t="s">
        <v>10</v>
      </c>
      <c r="AN48" s="61"/>
      <c r="AO48" s="61" t="s">
        <v>10</v>
      </c>
      <c r="AP48" s="3">
        <v>1</v>
      </c>
      <c r="AQ48" s="3">
        <v>16</v>
      </c>
      <c r="AR48" s="9">
        <v>0.87</v>
      </c>
      <c r="AS48" s="9">
        <v>0.89</v>
      </c>
      <c r="AT48" s="28">
        <f>MAX(AR48:AS52)</f>
        <v>0.9</v>
      </c>
    </row>
    <row r="49" spans="2:46" x14ac:dyDescent="0.25">
      <c r="B49" s="3">
        <v>7</v>
      </c>
      <c r="C49" s="3" t="s">
        <v>9</v>
      </c>
      <c r="D49" s="61" t="s">
        <v>10</v>
      </c>
      <c r="E49" s="61" t="s">
        <v>10</v>
      </c>
      <c r="F49" s="61"/>
      <c r="G49" s="61" t="s">
        <v>10</v>
      </c>
      <c r="H49" s="3">
        <v>2</v>
      </c>
      <c r="I49" s="9">
        <v>0.45</v>
      </c>
      <c r="J49" s="9">
        <v>0.4</v>
      </c>
      <c r="K49" s="28"/>
      <c r="M49" s="3">
        <v>7</v>
      </c>
      <c r="N49" s="3" t="s">
        <v>8</v>
      </c>
      <c r="O49" s="61" t="s">
        <v>10</v>
      </c>
      <c r="P49" s="61" t="s">
        <v>10</v>
      </c>
      <c r="Q49" s="61"/>
      <c r="R49" s="61" t="s">
        <v>10</v>
      </c>
      <c r="S49" s="3">
        <v>2</v>
      </c>
      <c r="T49" s="9">
        <v>0.65</v>
      </c>
      <c r="U49" s="9">
        <v>0.55000000000000004</v>
      </c>
      <c r="V49" s="28"/>
      <c r="X49" s="3">
        <v>7</v>
      </c>
      <c r="Y49" s="3" t="s">
        <v>9</v>
      </c>
      <c r="Z49" s="61" t="s">
        <v>10</v>
      </c>
      <c r="AA49" s="61" t="s">
        <v>10</v>
      </c>
      <c r="AB49" s="61"/>
      <c r="AC49" s="61" t="s">
        <v>10</v>
      </c>
      <c r="AD49" s="3">
        <v>2</v>
      </c>
      <c r="AE49" s="3">
        <v>16</v>
      </c>
      <c r="AF49" s="9">
        <v>0.83</v>
      </c>
      <c r="AG49" s="9">
        <v>0.89</v>
      </c>
      <c r="AH49" s="28"/>
      <c r="AJ49" s="3">
        <v>7</v>
      </c>
      <c r="AK49" s="3" t="s">
        <v>8</v>
      </c>
      <c r="AL49" s="61" t="s">
        <v>10</v>
      </c>
      <c r="AM49" s="61" t="s">
        <v>10</v>
      </c>
      <c r="AN49" s="61"/>
      <c r="AO49" s="61" t="s">
        <v>10</v>
      </c>
      <c r="AP49" s="3">
        <v>2</v>
      </c>
      <c r="AQ49" s="3">
        <v>16</v>
      </c>
      <c r="AR49" s="9">
        <v>0.87</v>
      </c>
      <c r="AS49" s="9">
        <v>0.89</v>
      </c>
      <c r="AT49" s="28"/>
    </row>
    <row r="50" spans="2:46" x14ac:dyDescent="0.25">
      <c r="B50" s="3">
        <v>8</v>
      </c>
      <c r="C50" s="3" t="s">
        <v>9</v>
      </c>
      <c r="D50" s="61" t="s">
        <v>10</v>
      </c>
      <c r="E50" s="61" t="s">
        <v>10</v>
      </c>
      <c r="F50" s="61"/>
      <c r="G50" s="61" t="s">
        <v>10</v>
      </c>
      <c r="H50" s="3">
        <v>3</v>
      </c>
      <c r="I50" s="9">
        <v>0.5</v>
      </c>
      <c r="J50" s="9">
        <v>0.35</v>
      </c>
      <c r="K50" s="28"/>
      <c r="M50" s="3">
        <v>8</v>
      </c>
      <c r="N50" s="3" t="s">
        <v>8</v>
      </c>
      <c r="O50" s="61" t="s">
        <v>10</v>
      </c>
      <c r="P50" s="61" t="s">
        <v>10</v>
      </c>
      <c r="Q50" s="61"/>
      <c r="R50" s="61" t="s">
        <v>10</v>
      </c>
      <c r="S50" s="3">
        <v>3</v>
      </c>
      <c r="T50" s="9">
        <v>0.65</v>
      </c>
      <c r="U50" s="9">
        <v>0.65</v>
      </c>
      <c r="V50" s="28"/>
      <c r="X50" s="3">
        <v>8</v>
      </c>
      <c r="Y50" s="3" t="s">
        <v>9</v>
      </c>
      <c r="Z50" s="61" t="s">
        <v>10</v>
      </c>
      <c r="AA50" s="61" t="s">
        <v>10</v>
      </c>
      <c r="AB50" s="61"/>
      <c r="AC50" s="61" t="s">
        <v>10</v>
      </c>
      <c r="AD50" s="3">
        <v>3</v>
      </c>
      <c r="AE50" s="3">
        <v>16</v>
      </c>
      <c r="AF50" s="9">
        <v>0.84</v>
      </c>
      <c r="AG50" s="9">
        <v>0.89</v>
      </c>
      <c r="AH50" s="28"/>
      <c r="AJ50" s="3">
        <v>8</v>
      </c>
      <c r="AK50" s="3" t="s">
        <v>8</v>
      </c>
      <c r="AL50" s="61" t="s">
        <v>10</v>
      </c>
      <c r="AM50" s="61" t="s">
        <v>10</v>
      </c>
      <c r="AN50" s="61"/>
      <c r="AO50" s="61" t="s">
        <v>10</v>
      </c>
      <c r="AP50" s="3">
        <v>3</v>
      </c>
      <c r="AQ50" s="3">
        <v>16</v>
      </c>
      <c r="AR50" s="9">
        <v>0.87</v>
      </c>
      <c r="AS50" s="9">
        <v>0.9</v>
      </c>
      <c r="AT50" s="28"/>
    </row>
    <row r="51" spans="2:46" x14ac:dyDescent="0.25">
      <c r="B51" s="3">
        <v>9</v>
      </c>
      <c r="C51" s="3" t="s">
        <v>9</v>
      </c>
      <c r="D51" s="61" t="s">
        <v>10</v>
      </c>
      <c r="E51" s="61" t="s">
        <v>10</v>
      </c>
      <c r="F51" s="61"/>
      <c r="G51" s="61" t="s">
        <v>10</v>
      </c>
      <c r="H51" s="3">
        <v>4</v>
      </c>
      <c r="I51" s="9">
        <v>0.45</v>
      </c>
      <c r="J51" s="9">
        <v>0.35</v>
      </c>
      <c r="K51" s="28"/>
      <c r="M51" s="3">
        <v>9</v>
      </c>
      <c r="N51" s="3" t="s">
        <v>8</v>
      </c>
      <c r="O51" s="61" t="s">
        <v>10</v>
      </c>
      <c r="P51" s="61" t="s">
        <v>10</v>
      </c>
      <c r="Q51" s="61"/>
      <c r="R51" s="61" t="s">
        <v>10</v>
      </c>
      <c r="S51" s="3">
        <v>4</v>
      </c>
      <c r="T51" s="9">
        <v>0.7</v>
      </c>
      <c r="U51" s="9">
        <v>0.55000000000000004</v>
      </c>
      <c r="V51" s="28"/>
      <c r="X51" s="3">
        <v>9</v>
      </c>
      <c r="Y51" s="3" t="s">
        <v>9</v>
      </c>
      <c r="Z51" s="61" t="s">
        <v>10</v>
      </c>
      <c r="AA51" s="61" t="s">
        <v>10</v>
      </c>
      <c r="AB51" s="61"/>
      <c r="AC51" s="61" t="s">
        <v>10</v>
      </c>
      <c r="AD51" s="3">
        <v>4</v>
      </c>
      <c r="AE51" s="3">
        <v>16</v>
      </c>
      <c r="AF51" s="9">
        <v>0.84</v>
      </c>
      <c r="AG51" s="9">
        <v>0.89</v>
      </c>
      <c r="AH51" s="28"/>
      <c r="AJ51" s="3">
        <v>9</v>
      </c>
      <c r="AK51" s="3" t="s">
        <v>8</v>
      </c>
      <c r="AL51" s="61" t="s">
        <v>10</v>
      </c>
      <c r="AM51" s="61" t="s">
        <v>10</v>
      </c>
      <c r="AN51" s="61"/>
      <c r="AO51" s="61" t="s">
        <v>10</v>
      </c>
      <c r="AP51" s="3">
        <v>4</v>
      </c>
      <c r="AQ51" s="3">
        <v>16</v>
      </c>
      <c r="AR51" s="9">
        <v>0.84</v>
      </c>
      <c r="AS51" s="9">
        <v>0.9</v>
      </c>
      <c r="AT51" s="28"/>
    </row>
    <row r="52" spans="2:46" x14ac:dyDescent="0.25">
      <c r="B52" s="3">
        <v>10</v>
      </c>
      <c r="C52" s="3" t="s">
        <v>9</v>
      </c>
      <c r="D52" s="61" t="s">
        <v>10</v>
      </c>
      <c r="E52" s="61" t="s">
        <v>10</v>
      </c>
      <c r="F52" s="61"/>
      <c r="G52" s="61" t="s">
        <v>10</v>
      </c>
      <c r="H52" s="3">
        <v>5</v>
      </c>
      <c r="I52" s="9">
        <v>0.45</v>
      </c>
      <c r="J52" s="9">
        <v>0.4</v>
      </c>
      <c r="K52" s="28"/>
      <c r="M52" s="3">
        <v>10</v>
      </c>
      <c r="N52" s="3" t="s">
        <v>8</v>
      </c>
      <c r="O52" s="61" t="s">
        <v>10</v>
      </c>
      <c r="P52" s="61" t="s">
        <v>10</v>
      </c>
      <c r="Q52" s="61"/>
      <c r="R52" s="61" t="s">
        <v>10</v>
      </c>
      <c r="S52" s="3">
        <v>5</v>
      </c>
      <c r="T52" s="9">
        <v>0.55000000000000004</v>
      </c>
      <c r="U52" s="9">
        <v>0.55000000000000004</v>
      </c>
      <c r="V52" s="28"/>
      <c r="X52" s="3">
        <v>10</v>
      </c>
      <c r="Y52" s="3" t="s">
        <v>9</v>
      </c>
      <c r="Z52" s="61" t="s">
        <v>10</v>
      </c>
      <c r="AA52" s="61" t="s">
        <v>10</v>
      </c>
      <c r="AB52" s="61"/>
      <c r="AC52" s="61" t="s">
        <v>10</v>
      </c>
      <c r="AD52" s="3">
        <v>5</v>
      </c>
      <c r="AE52" s="3">
        <v>16</v>
      </c>
      <c r="AF52" s="9">
        <v>0.84</v>
      </c>
      <c r="AG52" s="9">
        <v>0.89</v>
      </c>
      <c r="AH52" s="28"/>
      <c r="AJ52" s="3">
        <v>10</v>
      </c>
      <c r="AK52" s="3" t="s">
        <v>8</v>
      </c>
      <c r="AL52" s="61" t="s">
        <v>10</v>
      </c>
      <c r="AM52" s="61" t="s">
        <v>10</v>
      </c>
      <c r="AN52" s="61"/>
      <c r="AO52" s="61" t="s">
        <v>10</v>
      </c>
      <c r="AP52" s="3">
        <v>5</v>
      </c>
      <c r="AQ52" s="3">
        <v>16</v>
      </c>
      <c r="AR52" s="9">
        <v>0.84</v>
      </c>
      <c r="AS52" s="9">
        <v>0.9</v>
      </c>
      <c r="AT52" s="28"/>
    </row>
    <row r="53" spans="2:46" x14ac:dyDescent="0.25">
      <c r="B53" s="3">
        <v>11</v>
      </c>
      <c r="C53" s="3" t="s">
        <v>9</v>
      </c>
      <c r="D53" s="62" t="s">
        <v>10</v>
      </c>
      <c r="E53" s="62"/>
      <c r="F53" s="62" t="s">
        <v>10</v>
      </c>
      <c r="G53" s="62" t="s">
        <v>10</v>
      </c>
      <c r="H53" s="3">
        <v>1</v>
      </c>
      <c r="I53" s="10">
        <v>0.5</v>
      </c>
      <c r="J53" s="10">
        <v>0.45</v>
      </c>
      <c r="K53" s="29">
        <f>MAX(I53:J57)</f>
        <v>0.5</v>
      </c>
      <c r="M53" s="3">
        <v>11</v>
      </c>
      <c r="N53" s="3" t="s">
        <v>8</v>
      </c>
      <c r="O53" s="62" t="s">
        <v>10</v>
      </c>
      <c r="P53" s="62"/>
      <c r="Q53" s="62" t="s">
        <v>10</v>
      </c>
      <c r="R53" s="62" t="s">
        <v>10</v>
      </c>
      <c r="S53" s="3">
        <v>1</v>
      </c>
      <c r="T53" s="10">
        <v>0.6</v>
      </c>
      <c r="U53" s="10">
        <v>0.5</v>
      </c>
      <c r="V53" s="29">
        <f>MAX(T53:U57)</f>
        <v>0.65</v>
      </c>
      <c r="X53" s="3">
        <v>11</v>
      </c>
      <c r="Y53" s="3" t="s">
        <v>9</v>
      </c>
      <c r="Z53" s="62" t="s">
        <v>10</v>
      </c>
      <c r="AA53" s="62"/>
      <c r="AB53" s="62" t="s">
        <v>10</v>
      </c>
      <c r="AC53" s="62" t="s">
        <v>10</v>
      </c>
      <c r="AD53" s="3">
        <v>1</v>
      </c>
      <c r="AE53" s="3">
        <v>16</v>
      </c>
      <c r="AF53" s="10">
        <v>0.82</v>
      </c>
      <c r="AG53" s="10">
        <v>0.87</v>
      </c>
      <c r="AH53" s="29">
        <f t="shared" ref="AH53" si="1">MAX(AF53:AG57)</f>
        <v>0.89</v>
      </c>
      <c r="AJ53" s="3">
        <v>11</v>
      </c>
      <c r="AK53" s="3" t="s">
        <v>8</v>
      </c>
      <c r="AL53" s="62" t="s">
        <v>10</v>
      </c>
      <c r="AM53" s="62"/>
      <c r="AN53" s="62" t="s">
        <v>10</v>
      </c>
      <c r="AO53" s="62" t="s">
        <v>10</v>
      </c>
      <c r="AP53" s="3">
        <v>1</v>
      </c>
      <c r="AQ53" s="3">
        <v>16</v>
      </c>
      <c r="AR53" s="10">
        <v>0.87</v>
      </c>
      <c r="AS53" s="10">
        <v>0.89</v>
      </c>
      <c r="AT53" s="29">
        <f>MAX(AR53:AS57)</f>
        <v>0.9</v>
      </c>
    </row>
    <row r="54" spans="2:46" x14ac:dyDescent="0.25">
      <c r="B54" s="3">
        <v>12</v>
      </c>
      <c r="C54" s="3" t="s">
        <v>9</v>
      </c>
      <c r="D54" s="62" t="s">
        <v>10</v>
      </c>
      <c r="E54" s="62"/>
      <c r="F54" s="62" t="s">
        <v>10</v>
      </c>
      <c r="G54" s="62" t="s">
        <v>10</v>
      </c>
      <c r="H54" s="3">
        <v>2</v>
      </c>
      <c r="I54" s="10">
        <v>0.45</v>
      </c>
      <c r="J54" s="10">
        <v>0.4</v>
      </c>
      <c r="K54" s="29"/>
      <c r="M54" s="3">
        <v>12</v>
      </c>
      <c r="N54" s="3" t="s">
        <v>8</v>
      </c>
      <c r="O54" s="62" t="s">
        <v>10</v>
      </c>
      <c r="P54" s="62"/>
      <c r="Q54" s="62" t="s">
        <v>10</v>
      </c>
      <c r="R54" s="62" t="s">
        <v>10</v>
      </c>
      <c r="S54" s="3">
        <v>2</v>
      </c>
      <c r="T54" s="10">
        <v>0.65</v>
      </c>
      <c r="U54" s="10">
        <v>0.5</v>
      </c>
      <c r="V54" s="29"/>
      <c r="X54" s="3">
        <v>12</v>
      </c>
      <c r="Y54" s="3" t="s">
        <v>9</v>
      </c>
      <c r="Z54" s="62" t="s">
        <v>10</v>
      </c>
      <c r="AA54" s="62"/>
      <c r="AB54" s="62" t="s">
        <v>10</v>
      </c>
      <c r="AC54" s="62" t="s">
        <v>10</v>
      </c>
      <c r="AD54" s="3">
        <v>2</v>
      </c>
      <c r="AE54" s="3">
        <v>16</v>
      </c>
      <c r="AF54" s="10">
        <v>0.83</v>
      </c>
      <c r="AG54" s="10">
        <v>0.89</v>
      </c>
      <c r="AH54" s="29"/>
      <c r="AJ54" s="3">
        <v>12</v>
      </c>
      <c r="AK54" s="3" t="s">
        <v>8</v>
      </c>
      <c r="AL54" s="62" t="s">
        <v>10</v>
      </c>
      <c r="AM54" s="62"/>
      <c r="AN54" s="62" t="s">
        <v>10</v>
      </c>
      <c r="AO54" s="62" t="s">
        <v>10</v>
      </c>
      <c r="AP54" s="3">
        <v>2</v>
      </c>
      <c r="AQ54" s="3">
        <v>16</v>
      </c>
      <c r="AR54" s="10">
        <v>0.87</v>
      </c>
      <c r="AS54" s="10">
        <v>0.89</v>
      </c>
      <c r="AT54" s="29"/>
    </row>
    <row r="55" spans="2:46" x14ac:dyDescent="0.25">
      <c r="B55" s="3">
        <v>13</v>
      </c>
      <c r="C55" s="3" t="s">
        <v>9</v>
      </c>
      <c r="D55" s="62" t="s">
        <v>10</v>
      </c>
      <c r="E55" s="62"/>
      <c r="F55" s="62" t="s">
        <v>10</v>
      </c>
      <c r="G55" s="62" t="s">
        <v>10</v>
      </c>
      <c r="H55" s="3">
        <v>3</v>
      </c>
      <c r="I55" s="10">
        <v>0.4</v>
      </c>
      <c r="J55" s="10">
        <v>0.35</v>
      </c>
      <c r="K55" s="29"/>
      <c r="M55" s="3">
        <v>13</v>
      </c>
      <c r="N55" s="3" t="s">
        <v>8</v>
      </c>
      <c r="O55" s="62" t="s">
        <v>10</v>
      </c>
      <c r="P55" s="62"/>
      <c r="Q55" s="62" t="s">
        <v>10</v>
      </c>
      <c r="R55" s="62" t="s">
        <v>10</v>
      </c>
      <c r="S55" s="3">
        <v>3</v>
      </c>
      <c r="T55" s="10">
        <v>0.6</v>
      </c>
      <c r="U55" s="10">
        <v>0.45</v>
      </c>
      <c r="V55" s="29"/>
      <c r="X55" s="3">
        <v>13</v>
      </c>
      <c r="Y55" s="3" t="s">
        <v>9</v>
      </c>
      <c r="Z55" s="62" t="s">
        <v>10</v>
      </c>
      <c r="AA55" s="62"/>
      <c r="AB55" s="62" t="s">
        <v>10</v>
      </c>
      <c r="AC55" s="62" t="s">
        <v>10</v>
      </c>
      <c r="AD55" s="3">
        <v>3</v>
      </c>
      <c r="AE55" s="3">
        <v>16</v>
      </c>
      <c r="AF55" s="10">
        <v>0.84</v>
      </c>
      <c r="AG55" s="10">
        <v>0.89</v>
      </c>
      <c r="AH55" s="29"/>
      <c r="AJ55" s="3">
        <v>13</v>
      </c>
      <c r="AK55" s="3" t="s">
        <v>8</v>
      </c>
      <c r="AL55" s="62" t="s">
        <v>10</v>
      </c>
      <c r="AM55" s="62"/>
      <c r="AN55" s="62" t="s">
        <v>10</v>
      </c>
      <c r="AO55" s="62" t="s">
        <v>10</v>
      </c>
      <c r="AP55" s="3">
        <v>3</v>
      </c>
      <c r="AQ55" s="3">
        <v>16</v>
      </c>
      <c r="AR55" s="10">
        <v>0.87</v>
      </c>
      <c r="AS55" s="10">
        <v>0.9</v>
      </c>
      <c r="AT55" s="29"/>
    </row>
    <row r="56" spans="2:46" x14ac:dyDescent="0.25">
      <c r="B56" s="3">
        <v>14</v>
      </c>
      <c r="C56" s="3" t="s">
        <v>9</v>
      </c>
      <c r="D56" s="62" t="s">
        <v>10</v>
      </c>
      <c r="E56" s="62"/>
      <c r="F56" s="62" t="s">
        <v>10</v>
      </c>
      <c r="G56" s="62" t="s">
        <v>10</v>
      </c>
      <c r="H56" s="3">
        <v>4</v>
      </c>
      <c r="I56" s="10">
        <v>0.4</v>
      </c>
      <c r="J56" s="10">
        <v>0.35</v>
      </c>
      <c r="K56" s="29"/>
      <c r="M56" s="3">
        <v>14</v>
      </c>
      <c r="N56" s="3" t="s">
        <v>8</v>
      </c>
      <c r="O56" s="62" t="s">
        <v>10</v>
      </c>
      <c r="P56" s="62"/>
      <c r="Q56" s="62" t="s">
        <v>10</v>
      </c>
      <c r="R56" s="62" t="s">
        <v>10</v>
      </c>
      <c r="S56" s="3">
        <v>4</v>
      </c>
      <c r="T56" s="10">
        <v>0.65</v>
      </c>
      <c r="U56" s="10">
        <v>0.45</v>
      </c>
      <c r="V56" s="29"/>
      <c r="X56" s="3">
        <v>14</v>
      </c>
      <c r="Y56" s="3" t="s">
        <v>9</v>
      </c>
      <c r="Z56" s="62" t="s">
        <v>10</v>
      </c>
      <c r="AA56" s="62"/>
      <c r="AB56" s="62" t="s">
        <v>10</v>
      </c>
      <c r="AC56" s="62" t="s">
        <v>10</v>
      </c>
      <c r="AD56" s="3">
        <v>4</v>
      </c>
      <c r="AE56" s="3">
        <v>16</v>
      </c>
      <c r="AF56" s="10">
        <v>0.84</v>
      </c>
      <c r="AG56" s="10">
        <v>0.89</v>
      </c>
      <c r="AH56" s="29"/>
      <c r="AJ56" s="3">
        <v>14</v>
      </c>
      <c r="AK56" s="3" t="s">
        <v>8</v>
      </c>
      <c r="AL56" s="62" t="s">
        <v>10</v>
      </c>
      <c r="AM56" s="62"/>
      <c r="AN56" s="62" t="s">
        <v>10</v>
      </c>
      <c r="AO56" s="62" t="s">
        <v>10</v>
      </c>
      <c r="AP56" s="3">
        <v>4</v>
      </c>
      <c r="AQ56" s="3">
        <v>16</v>
      </c>
      <c r="AR56" s="10">
        <v>0.84</v>
      </c>
      <c r="AS56" s="10">
        <v>0.9</v>
      </c>
      <c r="AT56" s="29"/>
    </row>
    <row r="57" spans="2:46" x14ac:dyDescent="0.25">
      <c r="B57" s="3">
        <v>15</v>
      </c>
      <c r="C57" s="3" t="s">
        <v>9</v>
      </c>
      <c r="D57" s="62" t="s">
        <v>10</v>
      </c>
      <c r="E57" s="62"/>
      <c r="F57" s="62" t="s">
        <v>10</v>
      </c>
      <c r="G57" s="62" t="s">
        <v>10</v>
      </c>
      <c r="H57" s="3">
        <v>5</v>
      </c>
      <c r="I57" s="10">
        <v>0.45</v>
      </c>
      <c r="J57" s="10">
        <v>0.35</v>
      </c>
      <c r="K57" s="29"/>
      <c r="M57" s="3">
        <v>15</v>
      </c>
      <c r="N57" s="3" t="s">
        <v>8</v>
      </c>
      <c r="O57" s="62" t="s">
        <v>10</v>
      </c>
      <c r="P57" s="62"/>
      <c r="Q57" s="62" t="s">
        <v>10</v>
      </c>
      <c r="R57" s="62" t="s">
        <v>10</v>
      </c>
      <c r="S57" s="3">
        <v>5</v>
      </c>
      <c r="T57" s="10">
        <v>0.6</v>
      </c>
      <c r="U57" s="10">
        <v>0.5</v>
      </c>
      <c r="V57" s="29"/>
      <c r="X57" s="3">
        <v>15</v>
      </c>
      <c r="Y57" s="3" t="s">
        <v>9</v>
      </c>
      <c r="Z57" s="62" t="s">
        <v>10</v>
      </c>
      <c r="AA57" s="62"/>
      <c r="AB57" s="62" t="s">
        <v>10</v>
      </c>
      <c r="AC57" s="62" t="s">
        <v>10</v>
      </c>
      <c r="AD57" s="3">
        <v>5</v>
      </c>
      <c r="AE57" s="3">
        <v>16</v>
      </c>
      <c r="AF57" s="10">
        <v>0.84</v>
      </c>
      <c r="AG57" s="10">
        <v>0.89</v>
      </c>
      <c r="AH57" s="29"/>
      <c r="AJ57" s="3">
        <v>15</v>
      </c>
      <c r="AK57" s="3" t="s">
        <v>8</v>
      </c>
      <c r="AL57" s="62" t="s">
        <v>10</v>
      </c>
      <c r="AM57" s="62"/>
      <c r="AN57" s="62" t="s">
        <v>10</v>
      </c>
      <c r="AO57" s="62" t="s">
        <v>10</v>
      </c>
      <c r="AP57" s="3">
        <v>5</v>
      </c>
      <c r="AQ57" s="3">
        <v>16</v>
      </c>
      <c r="AR57" s="10">
        <v>0.84</v>
      </c>
      <c r="AS57" s="10">
        <v>0.9</v>
      </c>
      <c r="AT57" s="29"/>
    </row>
    <row r="58" spans="2:46" x14ac:dyDescent="0.25">
      <c r="B58" s="3">
        <v>16</v>
      </c>
      <c r="C58" s="3" t="s">
        <v>9</v>
      </c>
      <c r="D58" s="64"/>
      <c r="E58" s="64" t="s">
        <v>10</v>
      </c>
      <c r="F58" s="64" t="s">
        <v>10</v>
      </c>
      <c r="G58" s="64" t="s">
        <v>10</v>
      </c>
      <c r="H58" s="3">
        <v>1</v>
      </c>
      <c r="I58" s="11">
        <v>0.25</v>
      </c>
      <c r="J58" s="11">
        <v>0.25</v>
      </c>
      <c r="K58" s="30">
        <f>MAX(I58:J62)</f>
        <v>0.4</v>
      </c>
      <c r="M58" s="3">
        <v>16</v>
      </c>
      <c r="N58" s="3" t="s">
        <v>8</v>
      </c>
      <c r="O58" s="64"/>
      <c r="P58" s="64" t="s">
        <v>10</v>
      </c>
      <c r="Q58" s="64" t="s">
        <v>10</v>
      </c>
      <c r="R58" s="64" t="s">
        <v>10</v>
      </c>
      <c r="S58" s="3">
        <v>1</v>
      </c>
      <c r="T58" s="11">
        <v>0.6</v>
      </c>
      <c r="U58" s="11">
        <v>0.6</v>
      </c>
      <c r="V58" s="30">
        <f>MAX(T58:U62)</f>
        <v>0.6</v>
      </c>
      <c r="X58" s="3">
        <v>16</v>
      </c>
      <c r="Y58" s="3" t="s">
        <v>9</v>
      </c>
      <c r="Z58" s="64"/>
      <c r="AA58" s="64" t="s">
        <v>10</v>
      </c>
      <c r="AB58" s="64" t="s">
        <v>10</v>
      </c>
      <c r="AC58" s="64" t="s">
        <v>10</v>
      </c>
      <c r="AD58" s="3">
        <v>1</v>
      </c>
      <c r="AE58" s="3">
        <v>16</v>
      </c>
      <c r="AF58" s="11">
        <v>0.81</v>
      </c>
      <c r="AG58" s="11">
        <v>0.86</v>
      </c>
      <c r="AH58" s="30">
        <f t="shared" ref="AH58" si="2">MAX(AF58:AG62)</f>
        <v>0.89</v>
      </c>
      <c r="AJ58" s="3">
        <v>16</v>
      </c>
      <c r="AK58" s="3" t="s">
        <v>8</v>
      </c>
      <c r="AL58" s="64"/>
      <c r="AM58" s="64" t="s">
        <v>10</v>
      </c>
      <c r="AN58" s="64" t="s">
        <v>10</v>
      </c>
      <c r="AO58" s="64" t="s">
        <v>10</v>
      </c>
      <c r="AP58" s="3">
        <v>1</v>
      </c>
      <c r="AQ58" s="3">
        <v>16</v>
      </c>
      <c r="AR58" s="11">
        <v>0.87</v>
      </c>
      <c r="AS58" s="11">
        <v>0.89</v>
      </c>
      <c r="AT58" s="30">
        <f>MAX(AR58:AS62)</f>
        <v>0.9</v>
      </c>
    </row>
    <row r="59" spans="2:46" x14ac:dyDescent="0.25">
      <c r="B59" s="3">
        <v>17</v>
      </c>
      <c r="C59" s="3" t="s">
        <v>9</v>
      </c>
      <c r="D59" s="64"/>
      <c r="E59" s="64" t="s">
        <v>10</v>
      </c>
      <c r="F59" s="64" t="s">
        <v>10</v>
      </c>
      <c r="G59" s="64" t="s">
        <v>10</v>
      </c>
      <c r="H59" s="3">
        <v>2</v>
      </c>
      <c r="I59" s="11">
        <v>0.4</v>
      </c>
      <c r="J59" s="11">
        <v>0.4</v>
      </c>
      <c r="K59" s="30"/>
      <c r="M59" s="3">
        <v>17</v>
      </c>
      <c r="N59" s="3" t="s">
        <v>8</v>
      </c>
      <c r="O59" s="64"/>
      <c r="P59" s="64" t="s">
        <v>10</v>
      </c>
      <c r="Q59" s="64" t="s">
        <v>10</v>
      </c>
      <c r="R59" s="64" t="s">
        <v>10</v>
      </c>
      <c r="S59" s="3">
        <v>2</v>
      </c>
      <c r="T59" s="11">
        <v>0.5</v>
      </c>
      <c r="U59" s="11">
        <v>0.45</v>
      </c>
      <c r="V59" s="30"/>
      <c r="X59" s="3">
        <v>17</v>
      </c>
      <c r="Y59" s="3" t="s">
        <v>9</v>
      </c>
      <c r="Z59" s="64"/>
      <c r="AA59" s="64" t="s">
        <v>10</v>
      </c>
      <c r="AB59" s="64" t="s">
        <v>10</v>
      </c>
      <c r="AC59" s="64" t="s">
        <v>10</v>
      </c>
      <c r="AD59" s="3">
        <v>2</v>
      </c>
      <c r="AE59" s="3">
        <v>16</v>
      </c>
      <c r="AF59" s="11">
        <v>0.83</v>
      </c>
      <c r="AG59" s="11">
        <v>0.88</v>
      </c>
      <c r="AH59" s="30"/>
      <c r="AJ59" s="3">
        <v>17</v>
      </c>
      <c r="AK59" s="3" t="s">
        <v>8</v>
      </c>
      <c r="AL59" s="64"/>
      <c r="AM59" s="64" t="s">
        <v>10</v>
      </c>
      <c r="AN59" s="64" t="s">
        <v>10</v>
      </c>
      <c r="AO59" s="64" t="s">
        <v>10</v>
      </c>
      <c r="AP59" s="3">
        <v>2</v>
      </c>
      <c r="AQ59" s="3">
        <v>16</v>
      </c>
      <c r="AR59" s="11">
        <v>0.87</v>
      </c>
      <c r="AS59" s="11">
        <v>0.89</v>
      </c>
      <c r="AT59" s="30"/>
    </row>
    <row r="60" spans="2:46" x14ac:dyDescent="0.25">
      <c r="B60" s="3">
        <v>18</v>
      </c>
      <c r="C60" s="3" t="s">
        <v>9</v>
      </c>
      <c r="D60" s="64"/>
      <c r="E60" s="64" t="s">
        <v>10</v>
      </c>
      <c r="F60" s="64" t="s">
        <v>10</v>
      </c>
      <c r="G60" s="64" t="s">
        <v>10</v>
      </c>
      <c r="H60" s="3">
        <v>3</v>
      </c>
      <c r="I60" s="11">
        <v>0.4</v>
      </c>
      <c r="J60" s="11">
        <v>0.35</v>
      </c>
      <c r="K60" s="30"/>
      <c r="M60" s="3">
        <v>18</v>
      </c>
      <c r="N60" s="3" t="s">
        <v>8</v>
      </c>
      <c r="O60" s="64"/>
      <c r="P60" s="64" t="s">
        <v>10</v>
      </c>
      <c r="Q60" s="64" t="s">
        <v>10</v>
      </c>
      <c r="R60" s="64" t="s">
        <v>10</v>
      </c>
      <c r="S60" s="3">
        <v>3</v>
      </c>
      <c r="T60" s="11">
        <v>0.4</v>
      </c>
      <c r="U60" s="11">
        <v>0.4</v>
      </c>
      <c r="V60" s="30"/>
      <c r="X60" s="3">
        <v>18</v>
      </c>
      <c r="Y60" s="3" t="s">
        <v>9</v>
      </c>
      <c r="Z60" s="64"/>
      <c r="AA60" s="64" t="s">
        <v>10</v>
      </c>
      <c r="AB60" s="64" t="s">
        <v>10</v>
      </c>
      <c r="AC60" s="64" t="s">
        <v>10</v>
      </c>
      <c r="AD60" s="3">
        <v>3</v>
      </c>
      <c r="AE60" s="3">
        <v>16</v>
      </c>
      <c r="AF60" s="11">
        <v>0.84</v>
      </c>
      <c r="AG60" s="11">
        <v>0.89</v>
      </c>
      <c r="AH60" s="30"/>
      <c r="AJ60" s="3">
        <v>18</v>
      </c>
      <c r="AK60" s="3" t="s">
        <v>8</v>
      </c>
      <c r="AL60" s="64"/>
      <c r="AM60" s="64" t="s">
        <v>10</v>
      </c>
      <c r="AN60" s="64" t="s">
        <v>10</v>
      </c>
      <c r="AO60" s="64" t="s">
        <v>10</v>
      </c>
      <c r="AP60" s="3">
        <v>3</v>
      </c>
      <c r="AQ60" s="3">
        <v>16</v>
      </c>
      <c r="AR60" s="11">
        <v>0.87</v>
      </c>
      <c r="AS60" s="11">
        <v>0.9</v>
      </c>
      <c r="AT60" s="30"/>
    </row>
    <row r="61" spans="2:46" x14ac:dyDescent="0.25">
      <c r="B61" s="3">
        <v>19</v>
      </c>
      <c r="C61" s="3" t="s">
        <v>9</v>
      </c>
      <c r="D61" s="64"/>
      <c r="E61" s="64" t="s">
        <v>10</v>
      </c>
      <c r="F61" s="64" t="s">
        <v>10</v>
      </c>
      <c r="G61" s="64" t="s">
        <v>10</v>
      </c>
      <c r="H61" s="3">
        <v>4</v>
      </c>
      <c r="I61" s="11">
        <v>0.4</v>
      </c>
      <c r="J61" s="11">
        <v>0.35</v>
      </c>
      <c r="K61" s="30"/>
      <c r="M61" s="3">
        <v>19</v>
      </c>
      <c r="N61" s="3" t="s">
        <v>8</v>
      </c>
      <c r="O61" s="64"/>
      <c r="P61" s="64" t="s">
        <v>10</v>
      </c>
      <c r="Q61" s="64" t="s">
        <v>10</v>
      </c>
      <c r="R61" s="64" t="s">
        <v>10</v>
      </c>
      <c r="S61" s="3">
        <v>4</v>
      </c>
      <c r="T61" s="11">
        <v>0.35</v>
      </c>
      <c r="U61" s="11">
        <v>0.35</v>
      </c>
      <c r="V61" s="30"/>
      <c r="X61" s="3">
        <v>19</v>
      </c>
      <c r="Y61" s="3" t="s">
        <v>9</v>
      </c>
      <c r="Z61" s="64"/>
      <c r="AA61" s="64" t="s">
        <v>10</v>
      </c>
      <c r="AB61" s="64" t="s">
        <v>10</v>
      </c>
      <c r="AC61" s="64" t="s">
        <v>10</v>
      </c>
      <c r="AD61" s="3">
        <v>4</v>
      </c>
      <c r="AE61" s="3">
        <v>16</v>
      </c>
      <c r="AF61" s="11">
        <v>0.84</v>
      </c>
      <c r="AG61" s="11">
        <v>0.89</v>
      </c>
      <c r="AH61" s="30"/>
      <c r="AJ61" s="3">
        <v>19</v>
      </c>
      <c r="AK61" s="3" t="s">
        <v>8</v>
      </c>
      <c r="AL61" s="64"/>
      <c r="AM61" s="64" t="s">
        <v>10</v>
      </c>
      <c r="AN61" s="64" t="s">
        <v>10</v>
      </c>
      <c r="AO61" s="64" t="s">
        <v>10</v>
      </c>
      <c r="AP61" s="3">
        <v>4</v>
      </c>
      <c r="AQ61" s="3">
        <v>16</v>
      </c>
      <c r="AR61" s="11">
        <v>0.84</v>
      </c>
      <c r="AS61" s="11">
        <v>0.9</v>
      </c>
      <c r="AT61" s="30"/>
    </row>
    <row r="62" spans="2:46" x14ac:dyDescent="0.25">
      <c r="B62" s="3">
        <v>20</v>
      </c>
      <c r="C62" s="3" t="s">
        <v>9</v>
      </c>
      <c r="D62" s="64"/>
      <c r="E62" s="64" t="s">
        <v>10</v>
      </c>
      <c r="F62" s="64" t="s">
        <v>10</v>
      </c>
      <c r="G62" s="64" t="s">
        <v>10</v>
      </c>
      <c r="H62" s="3">
        <v>5</v>
      </c>
      <c r="I62" s="11">
        <v>0.35</v>
      </c>
      <c r="J62" s="11">
        <v>0.35</v>
      </c>
      <c r="K62" s="30"/>
      <c r="M62" s="3">
        <v>20</v>
      </c>
      <c r="N62" s="3" t="s">
        <v>8</v>
      </c>
      <c r="O62" s="64"/>
      <c r="P62" s="64" t="s">
        <v>10</v>
      </c>
      <c r="Q62" s="64" t="s">
        <v>10</v>
      </c>
      <c r="R62" s="64" t="s">
        <v>10</v>
      </c>
      <c r="S62" s="3">
        <v>5</v>
      </c>
      <c r="T62" s="11">
        <v>0.45</v>
      </c>
      <c r="U62" s="11">
        <v>0.35</v>
      </c>
      <c r="V62" s="30"/>
      <c r="X62" s="3">
        <v>20</v>
      </c>
      <c r="Y62" s="3" t="s">
        <v>9</v>
      </c>
      <c r="Z62" s="64"/>
      <c r="AA62" s="64" t="s">
        <v>10</v>
      </c>
      <c r="AB62" s="64" t="s">
        <v>10</v>
      </c>
      <c r="AC62" s="64" t="s">
        <v>10</v>
      </c>
      <c r="AD62" s="3">
        <v>5</v>
      </c>
      <c r="AE62" s="3">
        <v>16</v>
      </c>
      <c r="AF62" s="11">
        <v>0.84</v>
      </c>
      <c r="AG62" s="11">
        <v>0.89</v>
      </c>
      <c r="AH62" s="30"/>
      <c r="AJ62" s="3">
        <v>20</v>
      </c>
      <c r="AK62" s="3" t="s">
        <v>8</v>
      </c>
      <c r="AL62" s="64"/>
      <c r="AM62" s="64" t="s">
        <v>10</v>
      </c>
      <c r="AN62" s="64" t="s">
        <v>10</v>
      </c>
      <c r="AO62" s="64" t="s">
        <v>10</v>
      </c>
      <c r="AP62" s="3">
        <v>5</v>
      </c>
      <c r="AQ62" s="3">
        <v>16</v>
      </c>
      <c r="AR62" s="11">
        <v>0.84</v>
      </c>
      <c r="AS62" s="11">
        <v>0.9</v>
      </c>
      <c r="AT62" s="30"/>
    </row>
    <row r="63" spans="2:46" x14ac:dyDescent="0.25">
      <c r="B63" s="3">
        <v>21</v>
      </c>
      <c r="C63" s="3" t="s">
        <v>9</v>
      </c>
      <c r="D63" s="65" t="s">
        <v>10</v>
      </c>
      <c r="E63" s="65" t="s">
        <v>10</v>
      </c>
      <c r="F63" s="65" t="s">
        <v>10</v>
      </c>
      <c r="G63" s="65" t="s">
        <v>10</v>
      </c>
      <c r="H63" s="3">
        <v>1</v>
      </c>
      <c r="I63" s="5">
        <v>0.45</v>
      </c>
      <c r="J63" s="5">
        <v>0.45</v>
      </c>
      <c r="K63" s="26">
        <f>MAX(I63:J67)</f>
        <v>0.45</v>
      </c>
      <c r="M63" s="3">
        <v>21</v>
      </c>
      <c r="N63" s="3" t="s">
        <v>8</v>
      </c>
      <c r="O63" s="65" t="s">
        <v>10</v>
      </c>
      <c r="P63" s="65" t="s">
        <v>10</v>
      </c>
      <c r="Q63" s="65" t="s">
        <v>10</v>
      </c>
      <c r="R63" s="65" t="s">
        <v>10</v>
      </c>
      <c r="S63" s="3">
        <v>1</v>
      </c>
      <c r="T63" s="5">
        <v>0.65</v>
      </c>
      <c r="U63" s="5">
        <v>0.65</v>
      </c>
      <c r="V63" s="26">
        <f>MAX(T63:U67)</f>
        <v>0.65</v>
      </c>
      <c r="X63" s="3">
        <v>21</v>
      </c>
      <c r="Y63" s="3" t="s">
        <v>9</v>
      </c>
      <c r="Z63" s="65" t="s">
        <v>10</v>
      </c>
      <c r="AA63" s="65" t="s">
        <v>10</v>
      </c>
      <c r="AB63" s="65" t="s">
        <v>10</v>
      </c>
      <c r="AC63" s="65" t="s">
        <v>10</v>
      </c>
      <c r="AD63" s="3">
        <v>1</v>
      </c>
      <c r="AE63" s="3">
        <v>16</v>
      </c>
      <c r="AF63" s="5">
        <v>0.82</v>
      </c>
      <c r="AG63" s="5">
        <v>0.87</v>
      </c>
      <c r="AH63" s="26">
        <f t="shared" ref="AH63" si="3">MAX(AF63:AG67)</f>
        <v>0.89</v>
      </c>
      <c r="AJ63" s="3">
        <v>21</v>
      </c>
      <c r="AK63" s="3" t="s">
        <v>8</v>
      </c>
      <c r="AL63" s="65" t="s">
        <v>10</v>
      </c>
      <c r="AM63" s="65" t="s">
        <v>10</v>
      </c>
      <c r="AN63" s="65" t="s">
        <v>10</v>
      </c>
      <c r="AO63" s="65" t="s">
        <v>10</v>
      </c>
      <c r="AP63" s="3">
        <v>1</v>
      </c>
      <c r="AQ63" s="3">
        <v>16</v>
      </c>
      <c r="AR63" s="5">
        <v>0.87</v>
      </c>
      <c r="AS63" s="5">
        <v>0.89</v>
      </c>
      <c r="AT63" s="26">
        <f>MAX(AR63:AS67)</f>
        <v>0.9</v>
      </c>
    </row>
    <row r="64" spans="2:46" x14ac:dyDescent="0.25">
      <c r="B64" s="3">
        <v>22</v>
      </c>
      <c r="C64" s="3" t="s">
        <v>9</v>
      </c>
      <c r="D64" s="65" t="s">
        <v>10</v>
      </c>
      <c r="E64" s="65" t="s">
        <v>10</v>
      </c>
      <c r="F64" s="65" t="s">
        <v>10</v>
      </c>
      <c r="G64" s="65" t="s">
        <v>10</v>
      </c>
      <c r="H64" s="3">
        <v>2</v>
      </c>
      <c r="I64" s="5">
        <v>0.45</v>
      </c>
      <c r="J64" s="5">
        <v>0.35</v>
      </c>
      <c r="K64" s="26"/>
      <c r="M64" s="3">
        <v>22</v>
      </c>
      <c r="N64" s="3" t="s">
        <v>8</v>
      </c>
      <c r="O64" s="65" t="s">
        <v>10</v>
      </c>
      <c r="P64" s="65" t="s">
        <v>10</v>
      </c>
      <c r="Q64" s="65" t="s">
        <v>10</v>
      </c>
      <c r="R64" s="65" t="s">
        <v>10</v>
      </c>
      <c r="S64" s="3">
        <v>2</v>
      </c>
      <c r="T64" s="5">
        <v>0.65</v>
      </c>
      <c r="U64" s="5">
        <v>0.55000000000000004</v>
      </c>
      <c r="V64" s="26"/>
      <c r="X64" s="3">
        <v>22</v>
      </c>
      <c r="Y64" s="3" t="s">
        <v>9</v>
      </c>
      <c r="Z64" s="65" t="s">
        <v>10</v>
      </c>
      <c r="AA64" s="65" t="s">
        <v>10</v>
      </c>
      <c r="AB64" s="65" t="s">
        <v>10</v>
      </c>
      <c r="AC64" s="65" t="s">
        <v>10</v>
      </c>
      <c r="AD64" s="3">
        <v>2</v>
      </c>
      <c r="AE64" s="3">
        <v>16</v>
      </c>
      <c r="AF64" s="5">
        <v>0.83</v>
      </c>
      <c r="AG64" s="5">
        <v>0.89</v>
      </c>
      <c r="AH64" s="26"/>
      <c r="AJ64" s="3">
        <v>22</v>
      </c>
      <c r="AK64" s="3" t="s">
        <v>8</v>
      </c>
      <c r="AL64" s="65" t="s">
        <v>10</v>
      </c>
      <c r="AM64" s="65" t="s">
        <v>10</v>
      </c>
      <c r="AN64" s="65" t="s">
        <v>10</v>
      </c>
      <c r="AO64" s="65" t="s">
        <v>10</v>
      </c>
      <c r="AP64" s="3">
        <v>2</v>
      </c>
      <c r="AQ64" s="3">
        <v>16</v>
      </c>
      <c r="AR64" s="5">
        <v>0.87</v>
      </c>
      <c r="AS64" s="5">
        <v>0.89</v>
      </c>
      <c r="AT64" s="26"/>
    </row>
    <row r="65" spans="2:46" x14ac:dyDescent="0.25">
      <c r="B65" s="3">
        <v>23</v>
      </c>
      <c r="C65" s="3" t="s">
        <v>9</v>
      </c>
      <c r="D65" s="65" t="s">
        <v>10</v>
      </c>
      <c r="E65" s="65" t="s">
        <v>10</v>
      </c>
      <c r="F65" s="65" t="s">
        <v>10</v>
      </c>
      <c r="G65" s="65" t="s">
        <v>10</v>
      </c>
      <c r="H65" s="3">
        <v>3</v>
      </c>
      <c r="I65" s="5">
        <v>0.4</v>
      </c>
      <c r="J65" s="5">
        <v>0.35</v>
      </c>
      <c r="K65" s="26"/>
      <c r="M65" s="3">
        <v>23</v>
      </c>
      <c r="N65" s="3" t="s">
        <v>8</v>
      </c>
      <c r="O65" s="65" t="s">
        <v>10</v>
      </c>
      <c r="P65" s="65" t="s">
        <v>10</v>
      </c>
      <c r="Q65" s="65" t="s">
        <v>10</v>
      </c>
      <c r="R65" s="65" t="s">
        <v>10</v>
      </c>
      <c r="S65" s="3">
        <v>3</v>
      </c>
      <c r="T65" s="5">
        <v>0.55000000000000004</v>
      </c>
      <c r="U65" s="5">
        <v>0.5</v>
      </c>
      <c r="V65" s="26"/>
      <c r="X65" s="3">
        <v>23</v>
      </c>
      <c r="Y65" s="3" t="s">
        <v>9</v>
      </c>
      <c r="Z65" s="65" t="s">
        <v>10</v>
      </c>
      <c r="AA65" s="65" t="s">
        <v>10</v>
      </c>
      <c r="AB65" s="65" t="s">
        <v>10</v>
      </c>
      <c r="AC65" s="65" t="s">
        <v>10</v>
      </c>
      <c r="AD65" s="3">
        <v>3</v>
      </c>
      <c r="AE65" s="3">
        <v>16</v>
      </c>
      <c r="AF65" s="5">
        <v>0.84</v>
      </c>
      <c r="AG65" s="5">
        <v>0.89</v>
      </c>
      <c r="AH65" s="26"/>
      <c r="AJ65" s="3">
        <v>23</v>
      </c>
      <c r="AK65" s="3" t="s">
        <v>8</v>
      </c>
      <c r="AL65" s="65" t="s">
        <v>10</v>
      </c>
      <c r="AM65" s="65" t="s">
        <v>10</v>
      </c>
      <c r="AN65" s="65" t="s">
        <v>10</v>
      </c>
      <c r="AO65" s="65" t="s">
        <v>10</v>
      </c>
      <c r="AP65" s="3">
        <v>3</v>
      </c>
      <c r="AQ65" s="3">
        <v>16</v>
      </c>
      <c r="AR65" s="5">
        <v>0.87</v>
      </c>
      <c r="AS65" s="5">
        <v>0.9</v>
      </c>
      <c r="AT65" s="26"/>
    </row>
    <row r="66" spans="2:46" x14ac:dyDescent="0.25">
      <c r="B66" s="3">
        <v>24</v>
      </c>
      <c r="C66" s="3" t="s">
        <v>9</v>
      </c>
      <c r="D66" s="65" t="s">
        <v>10</v>
      </c>
      <c r="E66" s="65" t="s">
        <v>10</v>
      </c>
      <c r="F66" s="65" t="s">
        <v>10</v>
      </c>
      <c r="G66" s="65" t="s">
        <v>10</v>
      </c>
      <c r="H66" s="3">
        <v>4</v>
      </c>
      <c r="I66" s="5">
        <v>0.4</v>
      </c>
      <c r="J66" s="5">
        <v>0.35</v>
      </c>
      <c r="K66" s="26"/>
      <c r="M66" s="3">
        <v>24</v>
      </c>
      <c r="N66" s="3" t="s">
        <v>8</v>
      </c>
      <c r="O66" s="65" t="s">
        <v>10</v>
      </c>
      <c r="P66" s="65" t="s">
        <v>10</v>
      </c>
      <c r="Q66" s="65" t="s">
        <v>10</v>
      </c>
      <c r="R66" s="65" t="s">
        <v>10</v>
      </c>
      <c r="S66" s="3">
        <v>4</v>
      </c>
      <c r="T66" s="5">
        <v>0.6</v>
      </c>
      <c r="U66" s="5">
        <v>0.55000000000000004</v>
      </c>
      <c r="V66" s="26"/>
      <c r="X66" s="3">
        <v>24</v>
      </c>
      <c r="Y66" s="3" t="s">
        <v>9</v>
      </c>
      <c r="Z66" s="65" t="s">
        <v>10</v>
      </c>
      <c r="AA66" s="65" t="s">
        <v>10</v>
      </c>
      <c r="AB66" s="65" t="s">
        <v>10</v>
      </c>
      <c r="AC66" s="65" t="s">
        <v>10</v>
      </c>
      <c r="AD66" s="3">
        <v>4</v>
      </c>
      <c r="AE66" s="3">
        <v>16</v>
      </c>
      <c r="AF66" s="5">
        <v>0.84</v>
      </c>
      <c r="AG66" s="5">
        <v>0.89</v>
      </c>
      <c r="AH66" s="26"/>
      <c r="AJ66" s="3">
        <v>24</v>
      </c>
      <c r="AK66" s="3" t="s">
        <v>8</v>
      </c>
      <c r="AL66" s="65" t="s">
        <v>10</v>
      </c>
      <c r="AM66" s="65" t="s">
        <v>10</v>
      </c>
      <c r="AN66" s="65" t="s">
        <v>10</v>
      </c>
      <c r="AO66" s="65" t="s">
        <v>10</v>
      </c>
      <c r="AP66" s="3">
        <v>4</v>
      </c>
      <c r="AQ66" s="3">
        <v>16</v>
      </c>
      <c r="AR66" s="5">
        <v>0.84</v>
      </c>
      <c r="AS66" s="5">
        <v>0.9</v>
      </c>
      <c r="AT66" s="26"/>
    </row>
    <row r="67" spans="2:46" x14ac:dyDescent="0.25">
      <c r="B67" s="3">
        <v>25</v>
      </c>
      <c r="C67" s="3" t="s">
        <v>9</v>
      </c>
      <c r="D67" s="65" t="s">
        <v>10</v>
      </c>
      <c r="E67" s="65" t="s">
        <v>10</v>
      </c>
      <c r="F67" s="65" t="s">
        <v>10</v>
      </c>
      <c r="G67" s="65" t="s">
        <v>10</v>
      </c>
      <c r="H67" s="3">
        <v>5</v>
      </c>
      <c r="I67" s="5">
        <v>0.4</v>
      </c>
      <c r="J67" s="5">
        <v>0.3</v>
      </c>
      <c r="K67" s="26"/>
      <c r="M67" s="3">
        <v>25</v>
      </c>
      <c r="N67" s="3" t="s">
        <v>8</v>
      </c>
      <c r="O67" s="65" t="s">
        <v>10</v>
      </c>
      <c r="P67" s="65" t="s">
        <v>10</v>
      </c>
      <c r="Q67" s="65" t="s">
        <v>10</v>
      </c>
      <c r="R67" s="65" t="s">
        <v>10</v>
      </c>
      <c r="S67" s="3">
        <v>5</v>
      </c>
      <c r="T67" s="5">
        <v>0.5</v>
      </c>
      <c r="U67" s="5">
        <v>0.55000000000000004</v>
      </c>
      <c r="V67" s="26"/>
      <c r="X67" s="3">
        <v>25</v>
      </c>
      <c r="Y67" s="3" t="s">
        <v>9</v>
      </c>
      <c r="Z67" s="65" t="s">
        <v>10</v>
      </c>
      <c r="AA67" s="65" t="s">
        <v>10</v>
      </c>
      <c r="AB67" s="65" t="s">
        <v>10</v>
      </c>
      <c r="AC67" s="65" t="s">
        <v>10</v>
      </c>
      <c r="AD67" s="3">
        <v>5</v>
      </c>
      <c r="AE67" s="3">
        <v>16</v>
      </c>
      <c r="AF67" s="5">
        <v>0.84</v>
      </c>
      <c r="AG67" s="5">
        <v>0.89</v>
      </c>
      <c r="AH67" s="26"/>
      <c r="AJ67" s="3">
        <v>25</v>
      </c>
      <c r="AK67" s="3" t="s">
        <v>8</v>
      </c>
      <c r="AL67" s="65" t="s">
        <v>10</v>
      </c>
      <c r="AM67" s="65" t="s">
        <v>10</v>
      </c>
      <c r="AN67" s="65" t="s">
        <v>10</v>
      </c>
      <c r="AO67" s="65" t="s">
        <v>10</v>
      </c>
      <c r="AP67" s="3">
        <v>5</v>
      </c>
      <c r="AQ67" s="3">
        <v>16</v>
      </c>
      <c r="AR67" s="5">
        <v>0.84</v>
      </c>
      <c r="AS67" s="5">
        <v>0.9</v>
      </c>
      <c r="AT67" s="26"/>
    </row>
    <row r="71" spans="2:46" ht="20.45" customHeight="1" x14ac:dyDescent="0.25">
      <c r="B71" s="27" t="s">
        <v>28</v>
      </c>
      <c r="C71" s="27"/>
      <c r="D71" s="27"/>
      <c r="E71" s="27"/>
      <c r="F71" s="27"/>
      <c r="G71" s="27"/>
      <c r="H71" s="27"/>
      <c r="I71" s="27"/>
      <c r="J71" s="27"/>
      <c r="K71" s="27"/>
      <c r="M71" s="42" t="s">
        <v>28</v>
      </c>
      <c r="N71" s="43"/>
      <c r="O71" s="43"/>
      <c r="P71" s="43"/>
      <c r="Q71" s="43"/>
      <c r="R71" s="43"/>
      <c r="S71" s="43"/>
      <c r="T71" s="43"/>
      <c r="U71" s="43"/>
      <c r="V71" s="44"/>
    </row>
    <row r="72" spans="2:46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M72" s="45"/>
      <c r="N72" s="46"/>
      <c r="O72" s="46"/>
      <c r="P72" s="46"/>
      <c r="Q72" s="46"/>
      <c r="R72" s="46"/>
      <c r="S72" s="46"/>
      <c r="T72" s="46"/>
      <c r="U72" s="46"/>
      <c r="V72" s="47"/>
    </row>
    <row r="73" spans="2:46" x14ac:dyDescent="0.25">
      <c r="B73" s="31" t="s">
        <v>5</v>
      </c>
      <c r="C73" s="31" t="s">
        <v>7</v>
      </c>
      <c r="D73" s="68" t="s">
        <v>6</v>
      </c>
      <c r="E73" s="69"/>
      <c r="F73" s="69"/>
      <c r="G73" s="69"/>
      <c r="H73" s="70"/>
      <c r="I73" s="40" t="s">
        <v>15</v>
      </c>
      <c r="J73" s="40" t="s">
        <v>16</v>
      </c>
      <c r="K73" s="31" t="s">
        <v>13</v>
      </c>
      <c r="M73" s="31" t="s">
        <v>17</v>
      </c>
      <c r="N73" s="31" t="s">
        <v>7</v>
      </c>
      <c r="O73" s="68" t="s">
        <v>6</v>
      </c>
      <c r="P73" s="69"/>
      <c r="Q73" s="69"/>
      <c r="R73" s="69"/>
      <c r="S73" s="70"/>
      <c r="T73" s="40" t="s">
        <v>15</v>
      </c>
      <c r="U73" s="40" t="s">
        <v>16</v>
      </c>
      <c r="V73" s="31" t="s">
        <v>13</v>
      </c>
    </row>
    <row r="74" spans="2:46" x14ac:dyDescent="0.25">
      <c r="B74" s="31"/>
      <c r="C74" s="31"/>
      <c r="D74" s="2" t="s">
        <v>0</v>
      </c>
      <c r="E74" s="2" t="s">
        <v>1</v>
      </c>
      <c r="F74" s="2" t="s">
        <v>2</v>
      </c>
      <c r="G74" s="2" t="s">
        <v>3</v>
      </c>
      <c r="H74" s="2" t="s">
        <v>4</v>
      </c>
      <c r="I74" s="40"/>
      <c r="J74" s="40"/>
      <c r="K74" s="31"/>
      <c r="M74" s="31"/>
      <c r="N74" s="31"/>
      <c r="O74" s="2" t="s">
        <v>0</v>
      </c>
      <c r="P74" s="2" t="s">
        <v>1</v>
      </c>
      <c r="Q74" s="2" t="s">
        <v>2</v>
      </c>
      <c r="R74" s="2" t="s">
        <v>3</v>
      </c>
      <c r="S74" s="2" t="s">
        <v>4</v>
      </c>
      <c r="T74" s="41"/>
      <c r="U74" s="41"/>
      <c r="V74" s="31"/>
    </row>
    <row r="75" spans="2:46" x14ac:dyDescent="0.25">
      <c r="B75" s="3">
        <v>1</v>
      </c>
      <c r="C75" s="3" t="s">
        <v>9</v>
      </c>
      <c r="D75" s="60" t="s">
        <v>10</v>
      </c>
      <c r="E75" s="60" t="s">
        <v>10</v>
      </c>
      <c r="F75" s="60" t="s">
        <v>10</v>
      </c>
      <c r="G75" s="60"/>
      <c r="H75" s="3">
        <v>1</v>
      </c>
      <c r="I75" s="7">
        <v>0.74</v>
      </c>
      <c r="J75" s="7">
        <v>0.83</v>
      </c>
      <c r="K75" s="32">
        <f>MAX(I75:J79)</f>
        <v>0.83</v>
      </c>
      <c r="M75" s="3">
        <v>1</v>
      </c>
      <c r="N75" s="3" t="s">
        <v>8</v>
      </c>
      <c r="O75" s="60" t="s">
        <v>10</v>
      </c>
      <c r="P75" s="60" t="s">
        <v>10</v>
      </c>
      <c r="Q75" s="60" t="s">
        <v>10</v>
      </c>
      <c r="R75" s="60"/>
      <c r="S75" s="3">
        <v>1</v>
      </c>
      <c r="T75" s="7">
        <v>0.52</v>
      </c>
      <c r="U75" s="7">
        <v>0.62</v>
      </c>
      <c r="V75" s="32">
        <f>MAX(T75:U79)</f>
        <v>0.73</v>
      </c>
    </row>
    <row r="76" spans="2:46" x14ac:dyDescent="0.25">
      <c r="B76" s="3">
        <v>2</v>
      </c>
      <c r="C76" s="3" t="s">
        <v>9</v>
      </c>
      <c r="D76" s="60" t="s">
        <v>10</v>
      </c>
      <c r="E76" s="60" t="s">
        <v>10</v>
      </c>
      <c r="F76" s="60" t="s">
        <v>10</v>
      </c>
      <c r="G76" s="60"/>
      <c r="H76" s="3">
        <v>2</v>
      </c>
      <c r="I76" s="7">
        <v>0.78</v>
      </c>
      <c r="J76" s="7">
        <v>0.82</v>
      </c>
      <c r="K76" s="32"/>
      <c r="M76" s="3">
        <v>2</v>
      </c>
      <c r="N76" s="3" t="s">
        <v>8</v>
      </c>
      <c r="O76" s="60" t="s">
        <v>10</v>
      </c>
      <c r="P76" s="60" t="s">
        <v>10</v>
      </c>
      <c r="Q76" s="60" t="s">
        <v>10</v>
      </c>
      <c r="R76" s="60"/>
      <c r="S76" s="3">
        <v>2</v>
      </c>
      <c r="T76" s="7">
        <v>0.52</v>
      </c>
      <c r="U76" s="7">
        <v>0.63</v>
      </c>
      <c r="V76" s="32"/>
    </row>
    <row r="77" spans="2:46" x14ac:dyDescent="0.25">
      <c r="B77" s="3">
        <v>3</v>
      </c>
      <c r="C77" s="3" t="s">
        <v>9</v>
      </c>
      <c r="D77" s="60" t="s">
        <v>10</v>
      </c>
      <c r="E77" s="60" t="s">
        <v>10</v>
      </c>
      <c r="F77" s="60" t="s">
        <v>10</v>
      </c>
      <c r="G77" s="60"/>
      <c r="H77" s="3">
        <v>3</v>
      </c>
      <c r="I77" s="7">
        <v>0.76</v>
      </c>
      <c r="J77" s="7">
        <v>0.8</v>
      </c>
      <c r="K77" s="32"/>
      <c r="M77" s="3">
        <v>3</v>
      </c>
      <c r="N77" s="3" t="s">
        <v>8</v>
      </c>
      <c r="O77" s="60" t="s">
        <v>10</v>
      </c>
      <c r="P77" s="60" t="s">
        <v>10</v>
      </c>
      <c r="Q77" s="60" t="s">
        <v>10</v>
      </c>
      <c r="R77" s="60"/>
      <c r="S77" s="3">
        <v>3</v>
      </c>
      <c r="T77" s="7">
        <v>0.51</v>
      </c>
      <c r="U77" s="7">
        <v>0.64</v>
      </c>
      <c r="V77" s="32"/>
    </row>
    <row r="78" spans="2:46" x14ac:dyDescent="0.25">
      <c r="B78" s="3">
        <v>4</v>
      </c>
      <c r="C78" s="3" t="s">
        <v>9</v>
      </c>
      <c r="D78" s="60" t="s">
        <v>10</v>
      </c>
      <c r="E78" s="60" t="s">
        <v>10</v>
      </c>
      <c r="F78" s="60" t="s">
        <v>10</v>
      </c>
      <c r="G78" s="60"/>
      <c r="H78" s="3">
        <v>4</v>
      </c>
      <c r="I78" s="7">
        <v>0.75</v>
      </c>
      <c r="J78" s="7">
        <v>0.78</v>
      </c>
      <c r="K78" s="32"/>
      <c r="M78" s="3">
        <v>4</v>
      </c>
      <c r="N78" s="3" t="s">
        <v>8</v>
      </c>
      <c r="O78" s="60" t="s">
        <v>10</v>
      </c>
      <c r="P78" s="60" t="s">
        <v>10</v>
      </c>
      <c r="Q78" s="60" t="s">
        <v>10</v>
      </c>
      <c r="R78" s="60"/>
      <c r="S78" s="3">
        <v>4</v>
      </c>
      <c r="T78" s="7">
        <v>0.59</v>
      </c>
      <c r="U78" s="7">
        <v>0.73</v>
      </c>
      <c r="V78" s="32"/>
    </row>
    <row r="79" spans="2:46" x14ac:dyDescent="0.25">
      <c r="B79" s="3">
        <v>5</v>
      </c>
      <c r="C79" s="3" t="s">
        <v>9</v>
      </c>
      <c r="D79" s="60" t="s">
        <v>10</v>
      </c>
      <c r="E79" s="60" t="s">
        <v>10</v>
      </c>
      <c r="F79" s="60" t="s">
        <v>10</v>
      </c>
      <c r="G79" s="60"/>
      <c r="H79" s="3">
        <v>5</v>
      </c>
      <c r="I79" s="7">
        <v>0.73</v>
      </c>
      <c r="J79" s="7">
        <v>0.78</v>
      </c>
      <c r="K79" s="32"/>
      <c r="M79" s="3">
        <v>5</v>
      </c>
      <c r="N79" s="3" t="s">
        <v>8</v>
      </c>
      <c r="O79" s="60" t="s">
        <v>10</v>
      </c>
      <c r="P79" s="60" t="s">
        <v>10</v>
      </c>
      <c r="Q79" s="60" t="s">
        <v>10</v>
      </c>
      <c r="R79" s="60"/>
      <c r="S79" s="3">
        <v>5</v>
      </c>
      <c r="T79" s="7">
        <v>0.66</v>
      </c>
      <c r="U79" s="7">
        <v>0.71</v>
      </c>
      <c r="V79" s="32"/>
    </row>
    <row r="80" spans="2:46" x14ac:dyDescent="0.25">
      <c r="B80" s="3">
        <v>6</v>
      </c>
      <c r="C80" s="3" t="s">
        <v>9</v>
      </c>
      <c r="D80" s="61" t="s">
        <v>10</v>
      </c>
      <c r="E80" s="61" t="s">
        <v>10</v>
      </c>
      <c r="F80" s="61"/>
      <c r="G80" s="61" t="s">
        <v>10</v>
      </c>
      <c r="H80" s="3">
        <v>1</v>
      </c>
      <c r="I80" s="9">
        <v>0.42</v>
      </c>
      <c r="J80" s="9">
        <v>0.35</v>
      </c>
      <c r="K80" s="28">
        <f t="shared" ref="K80" si="4">MAX(I80:J84)</f>
        <v>0.47</v>
      </c>
      <c r="M80" s="3">
        <v>6</v>
      </c>
      <c r="N80" s="3" t="s">
        <v>8</v>
      </c>
      <c r="O80" s="61" t="s">
        <v>10</v>
      </c>
      <c r="P80" s="61" t="s">
        <v>10</v>
      </c>
      <c r="Q80" s="61"/>
      <c r="R80" s="61" t="s">
        <v>10</v>
      </c>
      <c r="S80" s="3">
        <v>1</v>
      </c>
      <c r="T80" s="9">
        <v>0.56999999999999995</v>
      </c>
      <c r="U80" s="9">
        <v>0.59</v>
      </c>
      <c r="V80" s="28">
        <f>MAX(T80:U84)</f>
        <v>0.59</v>
      </c>
    </row>
    <row r="81" spans="2:22" x14ac:dyDescent="0.25">
      <c r="B81" s="3">
        <v>7</v>
      </c>
      <c r="C81" s="3" t="s">
        <v>9</v>
      </c>
      <c r="D81" s="61" t="s">
        <v>10</v>
      </c>
      <c r="E81" s="61" t="s">
        <v>10</v>
      </c>
      <c r="F81" s="61"/>
      <c r="G81" s="61" t="s">
        <v>10</v>
      </c>
      <c r="H81" s="3">
        <v>2</v>
      </c>
      <c r="I81" s="9">
        <v>0.46</v>
      </c>
      <c r="J81" s="9">
        <v>0.34</v>
      </c>
      <c r="K81" s="28"/>
      <c r="M81" s="3">
        <v>7</v>
      </c>
      <c r="N81" s="3" t="s">
        <v>8</v>
      </c>
      <c r="O81" s="61" t="s">
        <v>10</v>
      </c>
      <c r="P81" s="61" t="s">
        <v>10</v>
      </c>
      <c r="Q81" s="61"/>
      <c r="R81" s="61" t="s">
        <v>10</v>
      </c>
      <c r="S81" s="3">
        <v>2</v>
      </c>
      <c r="T81" s="9">
        <v>0.54</v>
      </c>
      <c r="U81" s="9">
        <v>0.5</v>
      </c>
      <c r="V81" s="28"/>
    </row>
    <row r="82" spans="2:22" x14ac:dyDescent="0.25">
      <c r="B82" s="3">
        <v>8</v>
      </c>
      <c r="C82" s="3" t="s">
        <v>9</v>
      </c>
      <c r="D82" s="61" t="s">
        <v>10</v>
      </c>
      <c r="E82" s="61" t="s">
        <v>10</v>
      </c>
      <c r="F82" s="61"/>
      <c r="G82" s="61" t="s">
        <v>10</v>
      </c>
      <c r="H82" s="3">
        <v>3</v>
      </c>
      <c r="I82" s="9">
        <v>0.47</v>
      </c>
      <c r="J82" s="9">
        <v>0.3</v>
      </c>
      <c r="K82" s="28"/>
      <c r="M82" s="3">
        <v>8</v>
      </c>
      <c r="N82" s="3" t="s">
        <v>8</v>
      </c>
      <c r="O82" s="61" t="s">
        <v>10</v>
      </c>
      <c r="P82" s="61" t="s">
        <v>10</v>
      </c>
      <c r="Q82" s="61"/>
      <c r="R82" s="61" t="s">
        <v>10</v>
      </c>
      <c r="S82" s="3">
        <v>3</v>
      </c>
      <c r="T82" s="9">
        <v>0.49</v>
      </c>
      <c r="U82" s="9">
        <v>0.48</v>
      </c>
      <c r="V82" s="28"/>
    </row>
    <row r="83" spans="2:22" x14ac:dyDescent="0.25">
      <c r="B83" s="3">
        <v>9</v>
      </c>
      <c r="C83" s="3" t="s">
        <v>9</v>
      </c>
      <c r="D83" s="61" t="s">
        <v>10</v>
      </c>
      <c r="E83" s="61" t="s">
        <v>10</v>
      </c>
      <c r="F83" s="61"/>
      <c r="G83" s="61" t="s">
        <v>10</v>
      </c>
      <c r="H83" s="3">
        <v>4</v>
      </c>
      <c r="I83" s="9">
        <v>0.44</v>
      </c>
      <c r="J83" s="9">
        <v>0.31</v>
      </c>
      <c r="K83" s="28"/>
      <c r="M83" s="3">
        <v>9</v>
      </c>
      <c r="N83" s="3" t="s">
        <v>8</v>
      </c>
      <c r="O83" s="61" t="s">
        <v>10</v>
      </c>
      <c r="P83" s="61" t="s">
        <v>10</v>
      </c>
      <c r="Q83" s="61"/>
      <c r="R83" s="61" t="s">
        <v>10</v>
      </c>
      <c r="S83" s="3">
        <v>4</v>
      </c>
      <c r="T83" s="9">
        <v>0.5</v>
      </c>
      <c r="U83" s="9">
        <v>0.46</v>
      </c>
      <c r="V83" s="28"/>
    </row>
    <row r="84" spans="2:22" x14ac:dyDescent="0.25">
      <c r="B84" s="3">
        <v>10</v>
      </c>
      <c r="C84" s="3" t="s">
        <v>9</v>
      </c>
      <c r="D84" s="61" t="s">
        <v>10</v>
      </c>
      <c r="E84" s="61" t="s">
        <v>10</v>
      </c>
      <c r="F84" s="61"/>
      <c r="G84" s="61" t="s">
        <v>10</v>
      </c>
      <c r="H84" s="3">
        <v>5</v>
      </c>
      <c r="I84" s="9">
        <v>0.42</v>
      </c>
      <c r="J84" s="9">
        <v>0.34</v>
      </c>
      <c r="K84" s="28"/>
      <c r="M84" s="3">
        <v>10</v>
      </c>
      <c r="N84" s="3" t="s">
        <v>8</v>
      </c>
      <c r="O84" s="61" t="s">
        <v>10</v>
      </c>
      <c r="P84" s="61" t="s">
        <v>10</v>
      </c>
      <c r="Q84" s="61"/>
      <c r="R84" s="61" t="s">
        <v>10</v>
      </c>
      <c r="S84" s="3">
        <v>5</v>
      </c>
      <c r="T84" s="9">
        <v>0.53</v>
      </c>
      <c r="U84" s="9">
        <v>0.5</v>
      </c>
      <c r="V84" s="28"/>
    </row>
    <row r="85" spans="2:22" x14ac:dyDescent="0.25">
      <c r="B85" s="3">
        <v>11</v>
      </c>
      <c r="C85" s="3" t="s">
        <v>9</v>
      </c>
      <c r="D85" s="62" t="s">
        <v>10</v>
      </c>
      <c r="E85" s="62"/>
      <c r="F85" s="62" t="s">
        <v>10</v>
      </c>
      <c r="G85" s="62" t="s">
        <v>10</v>
      </c>
      <c r="H85" s="3">
        <v>1</v>
      </c>
      <c r="I85" s="10">
        <v>0.38</v>
      </c>
      <c r="J85" s="10">
        <v>0.36</v>
      </c>
      <c r="K85" s="29">
        <f t="shared" ref="K85" si="5">MAX(I85:J89)</f>
        <v>0.45</v>
      </c>
      <c r="M85" s="3">
        <v>11</v>
      </c>
      <c r="N85" s="3" t="s">
        <v>8</v>
      </c>
      <c r="O85" s="62" t="s">
        <v>10</v>
      </c>
      <c r="P85" s="62"/>
      <c r="Q85" s="62" t="s">
        <v>10</v>
      </c>
      <c r="R85" s="62" t="s">
        <v>10</v>
      </c>
      <c r="S85" s="3">
        <v>1</v>
      </c>
      <c r="T85" s="10">
        <v>0.49</v>
      </c>
      <c r="U85" s="10">
        <v>0.48</v>
      </c>
      <c r="V85" s="29">
        <f>MAX(T85:U89)</f>
        <v>0.53</v>
      </c>
    </row>
    <row r="86" spans="2:22" x14ac:dyDescent="0.25">
      <c r="B86" s="3">
        <v>12</v>
      </c>
      <c r="C86" s="3" t="s">
        <v>9</v>
      </c>
      <c r="D86" s="62" t="s">
        <v>10</v>
      </c>
      <c r="E86" s="62"/>
      <c r="F86" s="62" t="s">
        <v>10</v>
      </c>
      <c r="G86" s="62" t="s">
        <v>10</v>
      </c>
      <c r="H86" s="3">
        <v>2</v>
      </c>
      <c r="I86" s="10">
        <v>0.45</v>
      </c>
      <c r="J86" s="10">
        <v>0.33</v>
      </c>
      <c r="K86" s="29"/>
      <c r="M86" s="3">
        <v>12</v>
      </c>
      <c r="N86" s="3" t="s">
        <v>8</v>
      </c>
      <c r="O86" s="62" t="s">
        <v>10</v>
      </c>
      <c r="P86" s="62"/>
      <c r="Q86" s="62" t="s">
        <v>10</v>
      </c>
      <c r="R86" s="62" t="s">
        <v>10</v>
      </c>
      <c r="S86" s="3">
        <v>2</v>
      </c>
      <c r="T86" s="10">
        <v>0.48</v>
      </c>
      <c r="U86" s="10">
        <v>0.35</v>
      </c>
      <c r="V86" s="29"/>
    </row>
    <row r="87" spans="2:22" x14ac:dyDescent="0.25">
      <c r="B87" s="3">
        <v>13</v>
      </c>
      <c r="C87" s="3" t="s">
        <v>9</v>
      </c>
      <c r="D87" s="62" t="s">
        <v>10</v>
      </c>
      <c r="E87" s="62"/>
      <c r="F87" s="62" t="s">
        <v>10</v>
      </c>
      <c r="G87" s="62" t="s">
        <v>10</v>
      </c>
      <c r="H87" s="3">
        <v>3</v>
      </c>
      <c r="I87" s="10">
        <v>0.44</v>
      </c>
      <c r="J87" s="10">
        <v>0.28000000000000003</v>
      </c>
      <c r="K87" s="29"/>
      <c r="M87" s="3">
        <v>13</v>
      </c>
      <c r="N87" s="3" t="s">
        <v>8</v>
      </c>
      <c r="O87" s="62" t="s">
        <v>10</v>
      </c>
      <c r="P87" s="62"/>
      <c r="Q87" s="62" t="s">
        <v>10</v>
      </c>
      <c r="R87" s="62" t="s">
        <v>10</v>
      </c>
      <c r="S87" s="3">
        <v>3</v>
      </c>
      <c r="T87" s="10">
        <v>0.46</v>
      </c>
      <c r="U87" s="10">
        <v>0.39</v>
      </c>
      <c r="V87" s="29"/>
    </row>
    <row r="88" spans="2:22" x14ac:dyDescent="0.25">
      <c r="B88" s="3">
        <v>14</v>
      </c>
      <c r="C88" s="3" t="s">
        <v>9</v>
      </c>
      <c r="D88" s="62" t="s">
        <v>10</v>
      </c>
      <c r="E88" s="62"/>
      <c r="F88" s="62" t="s">
        <v>10</v>
      </c>
      <c r="G88" s="62" t="s">
        <v>10</v>
      </c>
      <c r="H88" s="3">
        <v>4</v>
      </c>
      <c r="I88" s="10">
        <v>0.43</v>
      </c>
      <c r="J88" s="10">
        <v>0.27</v>
      </c>
      <c r="K88" s="29"/>
      <c r="M88" s="3">
        <v>14</v>
      </c>
      <c r="N88" s="3" t="s">
        <v>8</v>
      </c>
      <c r="O88" s="62" t="s">
        <v>10</v>
      </c>
      <c r="P88" s="62"/>
      <c r="Q88" s="62" t="s">
        <v>10</v>
      </c>
      <c r="R88" s="62" t="s">
        <v>10</v>
      </c>
      <c r="S88" s="3">
        <v>4</v>
      </c>
      <c r="T88" s="10">
        <v>0.45</v>
      </c>
      <c r="U88" s="10">
        <v>0.38</v>
      </c>
      <c r="V88" s="29"/>
    </row>
    <row r="89" spans="2:22" x14ac:dyDescent="0.25">
      <c r="B89" s="3">
        <v>15</v>
      </c>
      <c r="C89" s="3" t="s">
        <v>9</v>
      </c>
      <c r="D89" s="62" t="s">
        <v>10</v>
      </c>
      <c r="E89" s="62"/>
      <c r="F89" s="62" t="s">
        <v>10</v>
      </c>
      <c r="G89" s="62" t="s">
        <v>10</v>
      </c>
      <c r="H89" s="3">
        <v>5</v>
      </c>
      <c r="I89" s="10">
        <v>0.38</v>
      </c>
      <c r="J89" s="10">
        <v>0.28999999999999998</v>
      </c>
      <c r="K89" s="29"/>
      <c r="M89" s="3">
        <v>15</v>
      </c>
      <c r="N89" s="3" t="s">
        <v>8</v>
      </c>
      <c r="O89" s="62" t="s">
        <v>10</v>
      </c>
      <c r="P89" s="62"/>
      <c r="Q89" s="62" t="s">
        <v>10</v>
      </c>
      <c r="R89" s="62" t="s">
        <v>10</v>
      </c>
      <c r="S89" s="3">
        <v>5</v>
      </c>
      <c r="T89" s="10">
        <v>0.53</v>
      </c>
      <c r="U89" s="10">
        <v>0.51</v>
      </c>
      <c r="V89" s="29"/>
    </row>
    <row r="90" spans="2:22" x14ac:dyDescent="0.25">
      <c r="B90" s="3">
        <v>16</v>
      </c>
      <c r="C90" s="3" t="s">
        <v>9</v>
      </c>
      <c r="D90" s="64"/>
      <c r="E90" s="64" t="s">
        <v>10</v>
      </c>
      <c r="F90" s="64" t="s">
        <v>10</v>
      </c>
      <c r="G90" s="64" t="s">
        <v>10</v>
      </c>
      <c r="H90" s="3">
        <v>1</v>
      </c>
      <c r="I90" s="11">
        <v>0.34</v>
      </c>
      <c r="J90" s="11">
        <v>0.33</v>
      </c>
      <c r="K90" s="30">
        <f t="shared" ref="K90" si="6">MAX(I90:J94)</f>
        <v>0.4</v>
      </c>
      <c r="M90" s="3">
        <v>16</v>
      </c>
      <c r="N90" s="3" t="s">
        <v>8</v>
      </c>
      <c r="O90" s="64"/>
      <c r="P90" s="64" t="s">
        <v>10</v>
      </c>
      <c r="Q90" s="64" t="s">
        <v>10</v>
      </c>
      <c r="R90" s="64" t="s">
        <v>10</v>
      </c>
      <c r="S90" s="3">
        <v>1</v>
      </c>
      <c r="T90" s="11">
        <v>0.41</v>
      </c>
      <c r="U90" s="11">
        <v>0.61</v>
      </c>
      <c r="V90" s="30">
        <f>MAX(T90:U94)</f>
        <v>0.61</v>
      </c>
    </row>
    <row r="91" spans="2:22" x14ac:dyDescent="0.25">
      <c r="B91" s="3">
        <v>17</v>
      </c>
      <c r="C91" s="3" t="s">
        <v>9</v>
      </c>
      <c r="D91" s="64"/>
      <c r="E91" s="64" t="s">
        <v>10</v>
      </c>
      <c r="F91" s="64" t="s">
        <v>10</v>
      </c>
      <c r="G91" s="64" t="s">
        <v>10</v>
      </c>
      <c r="H91" s="3">
        <v>2</v>
      </c>
      <c r="I91" s="11">
        <v>0.38</v>
      </c>
      <c r="J91" s="11">
        <v>0.28000000000000003</v>
      </c>
      <c r="K91" s="30"/>
      <c r="M91" s="3">
        <v>17</v>
      </c>
      <c r="N91" s="3" t="s">
        <v>8</v>
      </c>
      <c r="O91" s="64"/>
      <c r="P91" s="64" t="s">
        <v>10</v>
      </c>
      <c r="Q91" s="64" t="s">
        <v>10</v>
      </c>
      <c r="R91" s="64" t="s">
        <v>10</v>
      </c>
      <c r="S91" s="3">
        <v>2</v>
      </c>
      <c r="T91" s="11">
        <v>0.4</v>
      </c>
      <c r="U91" s="11">
        <v>0.38</v>
      </c>
      <c r="V91" s="30"/>
    </row>
    <row r="92" spans="2:22" x14ac:dyDescent="0.25">
      <c r="B92" s="3">
        <v>18</v>
      </c>
      <c r="C92" s="3" t="s">
        <v>9</v>
      </c>
      <c r="D92" s="64"/>
      <c r="E92" s="64" t="s">
        <v>10</v>
      </c>
      <c r="F92" s="64" t="s">
        <v>10</v>
      </c>
      <c r="G92" s="64" t="s">
        <v>10</v>
      </c>
      <c r="H92" s="3">
        <v>3</v>
      </c>
      <c r="I92" s="11">
        <v>0.39</v>
      </c>
      <c r="J92" s="11">
        <v>0.27</v>
      </c>
      <c r="K92" s="30"/>
      <c r="M92" s="3">
        <v>18</v>
      </c>
      <c r="N92" s="3" t="s">
        <v>8</v>
      </c>
      <c r="O92" s="64"/>
      <c r="P92" s="64" t="s">
        <v>10</v>
      </c>
      <c r="Q92" s="64" t="s">
        <v>10</v>
      </c>
      <c r="R92" s="64" t="s">
        <v>10</v>
      </c>
      <c r="S92" s="3">
        <v>3</v>
      </c>
      <c r="T92" s="11">
        <v>0.36</v>
      </c>
      <c r="U92" s="11">
        <v>0.33</v>
      </c>
      <c r="V92" s="30"/>
    </row>
    <row r="93" spans="2:22" x14ac:dyDescent="0.25">
      <c r="B93" s="3">
        <v>19</v>
      </c>
      <c r="C93" s="3" t="s">
        <v>9</v>
      </c>
      <c r="D93" s="64"/>
      <c r="E93" s="64" t="s">
        <v>10</v>
      </c>
      <c r="F93" s="64" t="s">
        <v>10</v>
      </c>
      <c r="G93" s="64" t="s">
        <v>10</v>
      </c>
      <c r="H93" s="3">
        <v>4</v>
      </c>
      <c r="I93" s="11">
        <v>0.4</v>
      </c>
      <c r="J93" s="11">
        <v>0.26</v>
      </c>
      <c r="K93" s="30"/>
      <c r="M93" s="3">
        <v>19</v>
      </c>
      <c r="N93" s="3" t="s">
        <v>8</v>
      </c>
      <c r="O93" s="64"/>
      <c r="P93" s="64" t="s">
        <v>10</v>
      </c>
      <c r="Q93" s="64" t="s">
        <v>10</v>
      </c>
      <c r="R93" s="64" t="s">
        <v>10</v>
      </c>
      <c r="S93" s="3">
        <v>4</v>
      </c>
      <c r="T93" s="11">
        <v>0.39</v>
      </c>
      <c r="U93" s="11">
        <v>0.38</v>
      </c>
      <c r="V93" s="30"/>
    </row>
    <row r="94" spans="2:22" x14ac:dyDescent="0.25">
      <c r="B94" s="3">
        <v>20</v>
      </c>
      <c r="C94" s="3" t="s">
        <v>9</v>
      </c>
      <c r="D94" s="64"/>
      <c r="E94" s="64" t="s">
        <v>10</v>
      </c>
      <c r="F94" s="64" t="s">
        <v>10</v>
      </c>
      <c r="G94" s="64" t="s">
        <v>10</v>
      </c>
      <c r="H94" s="3">
        <v>5</v>
      </c>
      <c r="I94" s="11">
        <v>0.4</v>
      </c>
      <c r="J94" s="11">
        <v>0.26</v>
      </c>
      <c r="K94" s="30"/>
      <c r="M94" s="3">
        <v>20</v>
      </c>
      <c r="N94" s="3" t="s">
        <v>8</v>
      </c>
      <c r="O94" s="64"/>
      <c r="P94" s="64" t="s">
        <v>10</v>
      </c>
      <c r="Q94" s="64" t="s">
        <v>10</v>
      </c>
      <c r="R94" s="64" t="s">
        <v>10</v>
      </c>
      <c r="S94" s="3">
        <v>5</v>
      </c>
      <c r="T94" s="11">
        <v>0.36</v>
      </c>
      <c r="U94" s="11">
        <v>0.38</v>
      </c>
      <c r="V94" s="30"/>
    </row>
    <row r="95" spans="2:22" x14ac:dyDescent="0.25">
      <c r="B95" s="3">
        <v>21</v>
      </c>
      <c r="C95" s="3" t="s">
        <v>9</v>
      </c>
      <c r="D95" s="65" t="s">
        <v>10</v>
      </c>
      <c r="E95" s="65" t="s">
        <v>10</v>
      </c>
      <c r="F95" s="65" t="s">
        <v>10</v>
      </c>
      <c r="G95" s="65" t="s">
        <v>10</v>
      </c>
      <c r="H95" s="3">
        <v>1</v>
      </c>
      <c r="I95" s="5">
        <v>0.33</v>
      </c>
      <c r="J95" s="5">
        <v>0.35</v>
      </c>
      <c r="K95" s="26">
        <f t="shared" ref="K95" si="7">MAX(I95:J99)</f>
        <v>0.42</v>
      </c>
      <c r="M95" s="3">
        <v>21</v>
      </c>
      <c r="N95" s="3" t="s">
        <v>8</v>
      </c>
      <c r="O95" s="65" t="s">
        <v>10</v>
      </c>
      <c r="P95" s="65" t="s">
        <v>10</v>
      </c>
      <c r="Q95" s="65" t="s">
        <v>10</v>
      </c>
      <c r="R95" s="65" t="s">
        <v>10</v>
      </c>
      <c r="S95" s="3">
        <v>1</v>
      </c>
      <c r="T95" s="5">
        <v>0.51</v>
      </c>
      <c r="U95" s="5">
        <v>0.56000000000000005</v>
      </c>
      <c r="V95" s="26">
        <f>MAX(T95:U99)</f>
        <v>0.56000000000000005</v>
      </c>
    </row>
    <row r="96" spans="2:22" x14ac:dyDescent="0.25">
      <c r="B96" s="3">
        <v>22</v>
      </c>
      <c r="C96" s="3" t="s">
        <v>9</v>
      </c>
      <c r="D96" s="65" t="s">
        <v>10</v>
      </c>
      <c r="E96" s="65" t="s">
        <v>10</v>
      </c>
      <c r="F96" s="65" t="s">
        <v>10</v>
      </c>
      <c r="G96" s="65" t="s">
        <v>10</v>
      </c>
      <c r="H96" s="3">
        <v>2</v>
      </c>
      <c r="I96" s="5">
        <v>0.39</v>
      </c>
      <c r="J96" s="5">
        <v>0.33</v>
      </c>
      <c r="K96" s="26"/>
      <c r="M96" s="3">
        <v>22</v>
      </c>
      <c r="N96" s="3" t="s">
        <v>8</v>
      </c>
      <c r="O96" s="65" t="s">
        <v>10</v>
      </c>
      <c r="P96" s="65" t="s">
        <v>10</v>
      </c>
      <c r="Q96" s="65" t="s">
        <v>10</v>
      </c>
      <c r="R96" s="65" t="s">
        <v>10</v>
      </c>
      <c r="S96" s="3">
        <v>2</v>
      </c>
      <c r="T96" s="5">
        <v>0.46</v>
      </c>
      <c r="U96" s="5">
        <v>0.51</v>
      </c>
      <c r="V96" s="26"/>
    </row>
    <row r="97" spans="2:22" x14ac:dyDescent="0.25">
      <c r="B97" s="3">
        <v>23</v>
      </c>
      <c r="C97" s="3" t="s">
        <v>9</v>
      </c>
      <c r="D97" s="65" t="s">
        <v>10</v>
      </c>
      <c r="E97" s="65" t="s">
        <v>10</v>
      </c>
      <c r="F97" s="65" t="s">
        <v>10</v>
      </c>
      <c r="G97" s="65" t="s">
        <v>10</v>
      </c>
      <c r="H97" s="3">
        <v>3</v>
      </c>
      <c r="I97" s="5">
        <v>0.39</v>
      </c>
      <c r="J97" s="5">
        <v>0.28000000000000003</v>
      </c>
      <c r="K97" s="26"/>
      <c r="M97" s="3">
        <v>23</v>
      </c>
      <c r="N97" s="3" t="s">
        <v>8</v>
      </c>
      <c r="O97" s="65" t="s">
        <v>10</v>
      </c>
      <c r="P97" s="65" t="s">
        <v>10</v>
      </c>
      <c r="Q97" s="65" t="s">
        <v>10</v>
      </c>
      <c r="R97" s="65" t="s">
        <v>10</v>
      </c>
      <c r="S97" s="3">
        <v>3</v>
      </c>
      <c r="T97" s="5">
        <v>0.46</v>
      </c>
      <c r="U97" s="5">
        <v>0.39</v>
      </c>
      <c r="V97" s="26"/>
    </row>
    <row r="98" spans="2:22" x14ac:dyDescent="0.25">
      <c r="B98" s="3">
        <v>24</v>
      </c>
      <c r="C98" s="3" t="s">
        <v>9</v>
      </c>
      <c r="D98" s="65" t="s">
        <v>10</v>
      </c>
      <c r="E98" s="65" t="s">
        <v>10</v>
      </c>
      <c r="F98" s="65" t="s">
        <v>10</v>
      </c>
      <c r="G98" s="65" t="s">
        <v>10</v>
      </c>
      <c r="H98" s="3">
        <v>4</v>
      </c>
      <c r="I98" s="5">
        <v>0.42</v>
      </c>
      <c r="J98" s="5">
        <v>0.27</v>
      </c>
      <c r="K98" s="26"/>
      <c r="M98" s="3">
        <v>24</v>
      </c>
      <c r="N98" s="3" t="s">
        <v>8</v>
      </c>
      <c r="O98" s="65" t="s">
        <v>10</v>
      </c>
      <c r="P98" s="65" t="s">
        <v>10</v>
      </c>
      <c r="Q98" s="65" t="s">
        <v>10</v>
      </c>
      <c r="R98" s="65" t="s">
        <v>10</v>
      </c>
      <c r="S98" s="3">
        <v>4</v>
      </c>
      <c r="T98" s="5">
        <v>0.49</v>
      </c>
      <c r="U98" s="5">
        <v>0.46</v>
      </c>
      <c r="V98" s="26"/>
    </row>
    <row r="99" spans="2:22" x14ac:dyDescent="0.25">
      <c r="B99" s="3">
        <v>25</v>
      </c>
      <c r="C99" s="3" t="s">
        <v>9</v>
      </c>
      <c r="D99" s="65" t="s">
        <v>10</v>
      </c>
      <c r="E99" s="65" t="s">
        <v>10</v>
      </c>
      <c r="F99" s="65" t="s">
        <v>10</v>
      </c>
      <c r="G99" s="65" t="s">
        <v>10</v>
      </c>
      <c r="H99" s="3">
        <v>5</v>
      </c>
      <c r="I99" s="5">
        <v>0.41</v>
      </c>
      <c r="J99" s="5">
        <v>0.32</v>
      </c>
      <c r="K99" s="26"/>
      <c r="M99" s="3">
        <v>25</v>
      </c>
      <c r="N99" s="3" t="s">
        <v>8</v>
      </c>
      <c r="O99" s="65" t="s">
        <v>10</v>
      </c>
      <c r="P99" s="65" t="s">
        <v>10</v>
      </c>
      <c r="Q99" s="65" t="s">
        <v>10</v>
      </c>
      <c r="R99" s="65" t="s">
        <v>10</v>
      </c>
      <c r="S99" s="3">
        <v>5</v>
      </c>
      <c r="T99" s="5">
        <v>0.48</v>
      </c>
      <c r="U99" s="5">
        <v>0.47</v>
      </c>
      <c r="V99" s="26"/>
    </row>
  </sheetData>
  <mergeCells count="122">
    <mergeCell ref="Z41:AD41"/>
    <mergeCell ref="AL9:AP9"/>
    <mergeCell ref="AL41:AP41"/>
    <mergeCell ref="D9:H9"/>
    <mergeCell ref="O9:S9"/>
    <mergeCell ref="O41:S41"/>
    <mergeCell ref="D41:H41"/>
    <mergeCell ref="D73:H73"/>
    <mergeCell ref="O73:S73"/>
    <mergeCell ref="AH43:AH47"/>
    <mergeCell ref="AT43:AT47"/>
    <mergeCell ref="AH48:AH52"/>
    <mergeCell ref="AT48:AT52"/>
    <mergeCell ref="AH53:AH57"/>
    <mergeCell ref="AT53:AT57"/>
    <mergeCell ref="AH58:AH62"/>
    <mergeCell ref="AT58:AT62"/>
    <mergeCell ref="AH63:AH67"/>
    <mergeCell ref="AT63:AT67"/>
    <mergeCell ref="AH11:AH15"/>
    <mergeCell ref="AT11:AT15"/>
    <mergeCell ref="AH16:AH20"/>
    <mergeCell ref="AT16:AT20"/>
    <mergeCell ref="AH21:AH25"/>
    <mergeCell ref="AT21:AT25"/>
    <mergeCell ref="AH26:AH30"/>
    <mergeCell ref="AT26:AT30"/>
    <mergeCell ref="AH31:AH35"/>
    <mergeCell ref="AT31:AT35"/>
    <mergeCell ref="AJ7:AT8"/>
    <mergeCell ref="X9:X10"/>
    <mergeCell ref="Y9:Y10"/>
    <mergeCell ref="AF9:AF10"/>
    <mergeCell ref="AG9:AG10"/>
    <mergeCell ref="AH9:AH10"/>
    <mergeCell ref="AJ9:AJ10"/>
    <mergeCell ref="AK9:AK10"/>
    <mergeCell ref="AR9:AR10"/>
    <mergeCell ref="AS9:AS10"/>
    <mergeCell ref="AT9:AT10"/>
    <mergeCell ref="Z9:AD9"/>
    <mergeCell ref="B7:K8"/>
    <mergeCell ref="B9:B10"/>
    <mergeCell ref="J9:J10"/>
    <mergeCell ref="C9:C10"/>
    <mergeCell ref="I9:I10"/>
    <mergeCell ref="I41:I42"/>
    <mergeCell ref="K11:K15"/>
    <mergeCell ref="K16:K20"/>
    <mergeCell ref="K21:K25"/>
    <mergeCell ref="K26:K30"/>
    <mergeCell ref="K31:K35"/>
    <mergeCell ref="K9:K10"/>
    <mergeCell ref="J41:J42"/>
    <mergeCell ref="K41:K42"/>
    <mergeCell ref="B39:K40"/>
    <mergeCell ref="T9:T10"/>
    <mergeCell ref="M7:V8"/>
    <mergeCell ref="U9:U10"/>
    <mergeCell ref="U41:U42"/>
    <mergeCell ref="V11:V15"/>
    <mergeCell ref="V16:V20"/>
    <mergeCell ref="V21:V25"/>
    <mergeCell ref="V26:V30"/>
    <mergeCell ref="V31:V35"/>
    <mergeCell ref="M41:M42"/>
    <mergeCell ref="N41:N42"/>
    <mergeCell ref="M9:M10"/>
    <mergeCell ref="N9:N10"/>
    <mergeCell ref="B3:V4"/>
    <mergeCell ref="X3:AT4"/>
    <mergeCell ref="X7:AH8"/>
    <mergeCell ref="C41:C42"/>
    <mergeCell ref="M71:V72"/>
    <mergeCell ref="M73:M74"/>
    <mergeCell ref="V9:V10"/>
    <mergeCell ref="T41:T42"/>
    <mergeCell ref="V75:V79"/>
    <mergeCell ref="V80:V84"/>
    <mergeCell ref="V85:V89"/>
    <mergeCell ref="V90:V94"/>
    <mergeCell ref="V95:V99"/>
    <mergeCell ref="N73:N74"/>
    <mergeCell ref="T73:T74"/>
    <mergeCell ref="U73:U74"/>
    <mergeCell ref="V73:V74"/>
    <mergeCell ref="V53:V57"/>
    <mergeCell ref="V58:V62"/>
    <mergeCell ref="V63:V67"/>
    <mergeCell ref="K43:K47"/>
    <mergeCell ref="K48:K52"/>
    <mergeCell ref="K53:K57"/>
    <mergeCell ref="K58:K62"/>
    <mergeCell ref="K63:K67"/>
    <mergeCell ref="V43:V47"/>
    <mergeCell ref="V48:V52"/>
    <mergeCell ref="V41:V42"/>
    <mergeCell ref="B41:B42"/>
    <mergeCell ref="B71:K72"/>
    <mergeCell ref="B73:B74"/>
    <mergeCell ref="C73:C74"/>
    <mergeCell ref="I73:I74"/>
    <mergeCell ref="J73:J74"/>
    <mergeCell ref="K73:K74"/>
    <mergeCell ref="M39:V40"/>
    <mergeCell ref="X39:AH40"/>
    <mergeCell ref="AJ39:AT40"/>
    <mergeCell ref="X41:X42"/>
    <mergeCell ref="Y41:Y42"/>
    <mergeCell ref="K75:K79"/>
    <mergeCell ref="K80:K84"/>
    <mergeCell ref="K85:K89"/>
    <mergeCell ref="K90:K94"/>
    <mergeCell ref="K95:K99"/>
    <mergeCell ref="AF41:AF42"/>
    <mergeCell ref="AG41:AG42"/>
    <mergeCell ref="AH41:AH42"/>
    <mergeCell ref="AJ41:AJ42"/>
    <mergeCell ref="AK41:AK42"/>
    <mergeCell ref="AR41:AR42"/>
    <mergeCell ref="AS41:AS42"/>
    <mergeCell ref="AT41:AT4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2DA-383A-4E9A-957A-706F77E66C2B}">
  <dimension ref="B2:X33"/>
  <sheetViews>
    <sheetView zoomScale="70" zoomScaleNormal="70" workbookViewId="0">
      <selection activeCell="K16" sqref="K16"/>
    </sheetView>
  </sheetViews>
  <sheetFormatPr defaultRowHeight="21.75" x14ac:dyDescent="0.25"/>
  <cols>
    <col min="1" max="1" width="9.140625" style="1"/>
    <col min="2" max="2" width="10.85546875" style="1" bestFit="1" customWidth="1"/>
    <col min="3" max="3" width="16.85546875" style="1" customWidth="1"/>
    <col min="4" max="4" width="15.140625" style="1" customWidth="1"/>
    <col min="5" max="5" width="15.5703125" style="1" customWidth="1"/>
    <col min="6" max="6" width="16.140625" style="1" bestFit="1" customWidth="1"/>
    <col min="7" max="8" width="13.28515625" style="1" bestFit="1" customWidth="1"/>
    <col min="9" max="9" width="16.28515625" style="1" bestFit="1" customWidth="1"/>
    <col min="10" max="10" width="15.7109375" style="1" bestFit="1" customWidth="1"/>
    <col min="11" max="11" width="15.85546875" style="1" bestFit="1" customWidth="1"/>
    <col min="12" max="12" width="16.28515625" style="1" bestFit="1" customWidth="1"/>
    <col min="13" max="13" width="16.140625" style="1" bestFit="1" customWidth="1"/>
    <col min="14" max="14" width="12.7109375" style="1" bestFit="1" customWidth="1"/>
    <col min="15" max="15" width="16.28515625" style="1" bestFit="1" customWidth="1"/>
    <col min="16" max="16" width="14.140625" style="1" bestFit="1" customWidth="1"/>
    <col min="17" max="17" width="14.28515625" style="1" bestFit="1" customWidth="1"/>
    <col min="18" max="18" width="16.140625" style="1" bestFit="1" customWidth="1"/>
    <col min="19" max="19" width="14.42578125" style="1" bestFit="1" customWidth="1"/>
    <col min="20" max="20" width="15.5703125" style="1" bestFit="1" customWidth="1"/>
    <col min="21" max="21" width="16" style="1" bestFit="1" customWidth="1"/>
    <col min="22" max="22" width="10.7109375" style="1" bestFit="1" customWidth="1"/>
    <col min="23" max="23" width="9.28515625" style="1" bestFit="1" customWidth="1"/>
    <col min="24" max="24" width="16" style="1" bestFit="1" customWidth="1"/>
    <col min="25" max="16384" width="9.140625" style="1"/>
  </cols>
  <sheetData>
    <row r="2" spans="2:24" ht="15" customHeight="1" x14ac:dyDescent="0.25">
      <c r="B2" s="36" t="s">
        <v>34</v>
      </c>
      <c r="C2" s="36"/>
      <c r="D2" s="36"/>
      <c r="E2" s="36"/>
      <c r="F2" s="36"/>
      <c r="G2" s="36"/>
      <c r="I2" s="36" t="s">
        <v>44</v>
      </c>
      <c r="J2" s="36"/>
      <c r="K2" s="36"/>
      <c r="L2" s="36"/>
      <c r="M2" s="36"/>
      <c r="O2" s="36" t="s">
        <v>45</v>
      </c>
      <c r="P2" s="36"/>
      <c r="Q2" s="36"/>
      <c r="R2" s="36"/>
      <c r="S2" s="36"/>
    </row>
    <row r="3" spans="2:24" ht="28.5" customHeight="1" x14ac:dyDescent="0.25">
      <c r="B3" s="36"/>
      <c r="C3" s="36"/>
      <c r="D3" s="36"/>
      <c r="E3" s="36"/>
      <c r="F3" s="36"/>
      <c r="G3" s="36"/>
      <c r="I3" s="36"/>
      <c r="J3" s="36"/>
      <c r="K3" s="36"/>
      <c r="L3" s="36"/>
      <c r="M3" s="36"/>
      <c r="O3" s="36"/>
      <c r="P3" s="36"/>
      <c r="Q3" s="36"/>
      <c r="R3" s="36"/>
      <c r="S3" s="36"/>
    </row>
    <row r="4" spans="2:24" x14ac:dyDescent="0.25">
      <c r="B4" s="31" t="s">
        <v>5</v>
      </c>
      <c r="C4" s="31" t="s">
        <v>7</v>
      </c>
      <c r="D4" s="31" t="s">
        <v>25</v>
      </c>
      <c r="E4" s="31" t="s">
        <v>12</v>
      </c>
      <c r="F4" s="31" t="s">
        <v>11</v>
      </c>
      <c r="G4" s="31" t="s">
        <v>13</v>
      </c>
      <c r="I4" s="31" t="s">
        <v>5</v>
      </c>
      <c r="J4" s="31" t="s">
        <v>7</v>
      </c>
      <c r="K4" s="31" t="s">
        <v>25</v>
      </c>
      <c r="L4" s="31" t="s">
        <v>12</v>
      </c>
      <c r="M4" s="31" t="s">
        <v>11</v>
      </c>
      <c r="O4" s="31" t="s">
        <v>5</v>
      </c>
      <c r="P4" s="31" t="s">
        <v>7</v>
      </c>
      <c r="Q4" s="31" t="s">
        <v>25</v>
      </c>
      <c r="R4" s="31" t="s">
        <v>12</v>
      </c>
      <c r="S4" s="31" t="s">
        <v>11</v>
      </c>
    </row>
    <row r="5" spans="2:24" x14ac:dyDescent="0.25">
      <c r="B5" s="31"/>
      <c r="C5" s="31"/>
      <c r="D5" s="31"/>
      <c r="E5" s="31"/>
      <c r="F5" s="31"/>
      <c r="G5" s="31"/>
      <c r="I5" s="31"/>
      <c r="J5" s="31"/>
      <c r="K5" s="31"/>
      <c r="L5" s="31"/>
      <c r="M5" s="31"/>
      <c r="O5" s="31"/>
      <c r="P5" s="31"/>
      <c r="Q5" s="31"/>
      <c r="R5" s="31"/>
      <c r="S5" s="31"/>
    </row>
    <row r="6" spans="2:24" x14ac:dyDescent="0.25">
      <c r="B6" s="3">
        <v>1</v>
      </c>
      <c r="C6" s="33" t="s">
        <v>9</v>
      </c>
      <c r="D6" s="6" t="s">
        <v>27</v>
      </c>
      <c r="E6" s="7">
        <v>1</v>
      </c>
      <c r="F6" s="7">
        <v>0.75</v>
      </c>
      <c r="G6" s="32">
        <f>MAX(E6:F7)</f>
        <v>1</v>
      </c>
      <c r="I6" s="3">
        <v>1</v>
      </c>
      <c r="J6" s="33" t="s">
        <v>9</v>
      </c>
      <c r="K6" s="6" t="s">
        <v>27</v>
      </c>
      <c r="L6" s="7">
        <v>0.88</v>
      </c>
      <c r="M6" s="7">
        <v>0.75</v>
      </c>
      <c r="O6" s="3">
        <v>1</v>
      </c>
      <c r="P6" s="33" t="s">
        <v>9</v>
      </c>
      <c r="Q6" s="6" t="s">
        <v>27</v>
      </c>
      <c r="R6" s="7">
        <v>0.83</v>
      </c>
      <c r="S6" s="7">
        <v>0.81</v>
      </c>
    </row>
    <row r="7" spans="2:24" x14ac:dyDescent="0.25">
      <c r="B7" s="3">
        <v>2</v>
      </c>
      <c r="C7" s="33"/>
      <c r="D7" s="6" t="s">
        <v>26</v>
      </c>
      <c r="E7" s="7">
        <v>0.7</v>
      </c>
      <c r="F7" s="7">
        <v>0.6</v>
      </c>
      <c r="G7" s="32"/>
      <c r="I7" s="3">
        <v>2</v>
      </c>
      <c r="J7" s="33"/>
      <c r="K7" s="6" t="s">
        <v>26</v>
      </c>
      <c r="L7" s="7">
        <v>0.6</v>
      </c>
      <c r="M7" s="7">
        <v>0.65</v>
      </c>
      <c r="O7" s="3">
        <v>2</v>
      </c>
      <c r="P7" s="33"/>
      <c r="Q7" s="6" t="s">
        <v>26</v>
      </c>
      <c r="R7" s="7">
        <v>0.6</v>
      </c>
      <c r="S7" s="7">
        <v>0.65</v>
      </c>
    </row>
    <row r="8" spans="2:24" x14ac:dyDescent="0.25">
      <c r="B8" s="3">
        <v>3</v>
      </c>
      <c r="C8" s="66" t="s">
        <v>8</v>
      </c>
      <c r="D8" s="8" t="s">
        <v>27</v>
      </c>
      <c r="E8" s="8">
        <v>0.88</v>
      </c>
      <c r="F8" s="8">
        <v>0.62</v>
      </c>
      <c r="G8" s="28">
        <f>MAX(E8:F9)</f>
        <v>0.88</v>
      </c>
      <c r="I8" s="3">
        <v>3</v>
      </c>
      <c r="J8" s="66" t="s">
        <v>8</v>
      </c>
      <c r="K8" s="8" t="s">
        <v>27</v>
      </c>
      <c r="L8" s="8">
        <v>0.62</v>
      </c>
      <c r="M8" s="8">
        <v>0.62</v>
      </c>
      <c r="O8" s="3">
        <v>3</v>
      </c>
      <c r="P8" s="66" t="s">
        <v>8</v>
      </c>
      <c r="Q8" s="8" t="s">
        <v>27</v>
      </c>
      <c r="R8" s="8">
        <v>0.57999999999999996</v>
      </c>
      <c r="S8" s="8">
        <v>0.72</v>
      </c>
    </row>
    <row r="9" spans="2:24" x14ac:dyDescent="0.25">
      <c r="B9" s="3">
        <v>4</v>
      </c>
      <c r="C9" s="66"/>
      <c r="D9" s="8" t="s">
        <v>26</v>
      </c>
      <c r="E9" s="8">
        <v>0.45</v>
      </c>
      <c r="F9" s="8">
        <v>0.45</v>
      </c>
      <c r="G9" s="28"/>
      <c r="I9" s="3">
        <v>4</v>
      </c>
      <c r="J9" s="66"/>
      <c r="K9" s="8" t="s">
        <v>26</v>
      </c>
      <c r="L9" s="9">
        <v>0.3</v>
      </c>
      <c r="M9" s="9">
        <v>0.6</v>
      </c>
      <c r="O9" s="3">
        <v>4</v>
      </c>
      <c r="P9" s="66"/>
      <c r="Q9" s="8" t="s">
        <v>26</v>
      </c>
      <c r="R9" s="8">
        <v>0.32</v>
      </c>
      <c r="S9" s="8">
        <v>0.61</v>
      </c>
    </row>
    <row r="11" spans="2:24" ht="21.75" customHeight="1" x14ac:dyDescent="0.25"/>
    <row r="12" spans="2:24" x14ac:dyDescent="0.25">
      <c r="B12" s="27" t="s">
        <v>49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N12" s="27" t="s">
        <v>46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2:24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2:24" x14ac:dyDescent="0.25">
      <c r="B14" s="31" t="s">
        <v>5</v>
      </c>
      <c r="C14" s="31" t="s">
        <v>7</v>
      </c>
      <c r="D14" s="31" t="s">
        <v>38</v>
      </c>
      <c r="E14" s="31"/>
      <c r="F14" s="31"/>
      <c r="G14" s="31" t="s">
        <v>43</v>
      </c>
      <c r="H14" s="37" t="s">
        <v>22</v>
      </c>
      <c r="I14" s="37" t="s">
        <v>23</v>
      </c>
      <c r="J14" s="37" t="s">
        <v>24</v>
      </c>
      <c r="K14" s="31" t="s">
        <v>14</v>
      </c>
      <c r="L14" s="31" t="s">
        <v>13</v>
      </c>
      <c r="N14" s="31" t="s">
        <v>5</v>
      </c>
      <c r="O14" s="31" t="s">
        <v>7</v>
      </c>
      <c r="P14" s="31" t="s">
        <v>38</v>
      </c>
      <c r="Q14" s="31"/>
      <c r="R14" s="31"/>
      <c r="S14" s="31" t="s">
        <v>43</v>
      </c>
      <c r="T14" s="37" t="s">
        <v>22</v>
      </c>
      <c r="U14" s="37" t="s">
        <v>23</v>
      </c>
      <c r="V14" s="37" t="s">
        <v>24</v>
      </c>
      <c r="W14" s="31" t="s">
        <v>14</v>
      </c>
      <c r="X14" s="31" t="s">
        <v>13</v>
      </c>
    </row>
    <row r="15" spans="2:24" x14ac:dyDescent="0.25">
      <c r="B15" s="31"/>
      <c r="C15" s="31"/>
      <c r="D15" s="2" t="s">
        <v>35</v>
      </c>
      <c r="E15" s="2" t="s">
        <v>36</v>
      </c>
      <c r="F15" s="2" t="s">
        <v>37</v>
      </c>
      <c r="G15" s="31"/>
      <c r="H15" s="37"/>
      <c r="I15" s="37"/>
      <c r="J15" s="37"/>
      <c r="K15" s="31"/>
      <c r="L15" s="31"/>
      <c r="N15" s="31"/>
      <c r="O15" s="31"/>
      <c r="P15" s="2" t="s">
        <v>35</v>
      </c>
      <c r="Q15" s="2" t="s">
        <v>36</v>
      </c>
      <c r="R15" s="2" t="s">
        <v>37</v>
      </c>
      <c r="S15" s="31"/>
      <c r="T15" s="37"/>
      <c r="U15" s="37"/>
      <c r="V15" s="37"/>
      <c r="W15" s="31"/>
      <c r="X15" s="31"/>
    </row>
    <row r="16" spans="2:24" x14ac:dyDescent="0.25">
      <c r="B16" s="3">
        <v>1</v>
      </c>
      <c r="C16" s="33" t="s">
        <v>9</v>
      </c>
      <c r="D16" s="60" t="s">
        <v>10</v>
      </c>
      <c r="E16" s="60" t="s">
        <v>10</v>
      </c>
      <c r="F16" s="60" t="s">
        <v>10</v>
      </c>
      <c r="G16" s="6">
        <v>4</v>
      </c>
      <c r="H16" s="7">
        <f>AVERAGE(0.75,1,1,1,0.57)</f>
        <v>0.8640000000000001</v>
      </c>
      <c r="I16" s="7">
        <f>AVERAGE(0.75,1,0.75,0.5,1)</f>
        <v>0.8</v>
      </c>
      <c r="J16" s="7">
        <f>(2*I16*H16)/(I16+H16)</f>
        <v>0.83076923076923093</v>
      </c>
      <c r="K16" s="7">
        <v>0.8</v>
      </c>
      <c r="L16" s="32">
        <f>MAX(K16:K18)</f>
        <v>0.8</v>
      </c>
      <c r="N16" s="3">
        <v>1</v>
      </c>
      <c r="O16" s="33" t="s">
        <v>9</v>
      </c>
      <c r="P16" s="60" t="s">
        <v>10</v>
      </c>
      <c r="Q16" s="60" t="s">
        <v>10</v>
      </c>
      <c r="R16" s="60" t="s">
        <v>10</v>
      </c>
      <c r="S16" s="6">
        <v>4</v>
      </c>
      <c r="T16" s="7">
        <f>AVERAGE(0.79,1,1,0.94,0.67)</f>
        <v>0.88000000000000012</v>
      </c>
      <c r="U16" s="7">
        <f>AVERAGE(0.97,1,0.75,0.5,1)</f>
        <v>0.84399999999999997</v>
      </c>
      <c r="V16" s="7">
        <f>(2*U16*T16)/(U16+T16)</f>
        <v>0.86162412993039439</v>
      </c>
      <c r="W16" s="7">
        <v>0.84</v>
      </c>
      <c r="X16" s="32">
        <f>MAX(W16:W18)</f>
        <v>0.92</v>
      </c>
    </row>
    <row r="17" spans="2:24" x14ac:dyDescent="0.25">
      <c r="B17" s="3">
        <v>2</v>
      </c>
      <c r="C17" s="33"/>
      <c r="D17" s="60" t="s">
        <v>10</v>
      </c>
      <c r="E17" s="60" t="s">
        <v>10</v>
      </c>
      <c r="F17" s="60" t="s">
        <v>10</v>
      </c>
      <c r="G17" s="6">
        <v>8</v>
      </c>
      <c r="H17" s="7">
        <f>AVERAGE(1,1,1,0.57,0.67)</f>
        <v>0.84800000000000009</v>
      </c>
      <c r="I17" s="7">
        <f>AVERAGE(0.25,1,0.5,1,1)</f>
        <v>0.75</v>
      </c>
      <c r="J17" s="7">
        <f>(2*I17*H17)/(I17+H17)</f>
        <v>0.79599499374217786</v>
      </c>
      <c r="K17" s="7">
        <v>0.75</v>
      </c>
      <c r="L17" s="32"/>
      <c r="N17" s="3">
        <v>2</v>
      </c>
      <c r="O17" s="33"/>
      <c r="P17" s="60" t="s">
        <v>10</v>
      </c>
      <c r="Q17" s="60" t="s">
        <v>10</v>
      </c>
      <c r="R17" s="60" t="s">
        <v>10</v>
      </c>
      <c r="S17" s="6">
        <v>8</v>
      </c>
      <c r="T17" s="7">
        <f>AVERAGE(0.8,1,1,0.86,0.97)</f>
        <v>0.92599999999999993</v>
      </c>
      <c r="U17" s="7">
        <f>AVERAGE(0.88,1,0.72,1,1)</f>
        <v>0.91999999999999993</v>
      </c>
      <c r="V17" s="7">
        <f>(2*U17*T17)/(U17+T17)</f>
        <v>0.92299024918743222</v>
      </c>
      <c r="W17" s="7">
        <v>0.92</v>
      </c>
      <c r="X17" s="32"/>
    </row>
    <row r="18" spans="2:24" x14ac:dyDescent="0.25">
      <c r="B18" s="3">
        <v>3</v>
      </c>
      <c r="C18" s="33"/>
      <c r="D18" s="60" t="s">
        <v>10</v>
      </c>
      <c r="E18" s="60" t="s">
        <v>10</v>
      </c>
      <c r="F18" s="60" t="s">
        <v>10</v>
      </c>
      <c r="G18" s="6">
        <v>16</v>
      </c>
      <c r="H18" s="7">
        <f>AVERAGE(1,1,1,0.5,0.67)</f>
        <v>0.83399999999999996</v>
      </c>
      <c r="I18" s="7">
        <f>AVERAGE(0.25,1,0.25,1,1)</f>
        <v>0.7</v>
      </c>
      <c r="J18" s="7">
        <f>(2*I18*H18)/(I18+H18)</f>
        <v>0.76114732724902223</v>
      </c>
      <c r="K18" s="7">
        <v>0.7</v>
      </c>
      <c r="L18" s="32"/>
      <c r="N18" s="3">
        <v>3</v>
      </c>
      <c r="O18" s="33"/>
      <c r="P18" s="60" t="s">
        <v>10</v>
      </c>
      <c r="Q18" s="60" t="s">
        <v>10</v>
      </c>
      <c r="R18" s="60" t="s">
        <v>10</v>
      </c>
      <c r="S18" s="6">
        <v>16</v>
      </c>
      <c r="T18" s="7">
        <f>AVERAGE(0.8,1,1,0.82,0.94)</f>
        <v>0.91199999999999992</v>
      </c>
      <c r="U18" s="7">
        <f>AVERAGE(0.88,0.97,0.66,1,1)</f>
        <v>0.90199999999999991</v>
      </c>
      <c r="V18" s="7">
        <f>(2*U18*T18)/(U18+T18)</f>
        <v>0.90697243660418947</v>
      </c>
      <c r="W18" s="7">
        <v>0.9</v>
      </c>
      <c r="X18" s="32"/>
    </row>
    <row r="19" spans="2:24" x14ac:dyDescent="0.25">
      <c r="B19" s="3">
        <v>4</v>
      </c>
      <c r="C19" s="66" t="s">
        <v>8</v>
      </c>
      <c r="D19" s="61" t="s">
        <v>10</v>
      </c>
      <c r="E19" s="61" t="s">
        <v>10</v>
      </c>
      <c r="F19" s="61" t="s">
        <v>10</v>
      </c>
      <c r="G19" s="8">
        <v>4</v>
      </c>
      <c r="H19" s="9">
        <f>AVERAGE(0.8,0.8,1,0.6,0.5)</f>
        <v>0.74</v>
      </c>
      <c r="I19" s="9">
        <f>AVERAGE(1,1,0.75,0.75,0.25)</f>
        <v>0.75</v>
      </c>
      <c r="J19" s="9">
        <f>(2*I19*H19)/(I19+H19)</f>
        <v>0.74496644295302006</v>
      </c>
      <c r="K19" s="9">
        <v>0.75</v>
      </c>
      <c r="L19" s="28">
        <f>MAX(K19:K21)</f>
        <v>0.9</v>
      </c>
      <c r="N19" s="3">
        <v>4</v>
      </c>
      <c r="O19" s="66" t="s">
        <v>8</v>
      </c>
      <c r="P19" s="61" t="s">
        <v>10</v>
      </c>
      <c r="Q19" s="61" t="s">
        <v>10</v>
      </c>
      <c r="R19" s="61" t="s">
        <v>10</v>
      </c>
      <c r="S19" s="8">
        <v>4</v>
      </c>
      <c r="T19" s="9">
        <f>AVERAGE(0.73,0.73,1,0.64,0.55)</f>
        <v>0.73000000000000009</v>
      </c>
      <c r="U19" s="9">
        <f>AVERAGE(1,1,0.5,0.72,0.34)</f>
        <v>0.71199999999999997</v>
      </c>
      <c r="V19" s="9">
        <f>(2*U19*T19)/(U19+T19)</f>
        <v>0.72088765603328697</v>
      </c>
      <c r="W19" s="9">
        <v>0.71</v>
      </c>
      <c r="X19" s="28">
        <f>MAX(W19:W21)</f>
        <v>0.88</v>
      </c>
    </row>
    <row r="20" spans="2:24" x14ac:dyDescent="0.25">
      <c r="B20" s="3">
        <v>5</v>
      </c>
      <c r="C20" s="66"/>
      <c r="D20" s="61" t="s">
        <v>10</v>
      </c>
      <c r="E20" s="61" t="s">
        <v>10</v>
      </c>
      <c r="F20" s="61" t="s">
        <v>10</v>
      </c>
      <c r="G20" s="8">
        <v>8</v>
      </c>
      <c r="H20" s="9">
        <f>AVERAGE(0.8,1,1,0.8,1)</f>
        <v>0.91999999999999993</v>
      </c>
      <c r="I20" s="9">
        <f>AVERAGE(1,1,0.75,1,0.75)</f>
        <v>0.9</v>
      </c>
      <c r="J20" s="9">
        <f>(2*I20*H20)/(I20+H20)</f>
        <v>0.90989010989010988</v>
      </c>
      <c r="K20" s="9">
        <v>0.9</v>
      </c>
      <c r="L20" s="28"/>
      <c r="N20" s="3">
        <v>5</v>
      </c>
      <c r="O20" s="66"/>
      <c r="P20" s="61" t="s">
        <v>10</v>
      </c>
      <c r="Q20" s="61" t="s">
        <v>10</v>
      </c>
      <c r="R20" s="61" t="s">
        <v>10</v>
      </c>
      <c r="S20" s="8">
        <v>8</v>
      </c>
      <c r="T20" s="9">
        <f>AVERAGE(0.8,0.8,1,0.82,1)</f>
        <v>0.88400000000000001</v>
      </c>
      <c r="U20" s="9">
        <f>AVERAGE(1,1,0.75,1,0.53)</f>
        <v>0.85600000000000009</v>
      </c>
      <c r="V20" s="9">
        <f>(2*U20*T20)/(U20+T20)</f>
        <v>0.86977471264367812</v>
      </c>
      <c r="W20" s="9">
        <v>0.86</v>
      </c>
      <c r="X20" s="28"/>
    </row>
    <row r="21" spans="2:24" x14ac:dyDescent="0.25">
      <c r="B21" s="3">
        <v>6</v>
      </c>
      <c r="C21" s="66"/>
      <c r="D21" s="61" t="s">
        <v>10</v>
      </c>
      <c r="E21" s="61" t="s">
        <v>10</v>
      </c>
      <c r="F21" s="61" t="s">
        <v>10</v>
      </c>
      <c r="G21" s="8">
        <v>16</v>
      </c>
      <c r="H21" s="9">
        <f>AVERAGE(0.8,1,1,0.8,1)</f>
        <v>0.91999999999999993</v>
      </c>
      <c r="I21" s="9">
        <f>AVERAGE(1,1,0.75,1,0.75)</f>
        <v>0.9</v>
      </c>
      <c r="J21" s="9">
        <f>(2*I21*H21)/(I21+H21)</f>
        <v>0.90989010989010988</v>
      </c>
      <c r="K21" s="9">
        <v>0.9</v>
      </c>
      <c r="L21" s="28"/>
      <c r="N21" s="3">
        <v>6</v>
      </c>
      <c r="O21" s="66"/>
      <c r="P21" s="61" t="s">
        <v>10</v>
      </c>
      <c r="Q21" s="61" t="s">
        <v>10</v>
      </c>
      <c r="R21" s="61" t="s">
        <v>10</v>
      </c>
      <c r="S21" s="8">
        <v>16</v>
      </c>
      <c r="T21" s="9">
        <f>AVERAGE(0.8,0.8,1,0.91,1)</f>
        <v>0.90199999999999991</v>
      </c>
      <c r="U21" s="9">
        <f>AVERAGE(1,1,0.75,1,0.66)</f>
        <v>0.88200000000000001</v>
      </c>
      <c r="V21" s="9">
        <f>(2*U21*T21)/(U21+T21)</f>
        <v>0.89188789237668165</v>
      </c>
      <c r="W21" s="9">
        <v>0.88</v>
      </c>
      <c r="X21" s="28"/>
    </row>
    <row r="24" spans="2:24" x14ac:dyDescent="0.25">
      <c r="B24" s="27" t="s">
        <v>47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N24" s="42" t="s">
        <v>48</v>
      </c>
      <c r="O24" s="43"/>
      <c r="P24" s="43"/>
      <c r="Q24" s="43"/>
      <c r="R24" s="43"/>
      <c r="S24" s="43"/>
      <c r="T24" s="43"/>
      <c r="U24" s="43"/>
      <c r="V24" s="43"/>
      <c r="W24" s="43"/>
      <c r="X24" s="44"/>
    </row>
    <row r="25" spans="2:24" x14ac:dyDescent="0.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N25" s="45"/>
      <c r="O25" s="46"/>
      <c r="P25" s="46"/>
      <c r="Q25" s="46"/>
      <c r="R25" s="46"/>
      <c r="S25" s="46"/>
      <c r="T25" s="46"/>
      <c r="U25" s="46"/>
      <c r="V25" s="46"/>
      <c r="W25" s="46"/>
      <c r="X25" s="47"/>
    </row>
    <row r="26" spans="2:24" x14ac:dyDescent="0.25">
      <c r="B26" s="31" t="s">
        <v>5</v>
      </c>
      <c r="C26" s="31" t="s">
        <v>7</v>
      </c>
      <c r="D26" s="31" t="s">
        <v>42</v>
      </c>
      <c r="E26" s="31"/>
      <c r="F26" s="31"/>
      <c r="G26" s="31" t="s">
        <v>43</v>
      </c>
      <c r="H26" s="37" t="s">
        <v>22</v>
      </c>
      <c r="I26" s="37" t="s">
        <v>23</v>
      </c>
      <c r="J26" s="37" t="s">
        <v>24</v>
      </c>
      <c r="K26" s="31" t="s">
        <v>14</v>
      </c>
      <c r="L26" s="31" t="s">
        <v>13</v>
      </c>
      <c r="N26" s="31" t="s">
        <v>5</v>
      </c>
      <c r="O26" s="31" t="s">
        <v>7</v>
      </c>
      <c r="P26" s="31" t="s">
        <v>42</v>
      </c>
      <c r="Q26" s="31"/>
      <c r="R26" s="31"/>
      <c r="S26" s="31" t="s">
        <v>43</v>
      </c>
      <c r="T26" s="37" t="s">
        <v>22</v>
      </c>
      <c r="U26" s="37" t="s">
        <v>23</v>
      </c>
      <c r="V26" s="37" t="s">
        <v>24</v>
      </c>
      <c r="W26" s="31" t="s">
        <v>14</v>
      </c>
      <c r="X26" s="31" t="s">
        <v>13</v>
      </c>
    </row>
    <row r="27" spans="2:24" x14ac:dyDescent="0.25">
      <c r="B27" s="31"/>
      <c r="C27" s="31"/>
      <c r="D27" s="2" t="s">
        <v>39</v>
      </c>
      <c r="E27" s="2" t="s">
        <v>40</v>
      </c>
      <c r="F27" s="2" t="s">
        <v>41</v>
      </c>
      <c r="G27" s="31"/>
      <c r="H27" s="37"/>
      <c r="I27" s="37"/>
      <c r="J27" s="37"/>
      <c r="K27" s="31"/>
      <c r="L27" s="31"/>
      <c r="N27" s="31"/>
      <c r="O27" s="31"/>
      <c r="P27" s="2" t="s">
        <v>39</v>
      </c>
      <c r="Q27" s="2" t="s">
        <v>40</v>
      </c>
      <c r="R27" s="2" t="s">
        <v>41</v>
      </c>
      <c r="S27" s="31"/>
      <c r="T27" s="37"/>
      <c r="U27" s="37"/>
      <c r="V27" s="37"/>
      <c r="W27" s="31"/>
      <c r="X27" s="31"/>
    </row>
    <row r="28" spans="2:24" x14ac:dyDescent="0.25">
      <c r="B28" s="3">
        <v>1</v>
      </c>
      <c r="C28" s="33" t="s">
        <v>9</v>
      </c>
      <c r="D28" s="60" t="s">
        <v>10</v>
      </c>
      <c r="E28" s="60" t="s">
        <v>10</v>
      </c>
      <c r="F28" s="60" t="s">
        <v>10</v>
      </c>
      <c r="G28" s="6">
        <v>4</v>
      </c>
      <c r="H28" s="7">
        <f>AVERAGE(0.67,1,0.75,1,0.67)</f>
        <v>0.81799999999999995</v>
      </c>
      <c r="I28" s="7">
        <f>AVERAGE(1,1,0.75,0.75,0.5)</f>
        <v>0.8</v>
      </c>
      <c r="J28" s="7">
        <f>(2*I28*H28)/(I28+H28)</f>
        <v>0.80889987639060568</v>
      </c>
      <c r="K28" s="7">
        <v>0.8</v>
      </c>
      <c r="L28" s="32">
        <f>MAX(K28:K30)</f>
        <v>0.8</v>
      </c>
      <c r="N28" s="3">
        <v>1</v>
      </c>
      <c r="O28" s="33" t="s">
        <v>9</v>
      </c>
      <c r="P28" s="60" t="s">
        <v>10</v>
      </c>
      <c r="Q28" s="60" t="s">
        <v>10</v>
      </c>
      <c r="R28" s="60" t="s">
        <v>10</v>
      </c>
      <c r="S28" s="6">
        <v>4</v>
      </c>
      <c r="T28" s="7">
        <f>AVERAGE(0.69,1,0.76,0.91,0.53)</f>
        <v>0.77800000000000014</v>
      </c>
      <c r="U28" s="7">
        <f>AVERAGE(0.91,1,0.69,0.66,0.56)</f>
        <v>0.76400000000000001</v>
      </c>
      <c r="V28" s="7">
        <f>(2*U28*T28)/(U28+T28)</f>
        <v>0.7709364461738003</v>
      </c>
      <c r="W28" s="7">
        <v>0.76</v>
      </c>
      <c r="X28" s="32">
        <f>MAX(W28:W30)</f>
        <v>0.84</v>
      </c>
    </row>
    <row r="29" spans="2:24" x14ac:dyDescent="0.25">
      <c r="B29" s="3">
        <v>2</v>
      </c>
      <c r="C29" s="33"/>
      <c r="D29" s="60" t="s">
        <v>10</v>
      </c>
      <c r="E29" s="60" t="s">
        <v>10</v>
      </c>
      <c r="F29" s="60" t="s">
        <v>10</v>
      </c>
      <c r="G29" s="6">
        <v>8</v>
      </c>
      <c r="H29" s="7">
        <f>AVERAGE(1,1,0.75,0.67,0.38)</f>
        <v>0.76</v>
      </c>
      <c r="I29" s="7">
        <f>AVERAGE(0.25,1,0.75,0.5,0.75)</f>
        <v>0.65</v>
      </c>
      <c r="J29" s="7">
        <f>(2*I29*H29)/(I29+H29)</f>
        <v>0.70070921985815604</v>
      </c>
      <c r="K29" s="7">
        <v>0.65</v>
      </c>
      <c r="L29" s="32"/>
      <c r="N29" s="3">
        <v>2</v>
      </c>
      <c r="O29" s="33"/>
      <c r="P29" s="60" t="s">
        <v>10</v>
      </c>
      <c r="Q29" s="60" t="s">
        <v>10</v>
      </c>
      <c r="R29" s="60" t="s">
        <v>10</v>
      </c>
      <c r="S29" s="6">
        <v>8</v>
      </c>
      <c r="T29" s="7">
        <f>AVERAGE(0.72,1,0.77,1,0.7)</f>
        <v>0.83800000000000008</v>
      </c>
      <c r="U29" s="7">
        <f>AVERAGE(0.91,1,0.72,0.88,0.66)</f>
        <v>0.83399999999999996</v>
      </c>
      <c r="V29" s="7">
        <f>(2*U29*T29)/(U29+T29)</f>
        <v>0.83599521531100474</v>
      </c>
      <c r="W29" s="7">
        <v>0.83</v>
      </c>
      <c r="X29" s="32"/>
    </row>
    <row r="30" spans="2:24" x14ac:dyDescent="0.25">
      <c r="B30" s="3">
        <v>3</v>
      </c>
      <c r="C30" s="33"/>
      <c r="D30" s="60" t="s">
        <v>10</v>
      </c>
      <c r="E30" s="60" t="s">
        <v>10</v>
      </c>
      <c r="F30" s="60" t="s">
        <v>10</v>
      </c>
      <c r="G30" s="6">
        <v>16</v>
      </c>
      <c r="H30" s="7">
        <f>AVERAGE(1,0.8,1,0.5,0.36)</f>
        <v>0.73199999999999998</v>
      </c>
      <c r="I30" s="7">
        <f>AVERAGE(0.25,1,0.25,0.25,1)</f>
        <v>0.55000000000000004</v>
      </c>
      <c r="J30" s="7">
        <f>(2*I30*H30)/(I30+H30)</f>
        <v>0.62808112324492982</v>
      </c>
      <c r="K30" s="7">
        <v>0.55000000000000004</v>
      </c>
      <c r="L30" s="32"/>
      <c r="N30" s="3">
        <v>3</v>
      </c>
      <c r="O30" s="33"/>
      <c r="P30" s="60" t="s">
        <v>10</v>
      </c>
      <c r="Q30" s="60" t="s">
        <v>10</v>
      </c>
      <c r="R30" s="60" t="s">
        <v>10</v>
      </c>
      <c r="S30" s="6">
        <v>16</v>
      </c>
      <c r="T30" s="7">
        <f>AVERAGE(0.79,1,0.81,0.97,0.69)</f>
        <v>0.85199999999999998</v>
      </c>
      <c r="U30" s="7">
        <f>AVERAGE(0.84,0.97,0.69,0.88,0.84)</f>
        <v>0.84399999999999997</v>
      </c>
      <c r="V30" s="7">
        <f>(2*U30*T30)/(U30+T30)</f>
        <v>0.84798113207547166</v>
      </c>
      <c r="W30" s="7">
        <v>0.84</v>
      </c>
      <c r="X30" s="32"/>
    </row>
    <row r="31" spans="2:24" x14ac:dyDescent="0.25">
      <c r="B31" s="3">
        <v>1</v>
      </c>
      <c r="C31" s="66" t="s">
        <v>8</v>
      </c>
      <c r="D31" s="61" t="s">
        <v>10</v>
      </c>
      <c r="E31" s="61" t="s">
        <v>10</v>
      </c>
      <c r="F31" s="61" t="s">
        <v>10</v>
      </c>
      <c r="G31" s="8">
        <v>4</v>
      </c>
      <c r="H31" s="9">
        <f>AVERAGE(0.67,1,0.75,0.8,1)</f>
        <v>0.84399999999999997</v>
      </c>
      <c r="I31" s="9">
        <f>AVERAGE(1,0.75,0.75,1,0.5)</f>
        <v>0.8</v>
      </c>
      <c r="J31" s="9">
        <f>(2*I31*H31)/(I31+H31)</f>
        <v>0.82141119221411185</v>
      </c>
      <c r="K31" s="9">
        <v>0.8</v>
      </c>
      <c r="L31" s="28">
        <f>MAX(K31:K33)</f>
        <v>0.9</v>
      </c>
      <c r="N31" s="3">
        <v>1</v>
      </c>
      <c r="O31" s="66" t="s">
        <v>8</v>
      </c>
      <c r="P31" s="61" t="s">
        <v>10</v>
      </c>
      <c r="Q31" s="61" t="s">
        <v>10</v>
      </c>
      <c r="R31" s="61" t="s">
        <v>10</v>
      </c>
      <c r="S31" s="8">
        <v>4</v>
      </c>
      <c r="T31" s="9">
        <f>AVERAGE(0.76,0.75,0.86,0.58,0.53)</f>
        <v>0.69600000000000006</v>
      </c>
      <c r="U31" s="9">
        <f>AVERAGE(1,0.75,0.75,0.78,0.25)</f>
        <v>0.70600000000000007</v>
      </c>
      <c r="V31" s="9">
        <f>(2*U31*T31)/(U31+T31)</f>
        <v>0.7009643366619116</v>
      </c>
      <c r="W31" s="9">
        <v>0.71</v>
      </c>
      <c r="X31" s="28">
        <f>MAX(W31:W33)</f>
        <v>0.88</v>
      </c>
    </row>
    <row r="32" spans="2:24" x14ac:dyDescent="0.25">
      <c r="B32" s="3">
        <v>2</v>
      </c>
      <c r="C32" s="66"/>
      <c r="D32" s="61" t="s">
        <v>10</v>
      </c>
      <c r="E32" s="61" t="s">
        <v>10</v>
      </c>
      <c r="F32" s="61" t="s">
        <v>10</v>
      </c>
      <c r="G32" s="8">
        <v>8</v>
      </c>
      <c r="H32" s="9">
        <f>AVERAGE(0.8,1,0.75,1,1)</f>
        <v>0.90999999999999992</v>
      </c>
      <c r="I32" s="9">
        <f>AVERAGE(1,1,0.75,1,0.75)</f>
        <v>0.9</v>
      </c>
      <c r="J32" s="9">
        <f>(2*I32*H32)/(I32+H32)</f>
        <v>0.90497237569060762</v>
      </c>
      <c r="K32" s="9">
        <v>0.9</v>
      </c>
      <c r="L32" s="28"/>
      <c r="N32" s="3">
        <v>2</v>
      </c>
      <c r="O32" s="66"/>
      <c r="P32" s="61" t="s">
        <v>10</v>
      </c>
      <c r="Q32" s="61" t="s">
        <v>10</v>
      </c>
      <c r="R32" s="61" t="s">
        <v>10</v>
      </c>
      <c r="S32" s="8">
        <v>8</v>
      </c>
      <c r="T32" s="9">
        <f>AVERAGE(0.81,0.78,0.75,0.83,0.84)</f>
        <v>0.80199999999999994</v>
      </c>
      <c r="U32" s="9">
        <f>AVERAGE(0.94,0.91,0.75,0.91,0.5)</f>
        <v>0.80199999999999994</v>
      </c>
      <c r="V32" s="9">
        <f>(2*U32*T32)/(U32+T32)</f>
        <v>0.80199999999999994</v>
      </c>
      <c r="W32" s="9">
        <v>0.8</v>
      </c>
      <c r="X32" s="28"/>
    </row>
    <row r="33" spans="2:24" x14ac:dyDescent="0.25">
      <c r="B33" s="3">
        <v>3</v>
      </c>
      <c r="C33" s="66"/>
      <c r="D33" s="61" t="s">
        <v>10</v>
      </c>
      <c r="E33" s="61" t="s">
        <v>10</v>
      </c>
      <c r="F33" s="61" t="s">
        <v>10</v>
      </c>
      <c r="G33" s="8">
        <v>16</v>
      </c>
      <c r="H33" s="9">
        <f>AVERAGE(0.8,1,1,0.8,1)</f>
        <v>0.91999999999999993</v>
      </c>
      <c r="I33" s="9">
        <f>AVERAGE(1,1,0.75,1,0.75)</f>
        <v>0.9</v>
      </c>
      <c r="J33" s="9">
        <f>(2*I33*H33)/(I33+H33)</f>
        <v>0.90989010989010988</v>
      </c>
      <c r="K33" s="9">
        <v>0.9</v>
      </c>
      <c r="L33" s="28"/>
      <c r="N33" s="3">
        <v>3</v>
      </c>
      <c r="O33" s="66"/>
      <c r="P33" s="61" t="s">
        <v>10</v>
      </c>
      <c r="Q33" s="61" t="s">
        <v>10</v>
      </c>
      <c r="R33" s="61" t="s">
        <v>10</v>
      </c>
      <c r="S33" s="8">
        <v>16</v>
      </c>
      <c r="T33" s="9">
        <f>AVERAGE(0.8,0.78,0.89,1,1)</f>
        <v>0.89400000000000013</v>
      </c>
      <c r="U33" s="9">
        <f>AVERAGE(1,1,0.75,0.97,0.66)</f>
        <v>0.876</v>
      </c>
      <c r="V33" s="9">
        <f>(2*U33*T33)/(U33+T33)</f>
        <v>0.8849084745762712</v>
      </c>
      <c r="W33" s="9">
        <v>0.88</v>
      </c>
      <c r="X33" s="28"/>
    </row>
  </sheetData>
  <mergeCells count="83">
    <mergeCell ref="X19:X21"/>
    <mergeCell ref="C31:C33"/>
    <mergeCell ref="L31:L33"/>
    <mergeCell ref="O31:O33"/>
    <mergeCell ref="X31:X33"/>
    <mergeCell ref="U26:U27"/>
    <mergeCell ref="V26:V27"/>
    <mergeCell ref="W26:W27"/>
    <mergeCell ref="X26:X27"/>
    <mergeCell ref="C19:C21"/>
    <mergeCell ref="L19:L21"/>
    <mergeCell ref="O28:O30"/>
    <mergeCell ref="X28:X30"/>
    <mergeCell ref="N26:N27"/>
    <mergeCell ref="O26:O27"/>
    <mergeCell ref="P26:R26"/>
    <mergeCell ref="S26:S27"/>
    <mergeCell ref="T26:T27"/>
    <mergeCell ref="C28:C30"/>
    <mergeCell ref="N24:X25"/>
    <mergeCell ref="L28:L30"/>
    <mergeCell ref="L26:L27"/>
    <mergeCell ref="B26:B27"/>
    <mergeCell ref="C26:C27"/>
    <mergeCell ref="D26:F26"/>
    <mergeCell ref="G26:G27"/>
    <mergeCell ref="H26:H27"/>
    <mergeCell ref="X14:X15"/>
    <mergeCell ref="O16:O18"/>
    <mergeCell ref="X16:X18"/>
    <mergeCell ref="O19:O21"/>
    <mergeCell ref="P6:P7"/>
    <mergeCell ref="P8:P9"/>
    <mergeCell ref="L16:L18"/>
    <mergeCell ref="B12:L13"/>
    <mergeCell ref="C16:C18"/>
    <mergeCell ref="N12:X13"/>
    <mergeCell ref="J8:J9"/>
    <mergeCell ref="G4:G5"/>
    <mergeCell ref="G6:G7"/>
    <mergeCell ref="G8:G9"/>
    <mergeCell ref="B2:G3"/>
    <mergeCell ref="I2:M3"/>
    <mergeCell ref="I4:I5"/>
    <mergeCell ref="J4:J5"/>
    <mergeCell ref="K4:K5"/>
    <mergeCell ref="L4:L5"/>
    <mergeCell ref="M4:M5"/>
    <mergeCell ref="U14:U15"/>
    <mergeCell ref="O2:S3"/>
    <mergeCell ref="O4:O5"/>
    <mergeCell ref="P4:P5"/>
    <mergeCell ref="Q4:Q5"/>
    <mergeCell ref="T14:T15"/>
    <mergeCell ref="V14:V15"/>
    <mergeCell ref="W14:W15"/>
    <mergeCell ref="N14:N15"/>
    <mergeCell ref="O14:O15"/>
    <mergeCell ref="I14:I15"/>
    <mergeCell ref="J14:J15"/>
    <mergeCell ref="K14:K15"/>
    <mergeCell ref="L14:L15"/>
    <mergeCell ref="B14:B15"/>
    <mergeCell ref="C14:C15"/>
    <mergeCell ref="D14:F14"/>
    <mergeCell ref="G14:G15"/>
    <mergeCell ref="H14:H15"/>
    <mergeCell ref="B24:L25"/>
    <mergeCell ref="S14:S15"/>
    <mergeCell ref="R4:R5"/>
    <mergeCell ref="S4:S5"/>
    <mergeCell ref="I26:I27"/>
    <mergeCell ref="J26:J27"/>
    <mergeCell ref="K26:K27"/>
    <mergeCell ref="P14:R14"/>
    <mergeCell ref="J6:J7"/>
    <mergeCell ref="B4:B5"/>
    <mergeCell ref="C4:C5"/>
    <mergeCell ref="E4:E5"/>
    <mergeCell ref="F4:F5"/>
    <mergeCell ref="D4:D5"/>
    <mergeCell ref="C6:C7"/>
    <mergeCell ref="C8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BF9-94E4-44F5-951E-C573EC9AA69A}">
  <dimension ref="C3:AL72"/>
  <sheetViews>
    <sheetView tabSelected="1" zoomScale="40" zoomScaleNormal="40" workbookViewId="0">
      <selection activeCell="N43" sqref="N43:N72"/>
    </sheetView>
  </sheetViews>
  <sheetFormatPr defaultRowHeight="15" x14ac:dyDescent="0.25"/>
  <cols>
    <col min="3" max="3" width="4.28515625" bestFit="1" customWidth="1"/>
    <col min="4" max="4" width="15.7109375" bestFit="1" customWidth="1"/>
    <col min="5" max="5" width="10.7109375" bestFit="1" customWidth="1"/>
    <col min="6" max="6" width="13.140625" bestFit="1" customWidth="1"/>
    <col min="7" max="7" width="8.5703125" bestFit="1" customWidth="1"/>
    <col min="8" max="8" width="10.7109375" bestFit="1" customWidth="1"/>
    <col min="9" max="9" width="9.28515625" bestFit="1" customWidth="1"/>
    <col min="10" max="10" width="16" bestFit="1" customWidth="1"/>
    <col min="13" max="13" width="4.28515625" bestFit="1" customWidth="1"/>
    <col min="14" max="14" width="10.7109375" bestFit="1" customWidth="1"/>
    <col min="15" max="15" width="14.42578125" bestFit="1" customWidth="1"/>
    <col min="16" max="16" width="13.7109375" bestFit="1" customWidth="1"/>
    <col min="17" max="17" width="15.7109375" bestFit="1" customWidth="1"/>
    <col min="18" max="19" width="10.7109375" bestFit="1" customWidth="1"/>
    <col min="20" max="20" width="13.140625" bestFit="1" customWidth="1"/>
    <col min="21" max="21" width="8.5703125" bestFit="1" customWidth="1"/>
    <col min="22" max="22" width="10.7109375" bestFit="1" customWidth="1"/>
    <col min="23" max="23" width="9.28515625" bestFit="1" customWidth="1"/>
    <col min="24" max="24" width="16" bestFit="1" customWidth="1"/>
    <col min="27" max="27" width="4.28515625" bestFit="1" customWidth="1"/>
    <col min="28" max="28" width="10.7109375" bestFit="1" customWidth="1"/>
    <col min="29" max="29" width="14.42578125" bestFit="1" customWidth="1"/>
    <col min="30" max="30" width="13.7109375" bestFit="1" customWidth="1"/>
    <col min="31" max="31" width="15.7109375" bestFit="1" customWidth="1"/>
    <col min="32" max="33" width="10.7109375" bestFit="1" customWidth="1"/>
    <col min="34" max="34" width="13.140625" bestFit="1" customWidth="1"/>
    <col min="36" max="36" width="10.7109375" bestFit="1" customWidth="1"/>
    <col min="37" max="37" width="9.28515625" bestFit="1" customWidth="1"/>
    <col min="38" max="38" width="16" bestFit="1" customWidth="1"/>
  </cols>
  <sheetData>
    <row r="3" spans="3:38" ht="21.75" x14ac:dyDescent="0.25">
      <c r="C3" s="36" t="s">
        <v>29</v>
      </c>
      <c r="D3" s="36"/>
      <c r="E3" s="36"/>
      <c r="F3" s="36"/>
      <c r="G3" s="36"/>
      <c r="H3" s="36"/>
      <c r="I3" s="36"/>
      <c r="J3" s="36"/>
      <c r="K3" s="1"/>
      <c r="L3" s="1"/>
      <c r="M3" s="27" t="s">
        <v>29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1"/>
      <c r="Z3" s="1"/>
      <c r="AA3" s="27" t="s">
        <v>29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3:38" ht="21.75" x14ac:dyDescent="0.25">
      <c r="C4" s="36"/>
      <c r="D4" s="36"/>
      <c r="E4" s="36"/>
      <c r="F4" s="36"/>
      <c r="G4" s="36"/>
      <c r="H4" s="36"/>
      <c r="I4" s="36"/>
      <c r="J4" s="36"/>
      <c r="K4" s="1"/>
      <c r="L4" s="1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1"/>
      <c r="Z4" s="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3:38" ht="21.75" x14ac:dyDescent="0.25">
      <c r="C5" s="31" t="s">
        <v>5</v>
      </c>
      <c r="D5" s="31" t="s">
        <v>18</v>
      </c>
      <c r="E5" s="31" t="s">
        <v>4</v>
      </c>
      <c r="F5" s="37" t="s">
        <v>22</v>
      </c>
      <c r="G5" s="37" t="s">
        <v>23</v>
      </c>
      <c r="H5" s="37" t="s">
        <v>24</v>
      </c>
      <c r="I5" s="31" t="s">
        <v>14</v>
      </c>
      <c r="J5" s="31" t="s">
        <v>13</v>
      </c>
      <c r="K5" s="1"/>
      <c r="L5" s="1"/>
      <c r="M5" s="31" t="s">
        <v>5</v>
      </c>
      <c r="N5" s="31" t="s">
        <v>18</v>
      </c>
      <c r="O5" s="31" t="s">
        <v>6</v>
      </c>
      <c r="P5" s="31"/>
      <c r="Q5" s="31"/>
      <c r="R5" s="31"/>
      <c r="S5" s="31" t="s">
        <v>4</v>
      </c>
      <c r="T5" s="37" t="s">
        <v>22</v>
      </c>
      <c r="U5" s="37" t="s">
        <v>23</v>
      </c>
      <c r="V5" s="37" t="s">
        <v>24</v>
      </c>
      <c r="W5" s="31" t="s">
        <v>14</v>
      </c>
      <c r="X5" s="31" t="s">
        <v>13</v>
      </c>
      <c r="Y5" s="1"/>
      <c r="Z5" s="1"/>
      <c r="AA5" s="31" t="s">
        <v>5</v>
      </c>
      <c r="AB5" s="31" t="s">
        <v>18</v>
      </c>
      <c r="AC5" s="31" t="s">
        <v>6</v>
      </c>
      <c r="AD5" s="31"/>
      <c r="AE5" s="31"/>
      <c r="AF5" s="31"/>
      <c r="AG5" s="31" t="s">
        <v>4</v>
      </c>
      <c r="AH5" s="37" t="s">
        <v>22</v>
      </c>
      <c r="AI5" s="37" t="s">
        <v>23</v>
      </c>
      <c r="AJ5" s="37" t="s">
        <v>24</v>
      </c>
      <c r="AK5" s="31" t="s">
        <v>14</v>
      </c>
      <c r="AL5" s="31" t="s">
        <v>13</v>
      </c>
    </row>
    <row r="6" spans="3:38" ht="21.75" x14ac:dyDescent="0.25">
      <c r="C6" s="31"/>
      <c r="D6" s="31"/>
      <c r="E6" s="31"/>
      <c r="F6" s="37"/>
      <c r="G6" s="37"/>
      <c r="H6" s="37"/>
      <c r="I6" s="31"/>
      <c r="J6" s="31"/>
      <c r="K6" s="1"/>
      <c r="L6" s="1"/>
      <c r="M6" s="31"/>
      <c r="N6" s="31"/>
      <c r="O6" s="2" t="s">
        <v>0</v>
      </c>
      <c r="P6" s="2" t="s">
        <v>1</v>
      </c>
      <c r="Q6" s="2" t="s">
        <v>2</v>
      </c>
      <c r="R6" s="2" t="s">
        <v>3</v>
      </c>
      <c r="S6" s="31"/>
      <c r="T6" s="37"/>
      <c r="U6" s="37"/>
      <c r="V6" s="37"/>
      <c r="W6" s="31"/>
      <c r="X6" s="31"/>
      <c r="Y6" s="1"/>
      <c r="Z6" s="1"/>
      <c r="AA6" s="31"/>
      <c r="AB6" s="31"/>
      <c r="AC6" s="2" t="s">
        <v>0</v>
      </c>
      <c r="AD6" s="2" t="s">
        <v>1</v>
      </c>
      <c r="AE6" s="2" t="s">
        <v>2</v>
      </c>
      <c r="AF6" s="2" t="s">
        <v>3</v>
      </c>
      <c r="AG6" s="31"/>
      <c r="AH6" s="37"/>
      <c r="AI6" s="37"/>
      <c r="AJ6" s="37"/>
      <c r="AK6" s="31"/>
      <c r="AL6" s="31"/>
    </row>
    <row r="7" spans="3:38" ht="21.75" x14ac:dyDescent="0.25">
      <c r="C7" s="3">
        <v>1</v>
      </c>
      <c r="D7" s="33" t="s">
        <v>0</v>
      </c>
      <c r="E7" s="3">
        <v>1</v>
      </c>
      <c r="F7" s="7">
        <f>AVERAGE(1,0.36,0.33,0.03,0.24)</f>
        <v>0.39200000000000002</v>
      </c>
      <c r="G7" s="7">
        <f>AVERAGE(0.06,0.5,0.12,0.03,0.5)</f>
        <v>0.24199999999999999</v>
      </c>
      <c r="H7" s="7">
        <f>(2*G7*F7)/(G7+F7)</f>
        <v>0.29925552050473186</v>
      </c>
      <c r="I7" s="6">
        <v>0.24</v>
      </c>
      <c r="J7" s="32">
        <f>MAX(I7:I11)</f>
        <v>0.37</v>
      </c>
      <c r="K7" s="1"/>
      <c r="L7" s="1"/>
      <c r="M7" s="3">
        <v>1</v>
      </c>
      <c r="N7" s="34" t="s">
        <v>21</v>
      </c>
      <c r="O7" s="60" t="s">
        <v>10</v>
      </c>
      <c r="P7" s="60" t="s">
        <v>10</v>
      </c>
      <c r="Q7" s="60"/>
      <c r="R7" s="60"/>
      <c r="S7" s="3">
        <v>1</v>
      </c>
      <c r="T7" s="15">
        <f>AVERAGE(0,0.28,0,0.21,0.35)</f>
        <v>0.16799999999999998</v>
      </c>
      <c r="U7" s="15">
        <f>AVERAGE(0,0.38,0,0.28,0.75)</f>
        <v>0.28200000000000003</v>
      </c>
      <c r="V7" s="7">
        <f>(2*U7*T7)/(U7+T7)</f>
        <v>0.21056</v>
      </c>
      <c r="W7" s="7">
        <v>0.28000000000000003</v>
      </c>
      <c r="X7" s="32">
        <f>MAX(W7:W11)</f>
        <v>0.4</v>
      </c>
      <c r="Y7" s="1"/>
      <c r="Z7" s="1"/>
      <c r="AA7" s="3">
        <v>1</v>
      </c>
      <c r="AB7" s="34" t="s">
        <v>19</v>
      </c>
      <c r="AC7" s="60" t="s">
        <v>10</v>
      </c>
      <c r="AD7" s="60" t="s">
        <v>10</v>
      </c>
      <c r="AE7" s="60" t="s">
        <v>10</v>
      </c>
      <c r="AF7" s="60"/>
      <c r="AG7" s="3">
        <v>1</v>
      </c>
      <c r="AH7" s="15">
        <f>AVERAGE(0,0.29,0.33,0.28,0.36)</f>
        <v>0.252</v>
      </c>
      <c r="AI7" s="15">
        <f>AVERAGE(0,0.38,0.06,0.41,0.75)</f>
        <v>0.32</v>
      </c>
      <c r="AJ7" s="7">
        <f>(2*AI7*AH7)/(AI7+AH7)</f>
        <v>0.28195804195804192</v>
      </c>
      <c r="AK7" s="7">
        <v>0.32</v>
      </c>
      <c r="AL7" s="32">
        <f>MAX(AK7:AK11)</f>
        <v>0.37</v>
      </c>
    </row>
    <row r="8" spans="3:38" ht="21.75" x14ac:dyDescent="0.25">
      <c r="C8" s="3">
        <v>2</v>
      </c>
      <c r="D8" s="33"/>
      <c r="E8" s="3">
        <v>2</v>
      </c>
      <c r="F8" s="7">
        <f>AVERAGE(0.23,0,0.32,0,0.31)</f>
        <v>0.17200000000000001</v>
      </c>
      <c r="G8" s="7">
        <f>AVERAGE(0.53,0,0.5,0,0.25)</f>
        <v>0.25600000000000001</v>
      </c>
      <c r="H8" s="7">
        <f>(2*G8*F8)/(G8+F8)</f>
        <v>0.20575700934579438</v>
      </c>
      <c r="I8" s="6">
        <v>0.26</v>
      </c>
      <c r="J8" s="32"/>
      <c r="K8" s="1"/>
      <c r="L8" s="1"/>
      <c r="M8" s="3">
        <v>2</v>
      </c>
      <c r="N8" s="34"/>
      <c r="O8" s="60" t="s">
        <v>10</v>
      </c>
      <c r="P8" s="60" t="s">
        <v>10</v>
      </c>
      <c r="Q8" s="60"/>
      <c r="R8" s="60"/>
      <c r="S8" s="3">
        <v>2</v>
      </c>
      <c r="T8" s="15">
        <f>AVERAGE(0.67,0.27,0.92,0.31,0.4)</f>
        <v>0.51400000000000001</v>
      </c>
      <c r="U8" s="15">
        <f>AVERAGE(0.25,0.38,0.34,0.38,0.66)</f>
        <v>0.40200000000000002</v>
      </c>
      <c r="V8" s="7">
        <f>(2*U8*T8)/(U8+T8)</f>
        <v>0.45115283842794757</v>
      </c>
      <c r="W8" s="7">
        <v>0.4</v>
      </c>
      <c r="X8" s="32"/>
      <c r="Y8" s="1"/>
      <c r="Z8" s="1"/>
      <c r="AA8" s="3">
        <v>2</v>
      </c>
      <c r="AB8" s="34"/>
      <c r="AC8" s="60" t="s">
        <v>10</v>
      </c>
      <c r="AD8" s="60" t="s">
        <v>10</v>
      </c>
      <c r="AE8" s="60" t="s">
        <v>10</v>
      </c>
      <c r="AF8" s="60"/>
      <c r="AG8" s="3">
        <v>2</v>
      </c>
      <c r="AH8" s="15">
        <f>AVERAGE(0,0.31,0.62,0.25,0.43)</f>
        <v>0.32199999999999995</v>
      </c>
      <c r="AI8" s="15">
        <f>AVERAGE(0,0.38,0.25,0.44,0.72)</f>
        <v>0.35799999999999998</v>
      </c>
      <c r="AJ8" s="7">
        <f>(2*AI8*AH8)/(AI8+AH8)</f>
        <v>0.33904705882352937</v>
      </c>
      <c r="AK8" s="7">
        <v>0.36</v>
      </c>
      <c r="AL8" s="32"/>
    </row>
    <row r="9" spans="3:38" ht="21.75" x14ac:dyDescent="0.25">
      <c r="C9" s="3">
        <v>3</v>
      </c>
      <c r="D9" s="33"/>
      <c r="E9" s="3">
        <v>3</v>
      </c>
      <c r="F9" s="7">
        <f>AVERAGE(0.3,0.62,0.3,0.67,0.41)</f>
        <v>0.46000000000000008</v>
      </c>
      <c r="G9" s="7">
        <f>AVERAGE(0.47,0.31,0.47,0.06,0.53)</f>
        <v>0.36799999999999999</v>
      </c>
      <c r="H9" s="7">
        <f>(2*G9*F9)/(G9+F9)</f>
        <v>0.40888888888888891</v>
      </c>
      <c r="I9" s="6">
        <v>0.37</v>
      </c>
      <c r="J9" s="32"/>
      <c r="K9" s="1"/>
      <c r="L9" s="1"/>
      <c r="M9" s="3">
        <v>3</v>
      </c>
      <c r="N9" s="34"/>
      <c r="O9" s="60" t="s">
        <v>10</v>
      </c>
      <c r="P9" s="60" t="s">
        <v>10</v>
      </c>
      <c r="Q9" s="60"/>
      <c r="R9" s="60"/>
      <c r="S9" s="3">
        <v>3</v>
      </c>
      <c r="T9" s="15">
        <f>AVERAGE(0,0.29,0.8,0.29,0.46)</f>
        <v>0.36799999999999999</v>
      </c>
      <c r="U9" s="15">
        <f>AVERAGE(0,0.25,0.5,0.59,0.66)</f>
        <v>0.4</v>
      </c>
      <c r="V9" s="7">
        <f>(2*U9*T9)/(U9+T9)</f>
        <v>0.3833333333333333</v>
      </c>
      <c r="W9" s="7">
        <v>0.4</v>
      </c>
      <c r="X9" s="32"/>
      <c r="Y9" s="1"/>
      <c r="Z9" s="1"/>
      <c r="AA9" s="3">
        <v>3</v>
      </c>
      <c r="AB9" s="34"/>
      <c r="AC9" s="60" t="s">
        <v>10</v>
      </c>
      <c r="AD9" s="60" t="s">
        <v>10</v>
      </c>
      <c r="AE9" s="60" t="s">
        <v>10</v>
      </c>
      <c r="AF9" s="60"/>
      <c r="AG9" s="3">
        <v>3</v>
      </c>
      <c r="AH9" s="15">
        <f>AVERAGE(0,0.2,0.47,0.3,0.47)</f>
        <v>0.28799999999999998</v>
      </c>
      <c r="AI9" s="15">
        <f>AVERAGE(0,0.12,0.5,0.56,0.66)</f>
        <v>0.36800000000000005</v>
      </c>
      <c r="AJ9" s="7">
        <f>(2*AI9*AH9)/(AI9+AH9)</f>
        <v>0.3231219512195122</v>
      </c>
      <c r="AK9" s="7">
        <v>0.37</v>
      </c>
      <c r="AL9" s="32"/>
    </row>
    <row r="10" spans="3:38" ht="21.75" x14ac:dyDescent="0.25">
      <c r="C10" s="3">
        <v>4</v>
      </c>
      <c r="D10" s="33"/>
      <c r="E10" s="3">
        <v>4</v>
      </c>
      <c r="F10" s="7">
        <f>AVERAGE(0,0.67,0.36,0.12,0.26)</f>
        <v>0.28199999999999997</v>
      </c>
      <c r="G10" s="7">
        <f>AVERAGE(0,0.25,0.47,0.09,0.59)</f>
        <v>0.27999999999999997</v>
      </c>
      <c r="H10" s="7">
        <f>(2*G10*F10)/(G10+F10)</f>
        <v>0.28099644128113876</v>
      </c>
      <c r="I10" s="6">
        <v>0.28000000000000003</v>
      </c>
      <c r="J10" s="32"/>
      <c r="K10" s="1"/>
      <c r="L10" s="1"/>
      <c r="M10" s="3">
        <v>4</v>
      </c>
      <c r="N10" s="34"/>
      <c r="O10" s="60" t="s">
        <v>10</v>
      </c>
      <c r="P10" s="60" t="s">
        <v>10</v>
      </c>
      <c r="Q10" s="60"/>
      <c r="R10" s="60"/>
      <c r="S10" s="3">
        <v>4</v>
      </c>
      <c r="T10" s="15">
        <f>AVERAGE(0,0,0.5,0.29,0.56)</f>
        <v>0.27</v>
      </c>
      <c r="U10" s="15">
        <f>AVERAGE(0,0,0.62,0.62,0.62)</f>
        <v>0.372</v>
      </c>
      <c r="V10" s="7">
        <f>(2*U10*T10)/(U10+T10)</f>
        <v>0.31289719626168222</v>
      </c>
      <c r="W10" s="7">
        <v>0.38</v>
      </c>
      <c r="X10" s="32"/>
      <c r="Y10" s="1"/>
      <c r="Z10" s="1"/>
      <c r="AA10" s="3">
        <v>4</v>
      </c>
      <c r="AB10" s="34"/>
      <c r="AC10" s="60" t="s">
        <v>10</v>
      </c>
      <c r="AD10" s="60" t="s">
        <v>10</v>
      </c>
      <c r="AE10" s="60" t="s">
        <v>10</v>
      </c>
      <c r="AF10" s="60"/>
      <c r="AG10" s="3">
        <v>4</v>
      </c>
      <c r="AH10" s="15">
        <f>AVERAGE(0,0,0.44,0.28,0.44)</f>
        <v>0.23199999999999998</v>
      </c>
      <c r="AI10" s="15">
        <f>AVERAGE(0,0,0.62,0.62,0.5)</f>
        <v>0.34799999999999998</v>
      </c>
      <c r="AJ10" s="7">
        <f>(2*AI10*AH10)/(AI10+AH10)</f>
        <v>0.27839999999999998</v>
      </c>
      <c r="AK10" s="7">
        <v>0.35</v>
      </c>
      <c r="AL10" s="32"/>
    </row>
    <row r="11" spans="3:38" ht="21.75" x14ac:dyDescent="0.25">
      <c r="C11" s="3">
        <v>5</v>
      </c>
      <c r="D11" s="33"/>
      <c r="E11" s="3">
        <v>5</v>
      </c>
      <c r="F11" s="7">
        <f>AVERAGE(0,0.38,0.5,0.17,0.3)</f>
        <v>0.27</v>
      </c>
      <c r="G11" s="7">
        <f>AVERAGE(0,0.25,0.19,0.28,0.69)</f>
        <v>0.28199999999999997</v>
      </c>
      <c r="H11" s="7">
        <f>(2*G11*F11)/(G11+F11)</f>
        <v>0.27586956521739125</v>
      </c>
      <c r="I11" s="6">
        <v>0.28000000000000003</v>
      </c>
      <c r="J11" s="32"/>
      <c r="K11" s="1"/>
      <c r="L11" s="1"/>
      <c r="M11" s="3">
        <v>5</v>
      </c>
      <c r="N11" s="34"/>
      <c r="O11" s="60" t="s">
        <v>10</v>
      </c>
      <c r="P11" s="60" t="s">
        <v>10</v>
      </c>
      <c r="Q11" s="60"/>
      <c r="R11" s="60"/>
      <c r="S11" s="3">
        <v>5</v>
      </c>
      <c r="T11" s="15">
        <f>AVERAGE(0,0,0.5,0.3,0.53)</f>
        <v>0.26600000000000001</v>
      </c>
      <c r="U11" s="15">
        <f>AVERAGE(0,0,0.62,0.62,0.5)</f>
        <v>0.34799999999999998</v>
      </c>
      <c r="V11" s="7">
        <f>(2*U11*T11)/(U11+T11)</f>
        <v>0.30152442996742673</v>
      </c>
      <c r="W11" s="7">
        <v>0.35</v>
      </c>
      <c r="X11" s="32"/>
      <c r="Y11" s="1"/>
      <c r="Z11" s="1"/>
      <c r="AA11" s="3">
        <v>5</v>
      </c>
      <c r="AB11" s="34"/>
      <c r="AC11" s="60" t="s">
        <v>10</v>
      </c>
      <c r="AD11" s="60" t="s">
        <v>10</v>
      </c>
      <c r="AE11" s="60" t="s">
        <v>10</v>
      </c>
      <c r="AF11" s="60"/>
      <c r="AG11" s="3">
        <v>5</v>
      </c>
      <c r="AH11" s="15">
        <f>AVERAGE(0,0,0.39,0.3,0.32)</f>
        <v>0.20200000000000001</v>
      </c>
      <c r="AI11" s="15">
        <f>AVERAGE(0,0,0.62,0.72,0.25)</f>
        <v>0.31799999999999995</v>
      </c>
      <c r="AJ11" s="7">
        <f>(2*AI11*AH11)/(AI11+AH11)</f>
        <v>0.24706153846153842</v>
      </c>
      <c r="AK11" s="7">
        <v>0.32</v>
      </c>
      <c r="AL11" s="32"/>
    </row>
    <row r="12" spans="3:38" ht="21.75" x14ac:dyDescent="0.25">
      <c r="C12" s="3">
        <v>6</v>
      </c>
      <c r="D12" s="28" t="s">
        <v>1</v>
      </c>
      <c r="E12" s="3">
        <v>1</v>
      </c>
      <c r="F12" s="9">
        <f>AVERAGE(0.23,0,0,0,0.26)</f>
        <v>9.8000000000000004E-2</v>
      </c>
      <c r="G12" s="9">
        <f>AVERAGE(0.59,0,0,0,0.5)</f>
        <v>0.21799999999999997</v>
      </c>
      <c r="H12" s="9">
        <f>(2*G12*F12)/(G12+F12)</f>
        <v>0.13521518987341774</v>
      </c>
      <c r="I12" s="8">
        <v>0.22</v>
      </c>
      <c r="J12" s="28">
        <f>MAX(I12:I16)</f>
        <v>0.24</v>
      </c>
      <c r="K12" s="1"/>
      <c r="L12" s="1"/>
      <c r="M12" s="3">
        <v>6</v>
      </c>
      <c r="N12" s="34"/>
      <c r="O12" s="61" t="s">
        <v>10</v>
      </c>
      <c r="P12" s="61"/>
      <c r="Q12" s="61" t="s">
        <v>10</v>
      </c>
      <c r="R12" s="61"/>
      <c r="S12" s="3">
        <v>1</v>
      </c>
      <c r="T12" s="16">
        <f>AVERAGE(0.25,0.36,0.4,0.26,0.44)</f>
        <v>0.34199999999999997</v>
      </c>
      <c r="U12" s="16">
        <f>AVERAGE(0.03,0.38,0.12,0.47,0.75)</f>
        <v>0.35</v>
      </c>
      <c r="V12" s="9">
        <f>(2*U12*T12)/(U12+T12)</f>
        <v>0.34595375722543353</v>
      </c>
      <c r="W12" s="9">
        <v>0.35</v>
      </c>
      <c r="X12" s="28">
        <f>MAX(W12:W16)</f>
        <v>0.39</v>
      </c>
      <c r="Y12" s="1"/>
      <c r="Z12" s="1"/>
      <c r="AA12" s="3">
        <v>6</v>
      </c>
      <c r="AB12" s="34"/>
      <c r="AC12" s="61" t="s">
        <v>10</v>
      </c>
      <c r="AD12" s="61" t="s">
        <v>10</v>
      </c>
      <c r="AE12" s="61"/>
      <c r="AF12" s="61" t="s">
        <v>10</v>
      </c>
      <c r="AG12" s="3">
        <v>1</v>
      </c>
      <c r="AH12" s="16">
        <f>AVERAGE(0.28,0.25,0,0,0.24)</f>
        <v>0.154</v>
      </c>
      <c r="AI12" s="16">
        <f>AVERAGE(0.47,0.25,0,0,0.5)</f>
        <v>0.24399999999999999</v>
      </c>
      <c r="AJ12" s="9">
        <f>(2*AI12*AH12)/(AI12+AH12)</f>
        <v>0.18882412060301507</v>
      </c>
      <c r="AK12" s="9">
        <v>0.24</v>
      </c>
      <c r="AL12" s="28">
        <f>MAX(AK12:AK16)</f>
        <v>0.36</v>
      </c>
    </row>
    <row r="13" spans="3:38" ht="21.75" x14ac:dyDescent="0.25">
      <c r="C13" s="3">
        <v>7</v>
      </c>
      <c r="D13" s="28"/>
      <c r="E13" s="3">
        <v>2</v>
      </c>
      <c r="F13" s="9">
        <f>AVERAGE(0.25,0.29,0.27,0,0.2)</f>
        <v>0.20200000000000001</v>
      </c>
      <c r="G13" s="9">
        <f>AVERAGE(0.56,0.12,0.47,0,0.06)</f>
        <v>0.24199999999999999</v>
      </c>
      <c r="H13" s="9">
        <f>(2*G13*F13)/(G13+F13)</f>
        <v>0.22019819819819822</v>
      </c>
      <c r="I13" s="8">
        <v>0.24</v>
      </c>
      <c r="J13" s="28"/>
      <c r="K13" s="1"/>
      <c r="L13" s="1"/>
      <c r="M13" s="3">
        <v>7</v>
      </c>
      <c r="N13" s="34"/>
      <c r="O13" s="61" t="s">
        <v>10</v>
      </c>
      <c r="P13" s="61"/>
      <c r="Q13" s="61" t="s">
        <v>10</v>
      </c>
      <c r="R13" s="61"/>
      <c r="S13" s="3">
        <v>2</v>
      </c>
      <c r="T13" s="16">
        <f>AVERAGE(0.2,0.31,0.55,0.35,0.48)</f>
        <v>0.378</v>
      </c>
      <c r="U13" s="16">
        <f>AVERAGE(0.06,0.38,0.34,0.47,0.72)</f>
        <v>0.39400000000000002</v>
      </c>
      <c r="V13" s="9">
        <f>(2*U13*T13)/(U13+T13)</f>
        <v>0.38583419689119175</v>
      </c>
      <c r="W13" s="9">
        <v>0.39</v>
      </c>
      <c r="X13" s="28"/>
      <c r="Y13" s="1"/>
      <c r="Z13" s="1"/>
      <c r="AA13" s="3">
        <v>7</v>
      </c>
      <c r="AB13" s="34"/>
      <c r="AC13" s="61" t="s">
        <v>10</v>
      </c>
      <c r="AD13" s="61" t="s">
        <v>10</v>
      </c>
      <c r="AE13" s="61"/>
      <c r="AF13" s="61" t="s">
        <v>10</v>
      </c>
      <c r="AG13" s="3">
        <v>2</v>
      </c>
      <c r="AH13" s="16">
        <f>AVERAGE(0.24,0,0,0.12,0.25)</f>
        <v>0.122</v>
      </c>
      <c r="AI13" s="16">
        <f>AVERAGE(0.53,0,0,0.09,0.41)</f>
        <v>0.20600000000000002</v>
      </c>
      <c r="AJ13" s="9">
        <f>(2*AI13*AH13)/(AI13+AH13)</f>
        <v>0.15324390243902439</v>
      </c>
      <c r="AK13" s="9">
        <v>0.21</v>
      </c>
      <c r="AL13" s="28"/>
    </row>
    <row r="14" spans="3:38" ht="21.75" x14ac:dyDescent="0.25">
      <c r="C14" s="3">
        <v>8</v>
      </c>
      <c r="D14" s="28"/>
      <c r="E14" s="3">
        <v>3</v>
      </c>
      <c r="F14" s="9">
        <f>AVERAGE(0.23,0.5,0,0.2,0.21)</f>
        <v>0.22799999999999998</v>
      </c>
      <c r="G14" s="9">
        <f>AVERAGE(0.56,0.12,0,0.03,0.34)</f>
        <v>0.21000000000000002</v>
      </c>
      <c r="H14" s="9">
        <f>(2*G14*F14)/(G14+F14)</f>
        <v>0.21863013698630138</v>
      </c>
      <c r="I14" s="8">
        <v>0.21</v>
      </c>
      <c r="J14" s="28"/>
      <c r="K14" s="1"/>
      <c r="L14" s="1"/>
      <c r="M14" s="3">
        <v>8</v>
      </c>
      <c r="N14" s="34"/>
      <c r="O14" s="61" t="s">
        <v>10</v>
      </c>
      <c r="P14" s="61"/>
      <c r="Q14" s="61" t="s">
        <v>10</v>
      </c>
      <c r="R14" s="61"/>
      <c r="S14" s="3">
        <v>3</v>
      </c>
      <c r="T14" s="16">
        <f>AVERAGE(0,0.17,0.44,0.3,0.47)</f>
        <v>0.27599999999999997</v>
      </c>
      <c r="U14" s="16">
        <f>AVERAGE(0,0.12,0.5,0.53,0.62)</f>
        <v>0.35399999999999998</v>
      </c>
      <c r="V14" s="9">
        <f>(2*U14*T14)/(U14+T14)</f>
        <v>0.3101714285714286</v>
      </c>
      <c r="W14" s="9">
        <v>0.36</v>
      </c>
      <c r="X14" s="28"/>
      <c r="Y14" s="1"/>
      <c r="Z14" s="1"/>
      <c r="AA14" s="3">
        <v>8</v>
      </c>
      <c r="AB14" s="34"/>
      <c r="AC14" s="61" t="s">
        <v>10</v>
      </c>
      <c r="AD14" s="61" t="s">
        <v>10</v>
      </c>
      <c r="AE14" s="61"/>
      <c r="AF14" s="61" t="s">
        <v>10</v>
      </c>
      <c r="AG14" s="3">
        <v>3</v>
      </c>
      <c r="AH14" s="16">
        <f>AVERAGE(0.3,0.22,0,0.17,0.33)</f>
        <v>0.20400000000000001</v>
      </c>
      <c r="AI14" s="16">
        <f>AVERAGE(0.41,0.25,0,0.22,0.41)</f>
        <v>0.25799999999999995</v>
      </c>
      <c r="AJ14" s="9">
        <f>(2*AI14*AH14)/(AI14+AH14)</f>
        <v>0.22784415584415582</v>
      </c>
      <c r="AK14" s="9">
        <v>0.36</v>
      </c>
      <c r="AL14" s="28"/>
    </row>
    <row r="15" spans="3:38" ht="21.75" x14ac:dyDescent="0.25">
      <c r="C15" s="3">
        <v>9</v>
      </c>
      <c r="D15" s="28"/>
      <c r="E15" s="3">
        <v>4</v>
      </c>
      <c r="F15" s="9">
        <f>AVERAGE(0.21,0,0.13,0,0.19)</f>
        <v>0.10600000000000001</v>
      </c>
      <c r="G15" s="9">
        <f>AVERAGE(0.56,0,0.16,0,0.19)</f>
        <v>0.18200000000000002</v>
      </c>
      <c r="H15" s="9">
        <f>(2*G15*F15)/(G15+F15)</f>
        <v>0.13397222222222224</v>
      </c>
      <c r="I15" s="8">
        <v>0.18</v>
      </c>
      <c r="J15" s="28"/>
      <c r="K15" s="1"/>
      <c r="L15" s="1"/>
      <c r="M15" s="3">
        <v>9</v>
      </c>
      <c r="N15" s="34"/>
      <c r="O15" s="61" t="s">
        <v>10</v>
      </c>
      <c r="P15" s="61"/>
      <c r="Q15" s="61" t="s">
        <v>10</v>
      </c>
      <c r="R15" s="61"/>
      <c r="S15" s="3">
        <v>4</v>
      </c>
      <c r="T15" s="16">
        <f>AVERAGE(0,0.2,0.43,0.32,0.32)</f>
        <v>0.254</v>
      </c>
      <c r="U15" s="16">
        <f>AVERAGE(0,0.12,0.5,0.66,0.38)</f>
        <v>0.33200000000000002</v>
      </c>
      <c r="V15" s="9">
        <f>(2*U15*T15)/(U15+T15)</f>
        <v>0.28780887372013647</v>
      </c>
      <c r="W15" s="9">
        <v>0.33</v>
      </c>
      <c r="X15" s="28"/>
      <c r="Y15" s="1"/>
      <c r="Z15" s="1"/>
      <c r="AA15" s="3">
        <v>9</v>
      </c>
      <c r="AB15" s="34"/>
      <c r="AC15" s="61" t="s">
        <v>10</v>
      </c>
      <c r="AD15" s="61" t="s">
        <v>10</v>
      </c>
      <c r="AE15" s="61"/>
      <c r="AF15" s="61" t="s">
        <v>10</v>
      </c>
      <c r="AG15" s="3">
        <v>4</v>
      </c>
      <c r="AH15" s="16">
        <f>AVERAGE(0.42,0.27,0,0.15,0.55)</f>
        <v>0.27800000000000002</v>
      </c>
      <c r="AI15" s="16">
        <f>AVERAGE(0.44,0.38,0,0.28,0.38)</f>
        <v>0.29599999999999999</v>
      </c>
      <c r="AJ15" s="9">
        <f>(2*AI15*AH15)/(AI15+AH15)</f>
        <v>0.28671777003484317</v>
      </c>
      <c r="AK15" s="9">
        <v>0.28999999999999998</v>
      </c>
      <c r="AL15" s="28"/>
    </row>
    <row r="16" spans="3:38" ht="21.75" x14ac:dyDescent="0.25">
      <c r="C16" s="3">
        <v>10</v>
      </c>
      <c r="D16" s="28"/>
      <c r="E16" s="3">
        <v>5</v>
      </c>
      <c r="F16" s="9">
        <f>AVERAGE(0.25,0.27,0,0.2,0.15)</f>
        <v>0.17399999999999999</v>
      </c>
      <c r="G16" s="9">
        <f>AVERAGE(0.62,0.12,0,0.31,0.06)</f>
        <v>0.22200000000000003</v>
      </c>
      <c r="H16" s="9">
        <f>(2*G16*F16)/(G16+F16)</f>
        <v>0.19509090909090909</v>
      </c>
      <c r="I16" s="8">
        <v>0.23</v>
      </c>
      <c r="J16" s="28"/>
      <c r="K16" s="1"/>
      <c r="L16" s="1"/>
      <c r="M16" s="3">
        <v>10</v>
      </c>
      <c r="N16" s="34"/>
      <c r="O16" s="61" t="s">
        <v>10</v>
      </c>
      <c r="P16" s="61"/>
      <c r="Q16" s="61" t="s">
        <v>10</v>
      </c>
      <c r="R16" s="61"/>
      <c r="S16" s="3">
        <v>5</v>
      </c>
      <c r="T16" s="16">
        <f>AVERAGE(0,0,0.36,0.35,0.35)</f>
        <v>0.21200000000000002</v>
      </c>
      <c r="U16" s="16">
        <f>AVERAGE(0,0,0.5,0.72,0.38)</f>
        <v>0.32</v>
      </c>
      <c r="V16" s="9">
        <f>(2*U16*T16)/(U16+T16)</f>
        <v>0.25503759398496245</v>
      </c>
      <c r="W16" s="9">
        <v>0.32</v>
      </c>
      <c r="X16" s="28"/>
      <c r="Y16" s="1"/>
      <c r="Z16" s="1"/>
      <c r="AA16" s="3">
        <v>10</v>
      </c>
      <c r="AB16" s="34"/>
      <c r="AC16" s="61" t="s">
        <v>10</v>
      </c>
      <c r="AD16" s="61" t="s">
        <v>10</v>
      </c>
      <c r="AE16" s="61"/>
      <c r="AF16" s="61" t="s">
        <v>10</v>
      </c>
      <c r="AG16" s="3">
        <v>5</v>
      </c>
      <c r="AH16" s="16">
        <f>AVERAGE(0.38,0.3,1,0.12,0.5)</f>
        <v>0.45999999999999996</v>
      </c>
      <c r="AI16" s="16">
        <f>AVERAGE(0.47,0.38,0.12,0.22,0.25)</f>
        <v>0.28799999999999998</v>
      </c>
      <c r="AJ16" s="9">
        <f>(2*AI16*AH16)/(AI16+AH16)</f>
        <v>0.35422459893048125</v>
      </c>
      <c r="AK16" s="9">
        <v>0.28999999999999998</v>
      </c>
      <c r="AL16" s="28"/>
    </row>
    <row r="17" spans="3:38" ht="21.75" x14ac:dyDescent="0.25">
      <c r="C17" s="3">
        <v>11</v>
      </c>
      <c r="D17" s="29" t="s">
        <v>2</v>
      </c>
      <c r="E17" s="3">
        <v>1</v>
      </c>
      <c r="F17" s="10">
        <f>AVERAGE(0.52,0.71,0.63,0.5,0.44)</f>
        <v>0.55999999999999994</v>
      </c>
      <c r="G17" s="10">
        <f>AVERAGE(0.5,0.94,0.84,0.41,0.25)</f>
        <v>0.58799999999999997</v>
      </c>
      <c r="H17" s="10">
        <f>(2*G17*F17)/(G17+F17)</f>
        <v>0.57365853658536581</v>
      </c>
      <c r="I17" s="10">
        <v>0.59</v>
      </c>
      <c r="J17" s="29">
        <f>MAX(I17:I21)</f>
        <v>0.59</v>
      </c>
      <c r="K17" s="1"/>
      <c r="L17" s="1"/>
      <c r="M17" s="3">
        <v>11</v>
      </c>
      <c r="N17" s="34"/>
      <c r="O17" s="62" t="s">
        <v>10</v>
      </c>
      <c r="P17" s="62"/>
      <c r="Q17" s="62"/>
      <c r="R17" s="62" t="s">
        <v>10</v>
      </c>
      <c r="S17" s="3">
        <v>1</v>
      </c>
      <c r="T17" s="17">
        <f>AVERAGE(0.35,0.47,0.05,0.19,0.29)</f>
        <v>0.27</v>
      </c>
      <c r="U17" s="17">
        <f>AVERAGE(0.25,0.5,0.03,0.25,0.38)</f>
        <v>0.28200000000000003</v>
      </c>
      <c r="V17" s="10">
        <f>(2*U17*T17)/(U17+T17)</f>
        <v>0.27586956521739131</v>
      </c>
      <c r="W17" s="10">
        <v>0.28000000000000003</v>
      </c>
      <c r="X17" s="29">
        <f>MAX(W17:W21)</f>
        <v>0.28999999999999998</v>
      </c>
      <c r="Y17" s="1"/>
      <c r="Z17" s="1"/>
      <c r="AA17" s="3">
        <v>11</v>
      </c>
      <c r="AB17" s="34"/>
      <c r="AC17" s="62" t="s">
        <v>10</v>
      </c>
      <c r="AD17" s="62"/>
      <c r="AE17" s="62" t="s">
        <v>10</v>
      </c>
      <c r="AF17" s="62" t="s">
        <v>10</v>
      </c>
      <c r="AG17" s="3">
        <v>1</v>
      </c>
      <c r="AH17" s="17">
        <f>AVERAGE(0.3,0.43,0,0,0.27)</f>
        <v>0.2</v>
      </c>
      <c r="AI17" s="17">
        <f>AVERAGE(0.47,0.38,0,0,0.62)</f>
        <v>0.29399999999999998</v>
      </c>
      <c r="AJ17" s="10">
        <f>(2*AI17*AH17)/(AI17+AH17)</f>
        <v>0.23805668016194331</v>
      </c>
      <c r="AK17" s="10">
        <v>0.28999999999999998</v>
      </c>
      <c r="AL17" s="29">
        <f>MAX(AK17:AK21)</f>
        <v>0.28999999999999998</v>
      </c>
    </row>
    <row r="18" spans="3:38" ht="21.75" x14ac:dyDescent="0.25">
      <c r="C18" s="3">
        <v>12</v>
      </c>
      <c r="D18" s="29"/>
      <c r="E18" s="3">
        <v>2</v>
      </c>
      <c r="F18" s="10">
        <f>AVERAGE(0.39,0.36,0,0.09,0.23)</f>
        <v>0.21400000000000002</v>
      </c>
      <c r="G18" s="10">
        <f>AVERAGE(0.41,0.66,0,0.06,0.25)</f>
        <v>0.27600000000000002</v>
      </c>
      <c r="H18" s="10">
        <f>(2*G18*F18)/(G18+F18)</f>
        <v>0.2410775510204082</v>
      </c>
      <c r="I18" s="10">
        <v>0.28000000000000003</v>
      </c>
      <c r="J18" s="29"/>
      <c r="K18" s="1"/>
      <c r="L18" s="1"/>
      <c r="M18" s="3">
        <v>12</v>
      </c>
      <c r="N18" s="34"/>
      <c r="O18" s="62" t="s">
        <v>10</v>
      </c>
      <c r="P18" s="62"/>
      <c r="Q18" s="62"/>
      <c r="R18" s="62" t="s">
        <v>10</v>
      </c>
      <c r="S18" s="3">
        <v>2</v>
      </c>
      <c r="T18" s="17">
        <f>AVERAGE(0.23,0,0.24,0,0.22)</f>
        <v>0.13799999999999998</v>
      </c>
      <c r="U18" s="17">
        <f>AVERAGE(0.53,0,0.5,0,0.06)</f>
        <v>0.21800000000000003</v>
      </c>
      <c r="V18" s="10">
        <f>(2*U18*T18)/(U18+T18)</f>
        <v>0.16901123595505618</v>
      </c>
      <c r="W18" s="10">
        <v>0.22</v>
      </c>
      <c r="X18" s="29"/>
      <c r="Y18" s="1"/>
      <c r="Z18" s="1"/>
      <c r="AA18" s="3">
        <v>12</v>
      </c>
      <c r="AB18" s="34"/>
      <c r="AC18" s="62" t="s">
        <v>10</v>
      </c>
      <c r="AD18" s="62"/>
      <c r="AE18" s="62" t="s">
        <v>10</v>
      </c>
      <c r="AF18" s="62" t="s">
        <v>10</v>
      </c>
      <c r="AG18" s="3">
        <v>2</v>
      </c>
      <c r="AH18" s="17">
        <f>AVERAGE(0.22,0.33,0,0.1,0.28)</f>
        <v>0.186</v>
      </c>
      <c r="AI18" s="17">
        <f>AVERAGE(0.41,0.25,0,0.09,0.41)</f>
        <v>0.23199999999999998</v>
      </c>
      <c r="AJ18" s="10">
        <f>(2*AI18*AH18)/(AI18+AH18)</f>
        <v>0.20646889952153108</v>
      </c>
      <c r="AK18" s="10">
        <v>0.23</v>
      </c>
      <c r="AL18" s="29"/>
    </row>
    <row r="19" spans="3:38" ht="21.75" x14ac:dyDescent="0.25">
      <c r="C19" s="3">
        <v>13</v>
      </c>
      <c r="D19" s="29"/>
      <c r="E19" s="3">
        <v>3</v>
      </c>
      <c r="F19" s="10">
        <f>AVERAGE(0.58,0.3,0,0.14,0.24)</f>
        <v>0.252</v>
      </c>
      <c r="G19" s="10">
        <f>AVERAGE(0.34,0.5,0,0.09,0.41)</f>
        <v>0.26800000000000002</v>
      </c>
      <c r="H19" s="10">
        <f>(2*G19*F19)/(G19+F19)</f>
        <v>0.25975384615384611</v>
      </c>
      <c r="I19" s="10">
        <v>0.27</v>
      </c>
      <c r="J19" s="29"/>
      <c r="K19" s="1"/>
      <c r="L19" s="1"/>
      <c r="M19" s="3">
        <v>13</v>
      </c>
      <c r="N19" s="34"/>
      <c r="O19" s="62" t="s">
        <v>10</v>
      </c>
      <c r="P19" s="62"/>
      <c r="Q19" s="62"/>
      <c r="R19" s="62" t="s">
        <v>10</v>
      </c>
      <c r="S19" s="3">
        <v>3</v>
      </c>
      <c r="T19" s="17">
        <f>AVERAGE(0.35,0.11,0.26,0,0.25)</f>
        <v>0.19400000000000001</v>
      </c>
      <c r="U19" s="17">
        <f>AVERAGE(0.53,0.12,0.5,0,0.09)</f>
        <v>0.248</v>
      </c>
      <c r="V19" s="10">
        <f>(2*U19*T19)/(U19+T19)</f>
        <v>0.21770135746606337</v>
      </c>
      <c r="W19" s="10">
        <v>0.25</v>
      </c>
      <c r="X19" s="29"/>
      <c r="Y19" s="1"/>
      <c r="Z19" s="1"/>
      <c r="AA19" s="3">
        <v>13</v>
      </c>
      <c r="AB19" s="34"/>
      <c r="AC19" s="62" t="s">
        <v>10</v>
      </c>
      <c r="AD19" s="62"/>
      <c r="AE19" s="62" t="s">
        <v>10</v>
      </c>
      <c r="AF19" s="62" t="s">
        <v>10</v>
      </c>
      <c r="AG19" s="3">
        <v>3</v>
      </c>
      <c r="AH19" s="17">
        <f>AVERAGE(0.28,0.38,0,0.09,0.35)</f>
        <v>0.22000000000000003</v>
      </c>
      <c r="AI19" s="17">
        <f>AVERAGE(0.41,0.38,0,0.12,0.41)</f>
        <v>0.26400000000000001</v>
      </c>
      <c r="AJ19" s="10">
        <f>(2*AI19*AH19)/(AI19+AH19)</f>
        <v>0.24000000000000005</v>
      </c>
      <c r="AK19" s="10">
        <v>0.26</v>
      </c>
      <c r="AL19" s="29"/>
    </row>
    <row r="20" spans="3:38" ht="21.75" x14ac:dyDescent="0.25">
      <c r="C20" s="3">
        <v>14</v>
      </c>
      <c r="D20" s="29"/>
      <c r="E20" s="3">
        <v>4</v>
      </c>
      <c r="F20" s="10">
        <f>AVERAGE(0.69,0.31,0.29,0.41,0.31)</f>
        <v>0.40199999999999997</v>
      </c>
      <c r="G20" s="10">
        <f>AVERAGE(0.34,0.5,0.06,0.34,0.56)</f>
        <v>0.36000000000000004</v>
      </c>
      <c r="H20" s="10">
        <f>(2*G20*F20)/(G20+F20)</f>
        <v>0.3798425196850394</v>
      </c>
      <c r="I20" s="10">
        <v>0.36</v>
      </c>
      <c r="J20" s="29"/>
      <c r="K20" s="1"/>
      <c r="L20" s="1"/>
      <c r="M20" s="3">
        <v>14</v>
      </c>
      <c r="N20" s="34"/>
      <c r="O20" s="62" t="s">
        <v>10</v>
      </c>
      <c r="P20" s="62"/>
      <c r="Q20" s="62"/>
      <c r="R20" s="62" t="s">
        <v>10</v>
      </c>
      <c r="S20" s="3">
        <v>4</v>
      </c>
      <c r="T20" s="17">
        <f>AVERAGE(0.3,0.22,0.34,0.12,0.36)</f>
        <v>0.26800000000000002</v>
      </c>
      <c r="U20" s="17">
        <f>AVERAGE(0.41,0.12,0.47,0.09,0.31)</f>
        <v>0.28000000000000003</v>
      </c>
      <c r="V20" s="10">
        <f>(2*U20*T20)/(U20+T20)</f>
        <v>0.27386861313868616</v>
      </c>
      <c r="W20" s="10">
        <v>0.28000000000000003</v>
      </c>
      <c r="X20" s="29"/>
      <c r="Y20" s="1"/>
      <c r="Z20" s="1"/>
      <c r="AA20" s="3">
        <v>14</v>
      </c>
      <c r="AB20" s="34"/>
      <c r="AC20" s="62" t="s">
        <v>10</v>
      </c>
      <c r="AD20" s="62"/>
      <c r="AE20" s="62" t="s">
        <v>10</v>
      </c>
      <c r="AF20" s="62" t="s">
        <v>10</v>
      </c>
      <c r="AG20" s="3">
        <v>4</v>
      </c>
      <c r="AH20" s="17">
        <f>AVERAGE(0.3,0.38,0,0.14,0.47)</f>
        <v>0.25800000000000001</v>
      </c>
      <c r="AI20" s="17">
        <f>AVERAGE(0.41,0.38,0,0.28,0.28)</f>
        <v>0.27</v>
      </c>
      <c r="AJ20" s="10">
        <f>(2*AI20*AH20)/(AI20+AH20)</f>
        <v>0.26386363636363636</v>
      </c>
      <c r="AK20" s="10">
        <v>0.27</v>
      </c>
      <c r="AL20" s="29"/>
    </row>
    <row r="21" spans="3:38" ht="21.75" x14ac:dyDescent="0.25">
      <c r="C21" s="3">
        <v>15</v>
      </c>
      <c r="D21" s="29"/>
      <c r="E21" s="3">
        <v>5</v>
      </c>
      <c r="F21" s="10">
        <f>AVERAGE(0.5,0.35,0.12,0.38,0.29)</f>
        <v>0.32800000000000001</v>
      </c>
      <c r="G21" s="10">
        <f>AVERAGE(0.12,0.53,0.03,0.56,0.44)</f>
        <v>0.33600000000000002</v>
      </c>
      <c r="H21" s="10">
        <f>(2*G21*F21)/(G21+F21)</f>
        <v>0.33195180722891571</v>
      </c>
      <c r="I21" s="10">
        <v>0.34</v>
      </c>
      <c r="J21" s="29"/>
      <c r="K21" s="1"/>
      <c r="L21" s="1"/>
      <c r="M21" s="3">
        <v>15</v>
      </c>
      <c r="N21" s="34"/>
      <c r="O21" s="62" t="s">
        <v>10</v>
      </c>
      <c r="P21" s="62"/>
      <c r="Q21" s="62"/>
      <c r="R21" s="62" t="s">
        <v>10</v>
      </c>
      <c r="S21" s="3">
        <v>5</v>
      </c>
      <c r="T21" s="17">
        <f>AVERAGE(0.35,0.21,0.36,0.07,0.35)</f>
        <v>0.26799999999999996</v>
      </c>
      <c r="U21" s="17">
        <f>AVERAGE(0.44,0.12,0.44,0.06,0.38)</f>
        <v>0.28799999999999998</v>
      </c>
      <c r="V21" s="10">
        <f>(2*U21*T21)/(U21+T21)</f>
        <v>0.27764028776978417</v>
      </c>
      <c r="W21" s="10">
        <v>0.28999999999999998</v>
      </c>
      <c r="X21" s="29"/>
      <c r="Y21" s="1"/>
      <c r="Z21" s="1"/>
      <c r="AA21" s="3">
        <v>15</v>
      </c>
      <c r="AB21" s="34"/>
      <c r="AC21" s="62" t="s">
        <v>10</v>
      </c>
      <c r="AD21" s="62"/>
      <c r="AE21" s="62" t="s">
        <v>10</v>
      </c>
      <c r="AF21" s="62" t="s">
        <v>10</v>
      </c>
      <c r="AG21" s="3">
        <v>5</v>
      </c>
      <c r="AH21" s="17">
        <f>AVERAGE(0.26,0.43,1,0.14,0.27)</f>
        <v>0.42000000000000004</v>
      </c>
      <c r="AI21" s="17">
        <f>AVERAGE(0.34,0.38,0.12,0.28,0.19)</f>
        <v>0.26200000000000001</v>
      </c>
      <c r="AJ21" s="10">
        <f>(2*AI21*AH21)/(AI21+AH21)</f>
        <v>0.32269794721407624</v>
      </c>
      <c r="AK21" s="10">
        <v>0.26</v>
      </c>
      <c r="AL21" s="29"/>
    </row>
    <row r="22" spans="3:38" ht="21.75" x14ac:dyDescent="0.25">
      <c r="C22" s="3">
        <v>16</v>
      </c>
      <c r="D22" s="30" t="s">
        <v>3</v>
      </c>
      <c r="E22" s="3">
        <v>1</v>
      </c>
      <c r="F22" s="11">
        <f>AVERAGE(0.36,0.7,0.29,0.21,0.25)</f>
        <v>0.36199999999999999</v>
      </c>
      <c r="G22" s="11">
        <f>AVERAGE(0.12,0.22,0.12,0.31,0.59)</f>
        <v>0.27199999999999996</v>
      </c>
      <c r="H22" s="11">
        <f>(2*G22*F22)/(G22+F22)</f>
        <v>0.31061198738170348</v>
      </c>
      <c r="I22" s="11">
        <v>0.28000000000000003</v>
      </c>
      <c r="J22" s="30">
        <f>MAX(I22:I26)</f>
        <v>0.28000000000000003</v>
      </c>
      <c r="K22" s="1"/>
      <c r="L22" s="1"/>
      <c r="M22" s="3">
        <v>16</v>
      </c>
      <c r="N22" s="34"/>
      <c r="O22" s="63"/>
      <c r="P22" s="63" t="s">
        <v>10</v>
      </c>
      <c r="Q22" s="63" t="s">
        <v>10</v>
      </c>
      <c r="R22" s="63"/>
      <c r="S22" s="3">
        <v>1</v>
      </c>
      <c r="T22" s="19">
        <f>AVERAGE(0,0.63,0.45,1,0.33)</f>
        <v>0.48200000000000004</v>
      </c>
      <c r="U22" s="19">
        <f>AVERAGE(0,0.84,0.75,0.25,0.5)</f>
        <v>0.46799999999999997</v>
      </c>
      <c r="V22" s="14">
        <f>(2*U22*T22)/(U22+T22)</f>
        <v>0.47489684210526317</v>
      </c>
      <c r="W22" s="14">
        <v>0.47</v>
      </c>
      <c r="X22" s="35">
        <f>MAX(W22:W26)</f>
        <v>0.5</v>
      </c>
      <c r="Y22" s="1"/>
      <c r="Z22" s="1"/>
      <c r="AA22" s="3">
        <v>16</v>
      </c>
      <c r="AB22" s="34"/>
      <c r="AC22" s="64"/>
      <c r="AD22" s="64" t="s">
        <v>10</v>
      </c>
      <c r="AE22" s="64" t="s">
        <v>10</v>
      </c>
      <c r="AF22" s="64" t="s">
        <v>10</v>
      </c>
      <c r="AG22" s="3">
        <v>1</v>
      </c>
      <c r="AH22" s="18">
        <f>AVERAGE(0.27,0.33,0,0.11,0.28)</f>
        <v>0.19800000000000001</v>
      </c>
      <c r="AI22" s="18">
        <f>AVERAGE(0.34,0.25,0,0.03,0.75)</f>
        <v>0.27400000000000002</v>
      </c>
      <c r="AJ22" s="11">
        <f>(2*AI22*AH22)/(AI22+AH22)</f>
        <v>0.22988135593220341</v>
      </c>
      <c r="AK22" s="11">
        <v>0.28000000000000003</v>
      </c>
      <c r="AL22" s="30">
        <f>MAX(AK22:AK26)</f>
        <v>0.28000000000000003</v>
      </c>
    </row>
    <row r="23" spans="3:38" ht="21.75" x14ac:dyDescent="0.25">
      <c r="C23" s="3">
        <v>17</v>
      </c>
      <c r="D23" s="30"/>
      <c r="E23" s="3">
        <v>2</v>
      </c>
      <c r="F23" s="11">
        <f>AVERAGE(0.21,0,0.25,0,0.31)</f>
        <v>0.154</v>
      </c>
      <c r="G23" s="11">
        <f>AVERAGE(0.53,0,0.5,0,0.12)</f>
        <v>0.22999999999999998</v>
      </c>
      <c r="H23" s="11">
        <f>(2*G23*F23)/(G23+F23)</f>
        <v>0.18447916666666667</v>
      </c>
      <c r="I23" s="11">
        <v>0.23</v>
      </c>
      <c r="J23" s="30"/>
      <c r="K23" s="1"/>
      <c r="L23" s="1"/>
      <c r="M23" s="3">
        <v>17</v>
      </c>
      <c r="N23" s="34"/>
      <c r="O23" s="63"/>
      <c r="P23" s="63" t="s">
        <v>10</v>
      </c>
      <c r="Q23" s="63" t="s">
        <v>10</v>
      </c>
      <c r="R23" s="63"/>
      <c r="S23" s="3">
        <v>2</v>
      </c>
      <c r="T23" s="19">
        <f>AVERAGE(0,0.63,0.45,1,0.33)</f>
        <v>0.48200000000000004</v>
      </c>
      <c r="U23" s="19">
        <f>AVERAGE(0,0.84,0.75,0.25,0.5)</f>
        <v>0.46799999999999997</v>
      </c>
      <c r="V23" s="14">
        <f>(2*U23*T23)/(U23+T23)</f>
        <v>0.47489684210526317</v>
      </c>
      <c r="W23" s="14">
        <v>0.47</v>
      </c>
      <c r="X23" s="38"/>
      <c r="Y23" s="1"/>
      <c r="Z23" s="1"/>
      <c r="AA23" s="3">
        <v>17</v>
      </c>
      <c r="AB23" s="34"/>
      <c r="AC23" s="64"/>
      <c r="AD23" s="64" t="s">
        <v>10</v>
      </c>
      <c r="AE23" s="64" t="s">
        <v>10</v>
      </c>
      <c r="AF23" s="64" t="s">
        <v>10</v>
      </c>
      <c r="AG23" s="3">
        <v>2</v>
      </c>
      <c r="AH23" s="18">
        <f>AVERAGE(0.17,0.29,0,0,0.22)</f>
        <v>0.13599999999999998</v>
      </c>
      <c r="AI23" s="18">
        <f>AVERAGE(0.28,0.25,0,0,0.5)</f>
        <v>0.20600000000000002</v>
      </c>
      <c r="AJ23" s="11">
        <f>(2*AI23*AH23)/(AI23+AH23)</f>
        <v>0.16383625730994153</v>
      </c>
      <c r="AK23" s="11">
        <v>0.21</v>
      </c>
      <c r="AL23" s="30"/>
    </row>
    <row r="24" spans="3:38" ht="21.75" x14ac:dyDescent="0.25">
      <c r="C24" s="3">
        <v>18</v>
      </c>
      <c r="D24" s="30"/>
      <c r="E24" s="3">
        <v>3</v>
      </c>
      <c r="F24" s="11">
        <f>AVERAGE(0.21,0,0.27,0,0.29)</f>
        <v>0.154</v>
      </c>
      <c r="G24" s="11">
        <f>AVERAGE(0.53,0,0.47,0,0.19)</f>
        <v>0.23799999999999999</v>
      </c>
      <c r="H24" s="11">
        <f>(2*G24*F24)/(G24+F24)</f>
        <v>0.18699999999999997</v>
      </c>
      <c r="I24" s="11">
        <v>0.24</v>
      </c>
      <c r="J24" s="30"/>
      <c r="K24" s="1"/>
      <c r="L24" s="1"/>
      <c r="M24" s="3">
        <v>18</v>
      </c>
      <c r="N24" s="34"/>
      <c r="O24" s="63"/>
      <c r="P24" s="63" t="s">
        <v>10</v>
      </c>
      <c r="Q24" s="63" t="s">
        <v>10</v>
      </c>
      <c r="R24" s="63"/>
      <c r="S24" s="3">
        <v>3</v>
      </c>
      <c r="T24" s="19">
        <f>AVERAGE(0,0.78,0.44,0,0.29)</f>
        <v>0.30199999999999999</v>
      </c>
      <c r="U24" s="19">
        <f>AVERAGE(0,1,0.75,0,0.5)</f>
        <v>0.45</v>
      </c>
      <c r="V24" s="14">
        <f>(2*U24*T24)/(U24+T24)</f>
        <v>0.36143617021276592</v>
      </c>
      <c r="W24" s="14">
        <v>0.45</v>
      </c>
      <c r="X24" s="38"/>
      <c r="Y24" s="1"/>
      <c r="Z24" s="1"/>
      <c r="AA24" s="3">
        <v>18</v>
      </c>
      <c r="AB24" s="34"/>
      <c r="AC24" s="64"/>
      <c r="AD24" s="64" t="s">
        <v>10</v>
      </c>
      <c r="AE24" s="64" t="s">
        <v>10</v>
      </c>
      <c r="AF24" s="64" t="s">
        <v>10</v>
      </c>
      <c r="AG24" s="3">
        <v>3</v>
      </c>
      <c r="AH24" s="18">
        <f>AVERAGE(0.26,0.43,0,0.08,0.28)</f>
        <v>0.20999999999999996</v>
      </c>
      <c r="AI24" s="18">
        <f>AVERAGE(0.41,0.38,0,0.06,0.5)</f>
        <v>0.27</v>
      </c>
      <c r="AJ24" s="11">
        <f>(2*AI24*AH24)/(AI24+AH24)</f>
        <v>0.23624999999999999</v>
      </c>
      <c r="AK24" s="11">
        <v>0.27</v>
      </c>
      <c r="AL24" s="30"/>
    </row>
    <row r="25" spans="3:38" ht="21.75" x14ac:dyDescent="0.25">
      <c r="C25" s="3">
        <v>19</v>
      </c>
      <c r="D25" s="30"/>
      <c r="E25" s="3">
        <v>4</v>
      </c>
      <c r="F25" s="11">
        <f>AVERAGE(0.18,0.45,0.34,0.08,0.31)</f>
        <v>0.27200000000000002</v>
      </c>
      <c r="G25" s="11">
        <f>AVERAGE(0.28,0.44,0.44,0.06,0.12)</f>
        <v>0.26799999999999996</v>
      </c>
      <c r="H25" s="11">
        <f>(2*G25*F25)/(G25+F25)</f>
        <v>0.26998518518518511</v>
      </c>
      <c r="I25" s="11">
        <v>0.27</v>
      </c>
      <c r="J25" s="30"/>
      <c r="K25" s="1"/>
      <c r="L25" s="1"/>
      <c r="M25" s="3">
        <v>19</v>
      </c>
      <c r="N25" s="34"/>
      <c r="O25" s="63"/>
      <c r="P25" s="63" t="s">
        <v>10</v>
      </c>
      <c r="Q25" s="63" t="s">
        <v>10</v>
      </c>
      <c r="R25" s="63"/>
      <c r="S25" s="3">
        <v>4</v>
      </c>
      <c r="T25" s="19">
        <f>AVERAGE(0,0.8,0.43,0,0.29)</f>
        <v>0.30399999999999999</v>
      </c>
      <c r="U25" s="19">
        <f>AVERAGE(0,1,0.75,0,0.5)</f>
        <v>0.45</v>
      </c>
      <c r="V25" s="14">
        <f>(2*U25*T25)/(U25+T25)</f>
        <v>0.36286472148541116</v>
      </c>
      <c r="W25" s="14">
        <v>0.45</v>
      </c>
      <c r="X25" s="38"/>
      <c r="Y25" s="1"/>
      <c r="Z25" s="1"/>
      <c r="AA25" s="3">
        <v>19</v>
      </c>
      <c r="AB25" s="34"/>
      <c r="AC25" s="64"/>
      <c r="AD25" s="64" t="s">
        <v>10</v>
      </c>
      <c r="AE25" s="64" t="s">
        <v>10</v>
      </c>
      <c r="AF25" s="64" t="s">
        <v>10</v>
      </c>
      <c r="AG25" s="3">
        <v>4</v>
      </c>
      <c r="AH25" s="18">
        <f>AVERAGE(0.34,0.38,0,0.2,0.28)</f>
        <v>0.24</v>
      </c>
      <c r="AI25" s="18">
        <f>AVERAGE(0.47,0.38,0,0.31,0.25)</f>
        <v>0.28199999999999997</v>
      </c>
      <c r="AJ25" s="11">
        <f>(2*AI25*AH25)/(AI25+AH25)</f>
        <v>0.25931034482758614</v>
      </c>
      <c r="AK25" s="11">
        <v>0.28000000000000003</v>
      </c>
      <c r="AL25" s="30"/>
    </row>
    <row r="26" spans="3:38" ht="21.75" x14ac:dyDescent="0.25">
      <c r="C26" s="3">
        <v>20</v>
      </c>
      <c r="D26" s="30"/>
      <c r="E26" s="3">
        <v>5</v>
      </c>
      <c r="F26" s="11">
        <f>AVERAGE(0.16,0.25,0.28,0.14,0.33)</f>
        <v>0.23200000000000004</v>
      </c>
      <c r="G26" s="11">
        <f>AVERAGE(0.12,0.44,0.31,0.16,0.09)</f>
        <v>0.22400000000000003</v>
      </c>
      <c r="H26" s="11">
        <f>(2*G26*F26)/(G26+F26)</f>
        <v>0.22792982456140354</v>
      </c>
      <c r="I26" s="11">
        <v>0.23</v>
      </c>
      <c r="J26" s="30"/>
      <c r="K26" s="1"/>
      <c r="L26" s="1"/>
      <c r="M26" s="3">
        <v>20</v>
      </c>
      <c r="N26" s="34"/>
      <c r="O26" s="63"/>
      <c r="P26" s="63" t="s">
        <v>10</v>
      </c>
      <c r="Q26" s="63" t="s">
        <v>10</v>
      </c>
      <c r="R26" s="63"/>
      <c r="S26" s="3">
        <v>5</v>
      </c>
      <c r="T26" s="19">
        <f>AVERAGE(0,0.8,0.43,0.5,0.4)</f>
        <v>0.42599999999999999</v>
      </c>
      <c r="U26" s="19">
        <f>AVERAGE(0,1,0.75,0.25,0.5)</f>
        <v>0.5</v>
      </c>
      <c r="V26" s="14">
        <f>(2*U26*T26)/(U26+T26)</f>
        <v>0.4600431965442765</v>
      </c>
      <c r="W26" s="14">
        <v>0.5</v>
      </c>
      <c r="X26" s="38"/>
      <c r="Y26" s="1"/>
      <c r="Z26" s="1"/>
      <c r="AA26" s="3">
        <v>20</v>
      </c>
      <c r="AB26" s="34"/>
      <c r="AC26" s="64"/>
      <c r="AD26" s="64" t="s">
        <v>10</v>
      </c>
      <c r="AE26" s="64" t="s">
        <v>10</v>
      </c>
      <c r="AF26" s="64" t="s">
        <v>10</v>
      </c>
      <c r="AG26" s="3">
        <v>5</v>
      </c>
      <c r="AH26" s="18">
        <f>AVERAGE(0.28,0.38,0,0.15,0.3)</f>
        <v>0.22200000000000003</v>
      </c>
      <c r="AI26" s="18">
        <f>AVERAGE(0.34,0.38,0,0.28,0.22)</f>
        <v>0.24399999999999999</v>
      </c>
      <c r="AJ26" s="11">
        <f>(2*AI26*AH26)/(AI26+AH26)</f>
        <v>0.23248068669527899</v>
      </c>
      <c r="AK26" s="11">
        <v>0.24</v>
      </c>
      <c r="AL26" s="30"/>
    </row>
    <row r="27" spans="3:38" ht="21.75" x14ac:dyDescent="0.6">
      <c r="C27" s="1"/>
      <c r="D27" s="1"/>
      <c r="E27" s="1"/>
      <c r="F27" s="1"/>
      <c r="G27" s="1"/>
      <c r="H27" s="1"/>
      <c r="I27" s="1"/>
      <c r="J27" s="13"/>
      <c r="K27" s="1"/>
      <c r="L27" s="1"/>
      <c r="M27" s="3">
        <v>21</v>
      </c>
      <c r="N27" s="34"/>
      <c r="O27" s="64"/>
      <c r="P27" s="64" t="s">
        <v>10</v>
      </c>
      <c r="Q27" s="64"/>
      <c r="R27" s="64" t="s">
        <v>10</v>
      </c>
      <c r="S27" s="3">
        <v>1</v>
      </c>
      <c r="T27" s="18">
        <f>AVERAGE(0.38,0.5,0.33,0.1,0.23)</f>
        <v>0.308</v>
      </c>
      <c r="U27" s="18">
        <f>AVERAGE(0.19,0.38,0.25,0.03,0.62)</f>
        <v>0.29400000000000004</v>
      </c>
      <c r="V27" s="11">
        <f>(2*U27*T27)/(U27+T27)</f>
        <v>0.30083720930232555</v>
      </c>
      <c r="W27" s="11">
        <v>0.28999999999999998</v>
      </c>
      <c r="X27" s="30">
        <f>MAX(W27:W31)</f>
        <v>0.3</v>
      </c>
      <c r="Y27" s="1"/>
      <c r="Z27" s="1"/>
      <c r="AA27" s="3">
        <v>21</v>
      </c>
      <c r="AB27" s="34" t="s">
        <v>20</v>
      </c>
      <c r="AC27" s="65" t="s">
        <v>10</v>
      </c>
      <c r="AD27" s="65" t="s">
        <v>10</v>
      </c>
      <c r="AE27" s="65" t="s">
        <v>10</v>
      </c>
      <c r="AF27" s="65" t="s">
        <v>10</v>
      </c>
      <c r="AG27" s="3">
        <v>1</v>
      </c>
      <c r="AH27" s="21">
        <f>AVERAGE(0.28,0.33,0,1,0.26)</f>
        <v>0.374</v>
      </c>
      <c r="AI27" s="21">
        <f>AVERAGE(0.47,0.25,0,0.12,0.62)</f>
        <v>0.29199999999999998</v>
      </c>
      <c r="AJ27" s="5">
        <f>(2*AI27*AH27)/(AI27+AH27)</f>
        <v>0.32795195195195198</v>
      </c>
      <c r="AK27" s="22">
        <v>0.28999999999999998</v>
      </c>
      <c r="AL27" s="26">
        <f>MAX(AK27:AK31)</f>
        <v>0.33</v>
      </c>
    </row>
    <row r="28" spans="3:38" ht="21.75" x14ac:dyDescent="0.6">
      <c r="C28" s="1"/>
      <c r="D28" s="1"/>
      <c r="E28" s="1"/>
      <c r="F28" s="1"/>
      <c r="G28" s="1"/>
      <c r="H28" s="1"/>
      <c r="I28" s="1"/>
      <c r="J28" s="13"/>
      <c r="K28" s="1"/>
      <c r="L28" s="1"/>
      <c r="M28" s="3">
        <v>22</v>
      </c>
      <c r="N28" s="34"/>
      <c r="O28" s="64"/>
      <c r="P28" s="64" t="s">
        <v>10</v>
      </c>
      <c r="Q28" s="64"/>
      <c r="R28" s="64" t="s">
        <v>10</v>
      </c>
      <c r="S28" s="3">
        <v>2</v>
      </c>
      <c r="T28" s="18">
        <f>AVERAGE(0.2,0,0,0.2,0.24)</f>
        <v>0.128</v>
      </c>
      <c r="U28" s="18">
        <f>AVERAGE(0.41,0,0,0.09,0.47)</f>
        <v>0.19400000000000001</v>
      </c>
      <c r="V28" s="11">
        <f>(2*U28*T28)/(U28+T28)</f>
        <v>0.15423602484472049</v>
      </c>
      <c r="W28" s="11">
        <v>0.19</v>
      </c>
      <c r="X28" s="30"/>
      <c r="Y28" s="1"/>
      <c r="Z28" s="1"/>
      <c r="AA28" s="3">
        <v>22</v>
      </c>
      <c r="AB28" s="34"/>
      <c r="AC28" s="65" t="s">
        <v>10</v>
      </c>
      <c r="AD28" s="65" t="s">
        <v>10</v>
      </c>
      <c r="AE28" s="65" t="s">
        <v>10</v>
      </c>
      <c r="AF28" s="65" t="s">
        <v>10</v>
      </c>
      <c r="AG28" s="3">
        <v>2</v>
      </c>
      <c r="AH28" s="20">
        <f>AVERAGE(0.22,0.33,0,0,0.24)</f>
        <v>0.158</v>
      </c>
      <c r="AI28" s="20">
        <f>AVERAGE(0.41,0.25,0,0,0.5)</f>
        <v>0.23199999999999998</v>
      </c>
      <c r="AJ28" s="5">
        <f>(2*AI28*AH28)/(AI28+AH28)</f>
        <v>0.18797948717948718</v>
      </c>
      <c r="AK28" s="5">
        <v>0.23</v>
      </c>
      <c r="AL28" s="26"/>
    </row>
    <row r="29" spans="3:38" ht="21.75" x14ac:dyDescent="0.6">
      <c r="C29" s="1"/>
      <c r="D29" s="1"/>
      <c r="E29" s="1"/>
      <c r="F29" s="1"/>
      <c r="G29" s="1"/>
      <c r="H29" s="1"/>
      <c r="I29" s="1"/>
      <c r="J29" s="13"/>
      <c r="K29" s="1"/>
      <c r="L29" s="1"/>
      <c r="M29" s="3">
        <v>23</v>
      </c>
      <c r="N29" s="34"/>
      <c r="O29" s="64"/>
      <c r="P29" s="64" t="s">
        <v>10</v>
      </c>
      <c r="Q29" s="64"/>
      <c r="R29" s="64" t="s">
        <v>10</v>
      </c>
      <c r="S29" s="3">
        <v>3</v>
      </c>
      <c r="T29" s="18">
        <f>AVERAGE(0.26,0.29,0,0.14,0.26)</f>
        <v>0.19</v>
      </c>
      <c r="U29" s="18">
        <f>AVERAGE(0.41,0.25,0,0.09,0.5)</f>
        <v>0.25</v>
      </c>
      <c r="V29" s="11">
        <f>(2*U29*T29)/(U29+T29)</f>
        <v>0.21590909090909091</v>
      </c>
      <c r="W29" s="11">
        <v>0.25</v>
      </c>
      <c r="X29" s="30"/>
      <c r="Y29" s="1"/>
      <c r="Z29" s="1"/>
      <c r="AA29" s="3">
        <v>23</v>
      </c>
      <c r="AB29" s="34"/>
      <c r="AC29" s="65" t="s">
        <v>10</v>
      </c>
      <c r="AD29" s="65" t="s">
        <v>10</v>
      </c>
      <c r="AE29" s="65" t="s">
        <v>10</v>
      </c>
      <c r="AF29" s="65" t="s">
        <v>10</v>
      </c>
      <c r="AG29" s="3">
        <v>3</v>
      </c>
      <c r="AH29" s="20">
        <f>AVERAGE(0.28,0.38,0,0.19,0.32)</f>
        <v>0.23400000000000004</v>
      </c>
      <c r="AI29" s="20">
        <f>AVERAGE(0.41,0.38,0,0.19,0.5)</f>
        <v>0.29599999999999999</v>
      </c>
      <c r="AJ29" s="5">
        <f>(2*AI29*AH29)/(AI29+AH29)</f>
        <v>0.26137358490566037</v>
      </c>
      <c r="AK29" s="5">
        <v>0.28999999999999998</v>
      </c>
      <c r="AL29" s="26"/>
    </row>
    <row r="30" spans="3:38" ht="21.7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3">
        <v>24</v>
      </c>
      <c r="N30" s="34"/>
      <c r="O30" s="64"/>
      <c r="P30" s="64" t="s">
        <v>10</v>
      </c>
      <c r="Q30" s="64"/>
      <c r="R30" s="64" t="s">
        <v>10</v>
      </c>
      <c r="S30" s="3">
        <v>4</v>
      </c>
      <c r="T30" s="18">
        <f>AVERAGE(0.33,0.33,0,0.19,0.38)</f>
        <v>0.246</v>
      </c>
      <c r="U30" s="18">
        <f>AVERAGE(0.47,0.38,0,0.28,0.38)</f>
        <v>0.30199999999999994</v>
      </c>
      <c r="V30" s="11">
        <f>(2*U30*T30)/(U30+T30)</f>
        <v>0.27113868613138681</v>
      </c>
      <c r="W30" s="11">
        <v>0.3</v>
      </c>
      <c r="X30" s="30"/>
      <c r="Y30" s="1"/>
      <c r="Z30" s="1"/>
      <c r="AA30" s="3">
        <v>24</v>
      </c>
      <c r="AB30" s="34"/>
      <c r="AC30" s="65" t="s">
        <v>10</v>
      </c>
      <c r="AD30" s="65" t="s">
        <v>10</v>
      </c>
      <c r="AE30" s="65" t="s">
        <v>10</v>
      </c>
      <c r="AF30" s="65" t="s">
        <v>10</v>
      </c>
      <c r="AG30" s="3">
        <v>4</v>
      </c>
      <c r="AH30" s="20">
        <f>AVERAGE(0.33,0.33,0,0.18,0.3)</f>
        <v>0.22800000000000004</v>
      </c>
      <c r="AI30" s="20">
        <f>AVERAGE(0.48,0.38,0,0.28,0.25)</f>
        <v>0.27800000000000002</v>
      </c>
      <c r="AJ30" s="5">
        <f>(2*AI30*AH30)/(AI30+AH30)</f>
        <v>0.25052964426877472</v>
      </c>
      <c r="AK30" s="5">
        <v>0.28000000000000003</v>
      </c>
      <c r="AL30" s="26"/>
    </row>
    <row r="31" spans="3:38" ht="21.75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3">
        <v>25</v>
      </c>
      <c r="N31" s="34"/>
      <c r="O31" s="64"/>
      <c r="P31" s="64" t="s">
        <v>10</v>
      </c>
      <c r="Q31" s="64"/>
      <c r="R31" s="64" t="s">
        <v>10</v>
      </c>
      <c r="S31" s="3">
        <v>5</v>
      </c>
      <c r="T31" s="18">
        <f>AVERAGE(0.38,0.33,0,0.19,0.39)</f>
        <v>0.25800000000000001</v>
      </c>
      <c r="U31" s="18">
        <f>AVERAGE(0.47,0.38,0,0.31,0.34)</f>
        <v>0.3</v>
      </c>
      <c r="V31" s="11">
        <f>(2*U31*T31)/(U31+T31)</f>
        <v>0.27741935483870966</v>
      </c>
      <c r="W31" s="11">
        <v>0.3</v>
      </c>
      <c r="X31" s="30"/>
      <c r="Y31" s="1"/>
      <c r="Z31" s="1"/>
      <c r="AA31" s="3">
        <v>25</v>
      </c>
      <c r="AB31" s="34"/>
      <c r="AC31" s="65" t="s">
        <v>10</v>
      </c>
      <c r="AD31" s="65" t="s">
        <v>10</v>
      </c>
      <c r="AE31" s="65" t="s">
        <v>10</v>
      </c>
      <c r="AF31" s="65" t="s">
        <v>10</v>
      </c>
      <c r="AG31" s="3">
        <v>5</v>
      </c>
      <c r="AH31" s="20">
        <f>AVERAGE(0.36,0.43,1,0.14,0.55)</f>
        <v>0.49600000000000011</v>
      </c>
      <c r="AI31" s="20">
        <f>AVERAGE(0.47,0.38,0.12,0.28,0.38)</f>
        <v>0.32599999999999996</v>
      </c>
      <c r="AJ31" s="5">
        <f>(2*AI31*AH31)/(AI31+AH31)</f>
        <v>0.39342092457420924</v>
      </c>
      <c r="AK31" s="5">
        <v>0.33</v>
      </c>
      <c r="AL31" s="26"/>
    </row>
    <row r="32" spans="3:38" ht="21.7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3">
        <v>26</v>
      </c>
      <c r="N32" s="34"/>
      <c r="O32" s="65"/>
      <c r="P32" s="65"/>
      <c r="Q32" s="65" t="s">
        <v>10</v>
      </c>
      <c r="R32" s="65" t="s">
        <v>10</v>
      </c>
      <c r="S32" s="3">
        <v>1</v>
      </c>
      <c r="T32" s="20">
        <f>AVERAGE(0.12,0.46,0.21,0.08,0.23)</f>
        <v>0.22000000000000003</v>
      </c>
      <c r="U32" s="20">
        <f>AVERAGE(0.06,0.38,0.12,0.03,0.62)</f>
        <v>0.24199999999999999</v>
      </c>
      <c r="V32" s="5">
        <f>(2*U32*T32)/(U32+T32)</f>
        <v>0.23047619047619047</v>
      </c>
      <c r="W32" s="5">
        <v>0.24</v>
      </c>
      <c r="X32" s="26">
        <f>MAX(W32:W36)</f>
        <v>0.28000000000000003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3:38" ht="21.7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3">
        <v>27</v>
      </c>
      <c r="N33" s="34"/>
      <c r="O33" s="65"/>
      <c r="P33" s="65"/>
      <c r="Q33" s="65" t="s">
        <v>10</v>
      </c>
      <c r="R33" s="65" t="s">
        <v>10</v>
      </c>
      <c r="S33" s="3">
        <v>2</v>
      </c>
      <c r="T33" s="20">
        <f>AVERAGE(0.3,0.31,0,0.15,0.26)</f>
        <v>0.20400000000000001</v>
      </c>
      <c r="U33" s="20">
        <f>AVERAGE(0.34,0.25,0,0.09,0.47)</f>
        <v>0.22999999999999998</v>
      </c>
      <c r="V33" s="5">
        <f>(2*U33*T33)/(U33+T33)</f>
        <v>0.216221198156682</v>
      </c>
      <c r="W33" s="5">
        <v>0.23</v>
      </c>
      <c r="X33" s="2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3:38" ht="21.75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3">
        <v>28</v>
      </c>
      <c r="N34" s="34"/>
      <c r="O34" s="65"/>
      <c r="P34" s="65"/>
      <c r="Q34" s="65" t="s">
        <v>10</v>
      </c>
      <c r="R34" s="65" t="s">
        <v>10</v>
      </c>
      <c r="S34" s="3">
        <v>3</v>
      </c>
      <c r="T34" s="20">
        <f>AVERAGE(0.26,0.43,0,0.09,0.34)</f>
        <v>0.22399999999999998</v>
      </c>
      <c r="U34" s="20">
        <f>AVERAGE(0.41,0.38,0,0.09,0.5)</f>
        <v>0.27599999999999997</v>
      </c>
      <c r="V34" s="5">
        <f>(2*U34*T34)/(U34+T34)</f>
        <v>0.24729599999999996</v>
      </c>
      <c r="W34" s="5">
        <v>0.28000000000000003</v>
      </c>
      <c r="X34" s="26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3:38" ht="21.75" x14ac:dyDescent="0.6">
      <c r="C35" s="1"/>
      <c r="D35" s="1"/>
      <c r="E35" s="1"/>
      <c r="F35" s="1"/>
      <c r="G35" s="1"/>
      <c r="H35" s="1"/>
      <c r="I35" s="1"/>
      <c r="J35" s="1"/>
      <c r="K35" s="1"/>
      <c r="L35" s="1"/>
      <c r="M35" s="3">
        <v>29</v>
      </c>
      <c r="N35" s="34"/>
      <c r="O35" s="65"/>
      <c r="P35" s="65"/>
      <c r="Q35" s="65" t="s">
        <v>10</v>
      </c>
      <c r="R35" s="65" t="s">
        <v>10</v>
      </c>
      <c r="S35" s="3">
        <v>4</v>
      </c>
      <c r="T35" s="20">
        <f>AVERAGE(0.23,0.38,0,0.18,0.33)</f>
        <v>0.22400000000000003</v>
      </c>
      <c r="U35" s="20">
        <f>AVERAGE(0.31,0.38,0,0.34,0.25)</f>
        <v>0.25600000000000001</v>
      </c>
      <c r="V35" s="5">
        <f>(2*U35*T35)/(U35+T35)</f>
        <v>0.23893333333333333</v>
      </c>
      <c r="W35" s="5">
        <v>0.26</v>
      </c>
      <c r="X35" s="26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</row>
    <row r="36" spans="3:38" ht="21.75" x14ac:dyDescent="0.6">
      <c r="C36" s="1"/>
      <c r="D36" s="1"/>
      <c r="E36" s="1"/>
      <c r="F36" s="1"/>
      <c r="G36" s="1"/>
      <c r="H36" s="1"/>
      <c r="I36" s="1"/>
      <c r="J36" s="1"/>
      <c r="K36" s="1"/>
      <c r="L36" s="1"/>
      <c r="M36" s="3">
        <v>30</v>
      </c>
      <c r="N36" s="34"/>
      <c r="O36" s="4"/>
      <c r="P36" s="4"/>
      <c r="Q36" s="4" t="s">
        <v>10</v>
      </c>
      <c r="R36" s="4" t="s">
        <v>10</v>
      </c>
      <c r="S36" s="3">
        <v>5</v>
      </c>
      <c r="T36" s="20">
        <f>AVERAGE(0.28,0.38,1,0.17,0.26)</f>
        <v>0.41799999999999998</v>
      </c>
      <c r="U36" s="20">
        <f>AVERAGE(0.34,0.38,0.03,0.34,0.19)</f>
        <v>0.25600000000000001</v>
      </c>
      <c r="V36" s="5">
        <f>(2*U36*T36)/(U36+T36)</f>
        <v>0.31753115727002967</v>
      </c>
      <c r="W36" s="5">
        <v>0.26</v>
      </c>
      <c r="X36" s="26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</row>
    <row r="37" spans="3:38" ht="21.75" x14ac:dyDescent="0.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48"/>
      <c r="AI37" s="1"/>
      <c r="AJ37" s="1"/>
      <c r="AK37" s="1"/>
      <c r="AL37" s="1"/>
    </row>
    <row r="38" spans="3:38" ht="21.75" x14ac:dyDescent="0.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48"/>
      <c r="AI38" s="1"/>
      <c r="AJ38" s="1"/>
      <c r="AK38" s="1"/>
      <c r="AL38" s="1"/>
    </row>
    <row r="39" spans="3:38" ht="21.75" x14ac:dyDescent="0.25">
      <c r="C39" s="36" t="s">
        <v>31</v>
      </c>
      <c r="D39" s="36"/>
      <c r="E39" s="36"/>
      <c r="F39" s="36"/>
      <c r="G39" s="36"/>
      <c r="H39" s="36"/>
      <c r="I39" s="36"/>
      <c r="J39" s="36"/>
      <c r="K39" s="1"/>
      <c r="L39" s="1"/>
      <c r="M39" s="27" t="s">
        <v>31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1"/>
      <c r="Z39" s="1"/>
      <c r="AA39" s="27" t="s">
        <v>31</v>
      </c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3:38" ht="21.75" x14ac:dyDescent="0.25">
      <c r="C40" s="36"/>
      <c r="D40" s="36"/>
      <c r="E40" s="36"/>
      <c r="F40" s="36"/>
      <c r="G40" s="36"/>
      <c r="H40" s="36"/>
      <c r="I40" s="36"/>
      <c r="J40" s="36"/>
      <c r="K40" s="1"/>
      <c r="L40" s="1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1"/>
      <c r="Z40" s="1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3:38" ht="21.75" x14ac:dyDescent="0.25">
      <c r="C41" s="31" t="s">
        <v>5</v>
      </c>
      <c r="D41" s="31" t="s">
        <v>18</v>
      </c>
      <c r="E41" s="31" t="s">
        <v>4</v>
      </c>
      <c r="F41" s="37" t="s">
        <v>22</v>
      </c>
      <c r="G41" s="37" t="s">
        <v>23</v>
      </c>
      <c r="H41" s="37" t="s">
        <v>24</v>
      </c>
      <c r="I41" s="31" t="s">
        <v>14</v>
      </c>
      <c r="J41" s="31" t="s">
        <v>13</v>
      </c>
      <c r="K41" s="1"/>
      <c r="L41" s="1"/>
      <c r="M41" s="31" t="s">
        <v>5</v>
      </c>
      <c r="N41" s="31" t="s">
        <v>18</v>
      </c>
      <c r="O41" s="31" t="s">
        <v>6</v>
      </c>
      <c r="P41" s="31"/>
      <c r="Q41" s="31"/>
      <c r="R41" s="31"/>
      <c r="S41" s="31" t="s">
        <v>4</v>
      </c>
      <c r="T41" s="37" t="s">
        <v>22</v>
      </c>
      <c r="U41" s="37" t="s">
        <v>23</v>
      </c>
      <c r="V41" s="37" t="s">
        <v>24</v>
      </c>
      <c r="W41" s="31" t="s">
        <v>14</v>
      </c>
      <c r="X41" s="31" t="s">
        <v>13</v>
      </c>
      <c r="Y41" s="1"/>
      <c r="Z41" s="1"/>
      <c r="AA41" s="31" t="s">
        <v>5</v>
      </c>
      <c r="AB41" s="31" t="s">
        <v>18</v>
      </c>
      <c r="AC41" s="31" t="s">
        <v>6</v>
      </c>
      <c r="AD41" s="31"/>
      <c r="AE41" s="31"/>
      <c r="AF41" s="31"/>
      <c r="AG41" s="31" t="s">
        <v>4</v>
      </c>
      <c r="AH41" s="37" t="s">
        <v>22</v>
      </c>
      <c r="AI41" s="37" t="s">
        <v>23</v>
      </c>
      <c r="AJ41" s="37" t="s">
        <v>24</v>
      </c>
      <c r="AK41" s="31" t="s">
        <v>14</v>
      </c>
      <c r="AL41" s="31" t="s">
        <v>13</v>
      </c>
    </row>
    <row r="42" spans="3:38" ht="21.75" x14ac:dyDescent="0.25">
      <c r="C42" s="31"/>
      <c r="D42" s="31"/>
      <c r="E42" s="31"/>
      <c r="F42" s="37"/>
      <c r="G42" s="37"/>
      <c r="H42" s="37"/>
      <c r="I42" s="31"/>
      <c r="J42" s="31"/>
      <c r="K42" s="1"/>
      <c r="L42" s="1"/>
      <c r="M42" s="31"/>
      <c r="N42" s="31"/>
      <c r="O42" s="2" t="s">
        <v>0</v>
      </c>
      <c r="P42" s="2" t="s">
        <v>1</v>
      </c>
      <c r="Q42" s="2" t="s">
        <v>2</v>
      </c>
      <c r="R42" s="2" t="s">
        <v>3</v>
      </c>
      <c r="S42" s="31"/>
      <c r="T42" s="37"/>
      <c r="U42" s="37"/>
      <c r="V42" s="37"/>
      <c r="W42" s="31"/>
      <c r="X42" s="31"/>
      <c r="Y42" s="1"/>
      <c r="Z42" s="1"/>
      <c r="AA42" s="31"/>
      <c r="AB42" s="31"/>
      <c r="AC42" s="2" t="s">
        <v>0</v>
      </c>
      <c r="AD42" s="2" t="s">
        <v>1</v>
      </c>
      <c r="AE42" s="2" t="s">
        <v>2</v>
      </c>
      <c r="AF42" s="2" t="s">
        <v>3</v>
      </c>
      <c r="AG42" s="31"/>
      <c r="AH42" s="37"/>
      <c r="AI42" s="37"/>
      <c r="AJ42" s="37"/>
      <c r="AK42" s="31"/>
      <c r="AL42" s="31"/>
    </row>
    <row r="43" spans="3:38" ht="21.75" x14ac:dyDescent="0.25">
      <c r="C43" s="3">
        <v>1</v>
      </c>
      <c r="D43" s="33" t="s">
        <v>0</v>
      </c>
      <c r="E43" s="3">
        <v>1</v>
      </c>
      <c r="F43" s="7">
        <f>AVERAGE(0,1,0.5,0,0.18)</f>
        <v>0.33599999999999997</v>
      </c>
      <c r="G43" s="7">
        <f>AVERAGE(0,0.25,0.5,0,0.5)</f>
        <v>0.25</v>
      </c>
      <c r="H43" s="7">
        <f>(2*G43*F43)/(G43+F43)</f>
        <v>0.28668941979522183</v>
      </c>
      <c r="I43" s="7">
        <v>0.25</v>
      </c>
      <c r="J43" s="32">
        <f>MAX(H43:I47)</f>
        <v>0.45</v>
      </c>
      <c r="K43" s="1"/>
      <c r="L43" s="1"/>
      <c r="M43" s="3">
        <v>1</v>
      </c>
      <c r="N43" s="34" t="s">
        <v>21</v>
      </c>
      <c r="O43" s="60" t="s">
        <v>10</v>
      </c>
      <c r="P43" s="60" t="s">
        <v>10</v>
      </c>
      <c r="Q43" s="60"/>
      <c r="R43" s="60"/>
      <c r="S43" s="3">
        <v>1</v>
      </c>
      <c r="T43" s="7">
        <f>AVERAGE(0.67,0,0.38,0.6,0.75)</f>
        <v>0.48</v>
      </c>
      <c r="U43" s="7">
        <f>AVERAGE(0.5,0,0.75,0.75,0.75)</f>
        <v>0.55000000000000004</v>
      </c>
      <c r="V43" s="7">
        <f>(2*U43*T43)/(U43+T43)</f>
        <v>0.51262135922330099</v>
      </c>
      <c r="W43" s="7">
        <v>0.55000000000000004</v>
      </c>
      <c r="X43" s="32">
        <f>MAX(W43:W47)</f>
        <v>0.6</v>
      </c>
      <c r="Y43" s="1"/>
      <c r="Z43" s="1"/>
      <c r="AA43" s="3">
        <v>1</v>
      </c>
      <c r="AB43" s="34" t="s">
        <v>19</v>
      </c>
      <c r="AC43" s="60" t="s">
        <v>10</v>
      </c>
      <c r="AD43" s="60" t="s">
        <v>10</v>
      </c>
      <c r="AE43" s="60" t="s">
        <v>10</v>
      </c>
      <c r="AF43" s="60"/>
      <c r="AG43" s="3">
        <v>1</v>
      </c>
      <c r="AH43" s="7">
        <f>AVERAGE(1,0,0.43,0.5,0.75)</f>
        <v>0.53599999999999992</v>
      </c>
      <c r="AI43" s="7">
        <f>AVERAGE(0.25,0,0.75,0.75,0.75)</f>
        <v>0.5</v>
      </c>
      <c r="AJ43" s="7">
        <f>(2*AI43*AH43)/(AI43+AH43)</f>
        <v>0.51737451737451723</v>
      </c>
      <c r="AK43" s="7">
        <v>0.5</v>
      </c>
      <c r="AL43" s="32">
        <f>MAX(AK43:AK47)</f>
        <v>0.5</v>
      </c>
    </row>
    <row r="44" spans="3:38" ht="21.75" x14ac:dyDescent="0.25">
      <c r="C44" s="3">
        <v>2</v>
      </c>
      <c r="D44" s="33"/>
      <c r="E44" s="3">
        <v>2</v>
      </c>
      <c r="F44" s="7">
        <f>AVERAGE(0.5,0,0.67,0,0.27)</f>
        <v>0.28799999999999998</v>
      </c>
      <c r="G44" s="7">
        <f>AVERAGE(0.25,0,0.5,0,0.75)</f>
        <v>0.3</v>
      </c>
      <c r="H44" s="7">
        <f>(2*G44*F44)/(G44+F44)</f>
        <v>0.29387755102040813</v>
      </c>
      <c r="I44" s="7">
        <v>0.3</v>
      </c>
      <c r="J44" s="32"/>
      <c r="K44" s="1"/>
      <c r="L44" s="1"/>
      <c r="M44" s="3">
        <v>2</v>
      </c>
      <c r="N44" s="34"/>
      <c r="O44" s="60" t="s">
        <v>10</v>
      </c>
      <c r="P44" s="60" t="s">
        <v>10</v>
      </c>
      <c r="Q44" s="60"/>
      <c r="R44" s="60"/>
      <c r="S44" s="3">
        <v>2</v>
      </c>
      <c r="T44" s="7">
        <f>AVERAGE(1,0,0.75,0.33,0.5)</f>
        <v>0.51600000000000001</v>
      </c>
      <c r="U44" s="7">
        <f>AVERAGE(0.25,0,0.75,0.75,0.75)</f>
        <v>0.5</v>
      </c>
      <c r="V44" s="7">
        <f>(2*U44*T44)/(U44+T44)</f>
        <v>0.50787401574803148</v>
      </c>
      <c r="W44" s="7">
        <v>0.5</v>
      </c>
      <c r="X44" s="32"/>
      <c r="Y44" s="1"/>
      <c r="Z44" s="1"/>
      <c r="AA44" s="3">
        <v>2</v>
      </c>
      <c r="AB44" s="34"/>
      <c r="AC44" s="60" t="s">
        <v>10</v>
      </c>
      <c r="AD44" s="60" t="s">
        <v>10</v>
      </c>
      <c r="AE44" s="60" t="s">
        <v>10</v>
      </c>
      <c r="AF44" s="60"/>
      <c r="AG44" s="3">
        <v>2</v>
      </c>
      <c r="AH44" s="7">
        <f>AVERAGE(0,0,0.75,0.33,0.6)</f>
        <v>0.33600000000000002</v>
      </c>
      <c r="AI44" s="7">
        <f>AVERAGE(0,0,0.75,0.75,0.75)</f>
        <v>0.45</v>
      </c>
      <c r="AJ44" s="7">
        <f>(2*AI44*AH44)/(AI44+AH44)</f>
        <v>0.38473282442748091</v>
      </c>
      <c r="AK44" s="7">
        <v>0.45</v>
      </c>
      <c r="AL44" s="32"/>
    </row>
    <row r="45" spans="3:38" ht="21.75" x14ac:dyDescent="0.25">
      <c r="C45" s="3">
        <v>3</v>
      </c>
      <c r="D45" s="33"/>
      <c r="E45" s="3">
        <v>3</v>
      </c>
      <c r="F45" s="7">
        <f>AVERAGE(1,0,0.3,0.33,0.5)</f>
        <v>0.42599999999999999</v>
      </c>
      <c r="G45" s="7">
        <f>AVERAGE(0.25,0,0.75,0.25,0.75)</f>
        <v>0.4</v>
      </c>
      <c r="H45" s="7">
        <f>(2*G45*F45)/(G45+F45)</f>
        <v>0.41259079903147694</v>
      </c>
      <c r="I45" s="7">
        <v>0.4</v>
      </c>
      <c r="J45" s="32"/>
      <c r="K45" s="1"/>
      <c r="L45" s="1"/>
      <c r="M45" s="3">
        <v>3</v>
      </c>
      <c r="N45" s="34"/>
      <c r="O45" s="60" t="s">
        <v>10</v>
      </c>
      <c r="P45" s="60" t="s">
        <v>10</v>
      </c>
      <c r="Q45" s="60"/>
      <c r="R45" s="60"/>
      <c r="S45" s="3">
        <v>3</v>
      </c>
      <c r="T45" s="7">
        <f>AVERAGE(1,1,0.67,0.43,0.6)</f>
        <v>0.74</v>
      </c>
      <c r="U45" s="7">
        <f>AVERAGE(0.25,0.25,1,0.75,0.75)</f>
        <v>0.6</v>
      </c>
      <c r="V45" s="7">
        <f>(2*U45*T45)/(U45+T45)</f>
        <v>0.66268656716417917</v>
      </c>
      <c r="W45" s="7">
        <v>0.6</v>
      </c>
      <c r="X45" s="32"/>
      <c r="Y45" s="1"/>
      <c r="Z45" s="1"/>
      <c r="AA45" s="3">
        <v>3</v>
      </c>
      <c r="AB45" s="34"/>
      <c r="AC45" s="60" t="s">
        <v>10</v>
      </c>
      <c r="AD45" s="60" t="s">
        <v>10</v>
      </c>
      <c r="AE45" s="60" t="s">
        <v>10</v>
      </c>
      <c r="AF45" s="60"/>
      <c r="AG45" s="3">
        <v>3</v>
      </c>
      <c r="AH45" s="7">
        <f>AVERAGE(0,0,0.6,0.33,0.6)</f>
        <v>0.30599999999999994</v>
      </c>
      <c r="AI45" s="7">
        <f>AVERAGE(0,0,0.75,0.75,0.75)</f>
        <v>0.45</v>
      </c>
      <c r="AJ45" s="7">
        <f>(2*AI45*AH45)/(AI45+AH45)</f>
        <v>0.36428571428571427</v>
      </c>
      <c r="AK45" s="7">
        <v>0.45</v>
      </c>
      <c r="AL45" s="32"/>
    </row>
    <row r="46" spans="3:38" ht="21.75" x14ac:dyDescent="0.25">
      <c r="C46" s="3">
        <v>4</v>
      </c>
      <c r="D46" s="33"/>
      <c r="E46" s="3">
        <v>4</v>
      </c>
      <c r="F46" s="7">
        <f>AVERAGE(0.5,0,0.36,0.5,0.6)</f>
        <v>0.39200000000000002</v>
      </c>
      <c r="G46" s="7">
        <f>AVERAGE(0.25,0,1,0.25,0.75)</f>
        <v>0.45</v>
      </c>
      <c r="H46" s="7">
        <f>(2*G46*F46)/(G46+F46)</f>
        <v>0.41900237529691209</v>
      </c>
      <c r="I46" s="7">
        <v>0.45</v>
      </c>
      <c r="J46" s="32"/>
      <c r="K46" s="1"/>
      <c r="L46" s="1"/>
      <c r="M46" s="3">
        <v>4</v>
      </c>
      <c r="N46" s="34"/>
      <c r="O46" s="60" t="s">
        <v>10</v>
      </c>
      <c r="P46" s="60" t="s">
        <v>10</v>
      </c>
      <c r="Q46" s="60"/>
      <c r="R46" s="60"/>
      <c r="S46" s="3">
        <v>4</v>
      </c>
      <c r="T46" s="7">
        <f>AVERAGE(0,1,0.57,0.38,0.5)</f>
        <v>0.48999999999999994</v>
      </c>
      <c r="U46" s="7">
        <f>AVERAGE(0,0.25,1,0.75,0.5)</f>
        <v>0.5</v>
      </c>
      <c r="V46" s="7">
        <f>(2*U46*T46)/(U46+T46)</f>
        <v>0.49494949494949486</v>
      </c>
      <c r="W46" s="7">
        <v>0.5</v>
      </c>
      <c r="X46" s="32"/>
      <c r="Y46" s="1"/>
      <c r="Z46" s="1"/>
      <c r="AA46" s="3">
        <v>4</v>
      </c>
      <c r="AB46" s="34"/>
      <c r="AC46" s="60" t="s">
        <v>10</v>
      </c>
      <c r="AD46" s="60" t="s">
        <v>10</v>
      </c>
      <c r="AE46" s="60" t="s">
        <v>10</v>
      </c>
      <c r="AF46" s="60"/>
      <c r="AG46" s="3">
        <v>4</v>
      </c>
      <c r="AH46" s="7">
        <f>AVERAGE(0,0,0.5,0.3,0.5)</f>
        <v>0.26</v>
      </c>
      <c r="AI46" s="7">
        <f>AVERAGE(0,0,0.75,0.75,0.5)</f>
        <v>0.4</v>
      </c>
      <c r="AJ46" s="7">
        <f>(2*AI46*AH46)/(AI46+AH46)</f>
        <v>0.31515151515151518</v>
      </c>
      <c r="AK46" s="7">
        <v>0.4</v>
      </c>
      <c r="AL46" s="32"/>
    </row>
    <row r="47" spans="3:38" ht="21.75" x14ac:dyDescent="0.25">
      <c r="C47" s="3">
        <v>5</v>
      </c>
      <c r="D47" s="33"/>
      <c r="E47" s="3">
        <v>5</v>
      </c>
      <c r="F47" s="7">
        <f>AVERAGE(0,0,0.4,0.33,0.5)</f>
        <v>0.246</v>
      </c>
      <c r="G47" s="7">
        <f>AVERAGE(0,0,1,0.25,0.75)</f>
        <v>0.4</v>
      </c>
      <c r="H47" s="7">
        <f>(2*G47*F47)/(G47+F47)</f>
        <v>0.3046439628482972</v>
      </c>
      <c r="I47" s="7">
        <v>0.4</v>
      </c>
      <c r="J47" s="32"/>
      <c r="K47" s="1"/>
      <c r="L47" s="1"/>
      <c r="M47" s="3">
        <v>5</v>
      </c>
      <c r="N47" s="34"/>
      <c r="O47" s="60" t="s">
        <v>10</v>
      </c>
      <c r="P47" s="60" t="s">
        <v>10</v>
      </c>
      <c r="Q47" s="60"/>
      <c r="R47" s="60"/>
      <c r="S47" s="3">
        <v>5</v>
      </c>
      <c r="T47" s="7">
        <f>AVERAGE(0,0,0.5,0.3,0.5)</f>
        <v>0.26</v>
      </c>
      <c r="U47" s="7">
        <f>AVERAGE(0,0,0.75,0.75,0.5)</f>
        <v>0.4</v>
      </c>
      <c r="V47" s="7">
        <f>(2*U47*T47)/(U47+T47)</f>
        <v>0.31515151515151518</v>
      </c>
      <c r="W47" s="7">
        <v>0.4</v>
      </c>
      <c r="X47" s="32"/>
      <c r="Y47" s="1"/>
      <c r="Z47" s="1"/>
      <c r="AA47" s="3">
        <v>5</v>
      </c>
      <c r="AB47" s="34"/>
      <c r="AC47" s="60" t="s">
        <v>10</v>
      </c>
      <c r="AD47" s="60" t="s">
        <v>10</v>
      </c>
      <c r="AE47" s="60" t="s">
        <v>10</v>
      </c>
      <c r="AF47" s="60"/>
      <c r="AG47" s="3">
        <v>5</v>
      </c>
      <c r="AH47" s="7">
        <f>AVERAGE(0,0,0.5,0.3,0.5)</f>
        <v>0.26</v>
      </c>
      <c r="AI47" s="7">
        <f>AVERAGE(0,0,0.75,0.75,0.5)</f>
        <v>0.4</v>
      </c>
      <c r="AJ47" s="7">
        <f>(2*AI47*AH47)/(AI47+AH47)</f>
        <v>0.31515151515151518</v>
      </c>
      <c r="AK47" s="7">
        <v>0.4</v>
      </c>
      <c r="AL47" s="32"/>
    </row>
    <row r="48" spans="3:38" ht="21.75" x14ac:dyDescent="0.25">
      <c r="C48" s="3">
        <v>6</v>
      </c>
      <c r="D48" s="28" t="s">
        <v>1</v>
      </c>
      <c r="E48" s="3">
        <v>1</v>
      </c>
      <c r="F48" s="9">
        <f>AVERAGE(1,0,0.11,0,0.67)</f>
        <v>0.35600000000000004</v>
      </c>
      <c r="G48" s="9">
        <f>AVERAGE(0.25,0,0.25,0,0.5)</f>
        <v>0.2</v>
      </c>
      <c r="H48" s="9">
        <f>(2*G48*F48)/(G48+F48)</f>
        <v>0.25611510791366909</v>
      </c>
      <c r="I48" s="9">
        <v>0.2</v>
      </c>
      <c r="J48" s="28">
        <f>MAX(H48:I52)</f>
        <v>0.35</v>
      </c>
      <c r="K48" s="1"/>
      <c r="L48" s="1"/>
      <c r="M48" s="3">
        <v>6</v>
      </c>
      <c r="N48" s="34"/>
      <c r="O48" s="61" t="s">
        <v>10</v>
      </c>
      <c r="P48" s="61"/>
      <c r="Q48" s="61" t="s">
        <v>10</v>
      </c>
      <c r="R48" s="61"/>
      <c r="S48" s="3">
        <v>1</v>
      </c>
      <c r="T48" s="9">
        <f>AVERAGE(0.67,0,0.43,0.25,0.5)</f>
        <v>0.37</v>
      </c>
      <c r="U48" s="9">
        <f>AVERAGE(0.5,0,0.75,0.25,0.75)</f>
        <v>0.45</v>
      </c>
      <c r="V48" s="9">
        <f>(2*U48*T48)/(U48+T48)</f>
        <v>0.40609756097560973</v>
      </c>
      <c r="W48" s="9">
        <v>0.45</v>
      </c>
      <c r="X48" s="28">
        <f>MAX(W48:W52)</f>
        <v>0.5</v>
      </c>
      <c r="Y48" s="1"/>
      <c r="Z48" s="1"/>
      <c r="AA48" s="3">
        <v>6</v>
      </c>
      <c r="AB48" s="34"/>
      <c r="AC48" s="61" t="s">
        <v>10</v>
      </c>
      <c r="AD48" s="61" t="s">
        <v>10</v>
      </c>
      <c r="AE48" s="61"/>
      <c r="AF48" s="61" t="s">
        <v>10</v>
      </c>
      <c r="AG48" s="3">
        <v>1</v>
      </c>
      <c r="AH48" s="9">
        <f>AVERAGE(0.5,0,0.8,0,0.3)</f>
        <v>0.32</v>
      </c>
      <c r="AI48" s="9">
        <f>AVERAGE(0.25,0,1,0,0.75)</f>
        <v>0.4</v>
      </c>
      <c r="AJ48" s="9">
        <f>(2*AI48*AH48)/(AI48+AH48)</f>
        <v>0.35555555555555557</v>
      </c>
      <c r="AK48" s="9">
        <v>0.4</v>
      </c>
      <c r="AL48" s="28">
        <f>MAX(AK48:AK52)</f>
        <v>0.5</v>
      </c>
    </row>
    <row r="49" spans="3:38" ht="21.75" x14ac:dyDescent="0.25">
      <c r="C49" s="3">
        <v>7</v>
      </c>
      <c r="D49" s="28"/>
      <c r="E49" s="3">
        <v>2</v>
      </c>
      <c r="F49" s="9">
        <f>AVERAGE(0.5,0,0,0,0.2)</f>
        <v>0.13999999999999999</v>
      </c>
      <c r="G49" s="9">
        <f>AVERAGE(0.25,0,0,0,0.75)</f>
        <v>0.2</v>
      </c>
      <c r="H49" s="9">
        <f>(2*G49*F49)/(G49+F49)</f>
        <v>0.16470588235294117</v>
      </c>
      <c r="I49" s="9">
        <v>0.2</v>
      </c>
      <c r="J49" s="28"/>
      <c r="K49" s="1"/>
      <c r="L49" s="1"/>
      <c r="M49" s="3">
        <v>7</v>
      </c>
      <c r="N49" s="34"/>
      <c r="O49" s="61" t="s">
        <v>10</v>
      </c>
      <c r="P49" s="61"/>
      <c r="Q49" s="61" t="s">
        <v>10</v>
      </c>
      <c r="R49" s="61"/>
      <c r="S49" s="3">
        <v>2</v>
      </c>
      <c r="T49" s="9">
        <f>AVERAGE(1,0,0.6,0.25,0.33)</f>
        <v>0.43600000000000005</v>
      </c>
      <c r="U49" s="9">
        <f>AVERAGE(0.25,0,0.75,0.5,0.5)</f>
        <v>0.4</v>
      </c>
      <c r="V49" s="9">
        <f>(2*U49*T49)/(U49+T49)</f>
        <v>0.41722488038277517</v>
      </c>
      <c r="W49" s="9">
        <v>0.4</v>
      </c>
      <c r="X49" s="28"/>
      <c r="Y49" s="1"/>
      <c r="Z49" s="1"/>
      <c r="AA49" s="3">
        <v>7</v>
      </c>
      <c r="AB49" s="34"/>
      <c r="AC49" s="61" t="s">
        <v>10</v>
      </c>
      <c r="AD49" s="61" t="s">
        <v>10</v>
      </c>
      <c r="AE49" s="61"/>
      <c r="AF49" s="61" t="s">
        <v>10</v>
      </c>
      <c r="AG49" s="3">
        <v>2</v>
      </c>
      <c r="AH49" s="9">
        <f>AVERAGE(0.5,0,1,0.2,0.3)</f>
        <v>0.4</v>
      </c>
      <c r="AI49" s="9">
        <f>AVERAGE(0.25,0,0.75,0.25,0.75)</f>
        <v>0.4</v>
      </c>
      <c r="AJ49" s="9">
        <f>(2*AI49*AH49)/(AI49+AH49)</f>
        <v>0.40000000000000008</v>
      </c>
      <c r="AK49" s="9">
        <v>0.4</v>
      </c>
      <c r="AL49" s="28"/>
    </row>
    <row r="50" spans="3:38" ht="21.75" x14ac:dyDescent="0.25">
      <c r="C50" s="3">
        <v>8</v>
      </c>
      <c r="D50" s="28"/>
      <c r="E50" s="3">
        <v>3</v>
      </c>
      <c r="F50" s="9">
        <f>AVERAGE(0.5,0,0.31,0,0.5)</f>
        <v>0.26200000000000001</v>
      </c>
      <c r="G50" s="9">
        <f>AVERAGE(0.25,0,1,0,0.5)</f>
        <v>0.35</v>
      </c>
      <c r="H50" s="9">
        <f>(2*G50*F50)/(G50+F50)</f>
        <v>0.29967320261437913</v>
      </c>
      <c r="I50" s="9">
        <v>0.35</v>
      </c>
      <c r="J50" s="28"/>
      <c r="K50" s="1"/>
      <c r="L50" s="1"/>
      <c r="M50" s="3">
        <v>8</v>
      </c>
      <c r="N50" s="34"/>
      <c r="O50" s="61" t="s">
        <v>10</v>
      </c>
      <c r="P50" s="61"/>
      <c r="Q50" s="61" t="s">
        <v>10</v>
      </c>
      <c r="R50" s="61"/>
      <c r="S50" s="3">
        <v>3</v>
      </c>
      <c r="T50" s="9">
        <f>AVERAGE(1,0,0.44,0.5,0.5)</f>
        <v>0.48799999999999999</v>
      </c>
      <c r="U50" s="9">
        <f>AVERAGE(0.25,0,1,0.5,0.75)</f>
        <v>0.5</v>
      </c>
      <c r="V50" s="9">
        <f>(2*U50*T50)/(U50+T50)</f>
        <v>0.49392712550607287</v>
      </c>
      <c r="W50" s="9">
        <v>0.5</v>
      </c>
      <c r="X50" s="28"/>
      <c r="Y50" s="1"/>
      <c r="Z50" s="1"/>
      <c r="AA50" s="3">
        <v>8</v>
      </c>
      <c r="AB50" s="34"/>
      <c r="AC50" s="61" t="s">
        <v>10</v>
      </c>
      <c r="AD50" s="61" t="s">
        <v>10</v>
      </c>
      <c r="AE50" s="61"/>
      <c r="AF50" s="61" t="s">
        <v>10</v>
      </c>
      <c r="AG50" s="3">
        <v>3</v>
      </c>
      <c r="AH50" s="9">
        <f>AVERAGE(0.5,0,0.75,0.38,0.5)</f>
        <v>0.42599999999999999</v>
      </c>
      <c r="AI50" s="9">
        <f>AVERAGE(0.25,0,0.75,0.75,0.75)</f>
        <v>0.5</v>
      </c>
      <c r="AJ50" s="9">
        <f>(2*AI50*AH50)/(AI50+AH50)</f>
        <v>0.4600431965442765</v>
      </c>
      <c r="AK50" s="9">
        <v>0.5</v>
      </c>
      <c r="AL50" s="28"/>
    </row>
    <row r="51" spans="3:38" ht="21.75" x14ac:dyDescent="0.25">
      <c r="C51" s="3">
        <v>9</v>
      </c>
      <c r="D51" s="28"/>
      <c r="E51" s="3">
        <v>4</v>
      </c>
      <c r="F51" s="9">
        <f>AVERAGE(0.5,0,0.2,0.33,0.4)</f>
        <v>0.28600000000000003</v>
      </c>
      <c r="G51" s="9">
        <f>AVERAGE(0.25,0,0.5,0.25,0.5)</f>
        <v>0.3</v>
      </c>
      <c r="H51" s="9">
        <f>(2*G51*F51)/(G51+F51)</f>
        <v>0.29283276450511941</v>
      </c>
      <c r="I51" s="9">
        <v>0.3</v>
      </c>
      <c r="J51" s="28"/>
      <c r="K51" s="1"/>
      <c r="L51" s="1"/>
      <c r="M51" s="3">
        <v>9</v>
      </c>
      <c r="N51" s="34"/>
      <c r="O51" s="61" t="s">
        <v>10</v>
      </c>
      <c r="P51" s="61"/>
      <c r="Q51" s="61" t="s">
        <v>10</v>
      </c>
      <c r="R51" s="61"/>
      <c r="S51" s="3">
        <v>4</v>
      </c>
      <c r="T51" s="9">
        <f>AVERAGE(0,0,0.44,0.33,0.4)</f>
        <v>0.23399999999999999</v>
      </c>
      <c r="U51" s="9">
        <f>AVERAGE(0,0,1,0.5,0.5)</f>
        <v>0.4</v>
      </c>
      <c r="V51" s="9">
        <f>(2*U51*T51)/(U51+T51)</f>
        <v>0.29526813880126185</v>
      </c>
      <c r="W51" s="9">
        <v>0.4</v>
      </c>
      <c r="X51" s="28"/>
      <c r="Y51" s="1"/>
      <c r="Z51" s="1"/>
      <c r="AA51" s="3">
        <v>9</v>
      </c>
      <c r="AB51" s="34"/>
      <c r="AC51" s="61" t="s">
        <v>10</v>
      </c>
      <c r="AD51" s="61" t="s">
        <v>10</v>
      </c>
      <c r="AE51" s="61"/>
      <c r="AF51" s="61" t="s">
        <v>10</v>
      </c>
      <c r="AG51" s="3">
        <v>4</v>
      </c>
      <c r="AH51" s="9">
        <f>AVERAGE(0.5,0,1,0.22,0.33)</f>
        <v>0.41</v>
      </c>
      <c r="AI51" s="9">
        <f>AVERAGE(0.25,0,0.75,0.5,0.5)</f>
        <v>0.4</v>
      </c>
      <c r="AJ51" s="9">
        <f>(2*AI51*AH51)/(AI51+AH51)</f>
        <v>0.40493827160493828</v>
      </c>
      <c r="AK51" s="9">
        <v>0.4</v>
      </c>
      <c r="AL51" s="28"/>
    </row>
    <row r="52" spans="3:38" ht="21.75" x14ac:dyDescent="0.25">
      <c r="C52" s="3">
        <v>10</v>
      </c>
      <c r="D52" s="28"/>
      <c r="E52" s="3">
        <v>5</v>
      </c>
      <c r="F52" s="9">
        <f>AVERAGE(0.5,0,0.12,0.33,0.43)</f>
        <v>0.27599999999999997</v>
      </c>
      <c r="G52" s="9">
        <f>AVERAGE(0.25,0,0.25,0.25,0.75)</f>
        <v>0.3</v>
      </c>
      <c r="H52" s="9">
        <f>(2*G52*F52)/(G52+F52)</f>
        <v>0.28749999999999998</v>
      </c>
      <c r="I52" s="9">
        <v>0.3</v>
      </c>
      <c r="J52" s="28"/>
      <c r="K52" s="1"/>
      <c r="L52" s="1"/>
      <c r="M52" s="3">
        <v>10</v>
      </c>
      <c r="N52" s="34"/>
      <c r="O52" s="61" t="s">
        <v>10</v>
      </c>
      <c r="P52" s="61"/>
      <c r="Q52" s="61" t="s">
        <v>10</v>
      </c>
      <c r="R52" s="61"/>
      <c r="S52" s="3">
        <v>5</v>
      </c>
      <c r="T52" s="9">
        <f>AVERAGE(0,0,0.44,0.43,0.5)</f>
        <v>0.27400000000000002</v>
      </c>
      <c r="U52" s="9">
        <f>AVERAGE(0,0,1,0.75,0.5)</f>
        <v>0.45</v>
      </c>
      <c r="V52" s="9">
        <f>(2*U52*T52)/(U52+T52)</f>
        <v>0.34060773480662987</v>
      </c>
      <c r="W52" s="9">
        <v>0.45</v>
      </c>
      <c r="X52" s="28"/>
      <c r="Y52" s="1"/>
      <c r="Z52" s="1"/>
      <c r="AA52" s="3">
        <v>10</v>
      </c>
      <c r="AB52" s="34"/>
      <c r="AC52" s="61" t="s">
        <v>10</v>
      </c>
      <c r="AD52" s="61" t="s">
        <v>10</v>
      </c>
      <c r="AE52" s="61"/>
      <c r="AF52" s="61" t="s">
        <v>10</v>
      </c>
      <c r="AG52" s="3">
        <v>5</v>
      </c>
      <c r="AH52" s="9">
        <f>AVERAGE(0.5,0,1,0.17,0.5)</f>
        <v>0.434</v>
      </c>
      <c r="AI52" s="9">
        <f>AVERAGE(0.25,0,0.5,0.5,0.5)</f>
        <v>0.35</v>
      </c>
      <c r="AJ52" s="9">
        <f>(2*AI52*AH52)/(AI52+AH52)</f>
        <v>0.38749999999999996</v>
      </c>
      <c r="AK52" s="9">
        <v>0.35</v>
      </c>
      <c r="AL52" s="28"/>
    </row>
    <row r="53" spans="3:38" ht="21.75" x14ac:dyDescent="0.25">
      <c r="C53" s="3">
        <v>11</v>
      </c>
      <c r="D53" s="29" t="s">
        <v>2</v>
      </c>
      <c r="E53" s="3">
        <v>1</v>
      </c>
      <c r="F53" s="10">
        <f>AVERAGE(0.33,1,0.75,0.25,0.6)</f>
        <v>0.58600000000000008</v>
      </c>
      <c r="G53" s="10">
        <f>AVERAGE(0.25,1,0.75,0.25,0.75)</f>
        <v>0.6</v>
      </c>
      <c r="H53" s="10">
        <f>(2*G53*F53)/(G53+F53)</f>
        <v>0.59291736930860039</v>
      </c>
      <c r="I53" s="10">
        <v>0.6</v>
      </c>
      <c r="J53" s="29">
        <f>MAX(H53:I57)</f>
        <v>0.6</v>
      </c>
      <c r="K53" s="1"/>
      <c r="L53" s="1"/>
      <c r="M53" s="3">
        <v>11</v>
      </c>
      <c r="N53" s="34"/>
      <c r="O53" s="62" t="s">
        <v>10</v>
      </c>
      <c r="P53" s="62"/>
      <c r="Q53" s="62"/>
      <c r="R53" s="62" t="s">
        <v>10</v>
      </c>
      <c r="S53" s="3">
        <v>1</v>
      </c>
      <c r="T53" s="10">
        <f>AVERAGE(0.5,0,0.75,0,0.25)</f>
        <v>0.3</v>
      </c>
      <c r="U53" s="10">
        <f>AVERAGE(0.25,0,0.75,0,0.75)</f>
        <v>0.35</v>
      </c>
      <c r="V53" s="10">
        <f>(2*U53*T53)/(U53+T53)</f>
        <v>0.32307692307692309</v>
      </c>
      <c r="W53" s="10">
        <v>0.35</v>
      </c>
      <c r="X53" s="29">
        <f>MAX(W53:W57)</f>
        <v>0.45</v>
      </c>
      <c r="Y53" s="1"/>
      <c r="Z53" s="1"/>
      <c r="AA53" s="3">
        <v>11</v>
      </c>
      <c r="AB53" s="34"/>
      <c r="AC53" s="62" t="s">
        <v>10</v>
      </c>
      <c r="AD53" s="62"/>
      <c r="AE53" s="62" t="s">
        <v>10</v>
      </c>
      <c r="AF53" s="62" t="s">
        <v>10</v>
      </c>
      <c r="AG53" s="3">
        <v>1</v>
      </c>
      <c r="AH53" s="10">
        <f>AVERAGE(0.5,0,0.67,0,0.33)</f>
        <v>0.3</v>
      </c>
      <c r="AI53" s="10">
        <f>AVERAGE(0.25,0,1,0,0.75)</f>
        <v>0.4</v>
      </c>
      <c r="AJ53" s="10">
        <f>(2*AI53*AH53)/(AI53+AH53)</f>
        <v>0.34285714285714286</v>
      </c>
      <c r="AK53" s="10">
        <v>0.4</v>
      </c>
      <c r="AL53" s="29">
        <f>MAX(AK53:AK57)</f>
        <v>0.4</v>
      </c>
    </row>
    <row r="54" spans="3:38" ht="21.75" x14ac:dyDescent="0.25">
      <c r="C54" s="3">
        <v>12</v>
      </c>
      <c r="D54" s="29"/>
      <c r="E54" s="3">
        <v>2</v>
      </c>
      <c r="F54" s="10">
        <f>AVERAGE(0.5,0.5,0.17,0.5,0)</f>
        <v>0.33399999999999996</v>
      </c>
      <c r="G54" s="10">
        <f>AVERAGE(0.5,0.5,0.25,0.5,0)</f>
        <v>0.35</v>
      </c>
      <c r="H54" s="10">
        <f>(2*G54*F54)/(G54+F54)</f>
        <v>0.34181286549707596</v>
      </c>
      <c r="I54" s="10">
        <v>0.35</v>
      </c>
      <c r="J54" s="29"/>
      <c r="K54" s="1"/>
      <c r="L54" s="1"/>
      <c r="M54" s="3">
        <v>12</v>
      </c>
      <c r="N54" s="34"/>
      <c r="O54" s="62" t="s">
        <v>10</v>
      </c>
      <c r="P54" s="62"/>
      <c r="Q54" s="62"/>
      <c r="R54" s="62" t="s">
        <v>10</v>
      </c>
      <c r="S54" s="3">
        <v>2</v>
      </c>
      <c r="T54" s="10">
        <f>AVERAGE(0.5,0,0.75,0,0.31)</f>
        <v>0.312</v>
      </c>
      <c r="U54" s="10">
        <f>AVERAGE(0.25,0,0.75,0,1)</f>
        <v>0.4</v>
      </c>
      <c r="V54" s="10">
        <f>(2*U54*T54)/(U54+T54)</f>
        <v>0.35056179775280905</v>
      </c>
      <c r="W54" s="10">
        <v>0.4</v>
      </c>
      <c r="X54" s="29"/>
      <c r="Y54" s="1"/>
      <c r="Z54" s="1"/>
      <c r="AA54" s="3">
        <v>12</v>
      </c>
      <c r="AB54" s="34"/>
      <c r="AC54" s="62" t="s">
        <v>10</v>
      </c>
      <c r="AD54" s="62"/>
      <c r="AE54" s="62" t="s">
        <v>10</v>
      </c>
      <c r="AF54" s="62" t="s">
        <v>10</v>
      </c>
      <c r="AG54" s="3">
        <v>2</v>
      </c>
      <c r="AH54" s="10">
        <f>AVERAGE(0.5,0,0.6,0.25,0.33)</f>
        <v>0.33600000000000002</v>
      </c>
      <c r="AI54" s="10">
        <f>AVERAGE(0.25,0,0.75,0.25,0.75)</f>
        <v>0.4</v>
      </c>
      <c r="AJ54" s="10">
        <f>(2*AI54*AH54)/(AI54+AH54)</f>
        <v>0.36521739130434788</v>
      </c>
      <c r="AK54" s="10">
        <v>0.4</v>
      </c>
      <c r="AL54" s="29"/>
    </row>
    <row r="55" spans="3:38" ht="21.75" x14ac:dyDescent="0.25">
      <c r="C55" s="3">
        <v>13</v>
      </c>
      <c r="D55" s="29"/>
      <c r="E55" s="3">
        <v>3</v>
      </c>
      <c r="F55" s="10">
        <f>AVERAGE(1,0,0.43,0.33,0.38)</f>
        <v>0.42800000000000005</v>
      </c>
      <c r="G55" s="10">
        <f>AVERAGE(0.5,0,0.75,0.25,0.75)</f>
        <v>0.45</v>
      </c>
      <c r="H55" s="10">
        <f>(2*G55*F55)/(G55+F55)</f>
        <v>0.43872437357630978</v>
      </c>
      <c r="I55" s="10">
        <v>0.45</v>
      </c>
      <c r="J55" s="29"/>
      <c r="K55" s="1"/>
      <c r="L55" s="1"/>
      <c r="M55" s="3">
        <v>13</v>
      </c>
      <c r="N55" s="34"/>
      <c r="O55" s="62" t="s">
        <v>10</v>
      </c>
      <c r="P55" s="62"/>
      <c r="Q55" s="62"/>
      <c r="R55" s="62" t="s">
        <v>10</v>
      </c>
      <c r="S55" s="3">
        <v>3</v>
      </c>
      <c r="T55" s="10">
        <f>AVERAGE(0.5,0,0.5,0.33,0.43)</f>
        <v>0.35199999999999998</v>
      </c>
      <c r="U55" s="10">
        <f>AVERAGE(0.25,0,1,0.25,0.75)</f>
        <v>0.45</v>
      </c>
      <c r="V55" s="10">
        <f>(2*U55*T55)/(U55+T55)</f>
        <v>0.39501246882793012</v>
      </c>
      <c r="W55" s="10">
        <v>0.45</v>
      </c>
      <c r="X55" s="29"/>
      <c r="Y55" s="1"/>
      <c r="Z55" s="1"/>
      <c r="AA55" s="3">
        <v>13</v>
      </c>
      <c r="AB55" s="34"/>
      <c r="AC55" s="62" t="s">
        <v>10</v>
      </c>
      <c r="AD55" s="62"/>
      <c r="AE55" s="62" t="s">
        <v>10</v>
      </c>
      <c r="AF55" s="62" t="s">
        <v>10</v>
      </c>
      <c r="AG55" s="3">
        <v>3</v>
      </c>
      <c r="AH55" s="10">
        <f>AVERAGE(0.5,0,0.43,0.2,0.33)</f>
        <v>0.29199999999999998</v>
      </c>
      <c r="AI55" s="10">
        <f>AVERAGE(0.25,0,0.75,0.25,0.5)</f>
        <v>0.35</v>
      </c>
      <c r="AJ55" s="10">
        <f>(2*AI55*AH55)/(AI55+AH55)</f>
        <v>0.31838006230529597</v>
      </c>
      <c r="AK55" s="10">
        <v>0.35</v>
      </c>
      <c r="AL55" s="29"/>
    </row>
    <row r="56" spans="3:38" ht="21.75" x14ac:dyDescent="0.25">
      <c r="C56" s="3">
        <v>14</v>
      </c>
      <c r="D56" s="29"/>
      <c r="E56" s="3">
        <v>4</v>
      </c>
      <c r="F56" s="10">
        <f>AVERAGE(0.67,0,0.25,0.5,0.33)</f>
        <v>0.35</v>
      </c>
      <c r="G56" s="10">
        <f>AVERAGE(0.5,0,0.25,0.5,0.75)</f>
        <v>0.4</v>
      </c>
      <c r="H56" s="10">
        <f>(2*G56*F56)/(G56+F56)</f>
        <v>0.37333333333333329</v>
      </c>
      <c r="I56" s="10">
        <v>0.4</v>
      </c>
      <c r="J56" s="29"/>
      <c r="K56" s="1"/>
      <c r="L56" s="1"/>
      <c r="M56" s="3">
        <v>14</v>
      </c>
      <c r="N56" s="34"/>
      <c r="O56" s="62" t="s">
        <v>10</v>
      </c>
      <c r="P56" s="62"/>
      <c r="Q56" s="62"/>
      <c r="R56" s="62" t="s">
        <v>10</v>
      </c>
      <c r="S56" s="3">
        <v>4</v>
      </c>
      <c r="T56" s="10">
        <f>AVERAGE(0.5,0,0.57,0.25,0.43)</f>
        <v>0.35</v>
      </c>
      <c r="U56" s="10">
        <f>AVERAGE(0.25,0,1,0.25,0.75)</f>
        <v>0.45</v>
      </c>
      <c r="V56" s="10">
        <f>(2*U56*T56)/(U56+T56)</f>
        <v>0.39374999999999999</v>
      </c>
      <c r="W56" s="10">
        <v>0.45</v>
      </c>
      <c r="X56" s="29"/>
      <c r="Y56" s="1"/>
      <c r="Z56" s="1"/>
      <c r="AA56" s="3">
        <v>14</v>
      </c>
      <c r="AB56" s="34"/>
      <c r="AC56" s="62" t="s">
        <v>10</v>
      </c>
      <c r="AD56" s="62"/>
      <c r="AE56" s="62" t="s">
        <v>10</v>
      </c>
      <c r="AF56" s="62" t="s">
        <v>10</v>
      </c>
      <c r="AG56" s="3">
        <v>4</v>
      </c>
      <c r="AH56" s="10">
        <f>AVERAGE(0.5,0,0.5,0.29,0.4)</f>
        <v>0.33799999999999997</v>
      </c>
      <c r="AI56" s="10">
        <f>AVERAGE(0.25,0,0.75,0.5,0.5)</f>
        <v>0.4</v>
      </c>
      <c r="AJ56" s="10">
        <f>(2*AI56*AH56)/(AI56+AH56)</f>
        <v>0.36639566395663953</v>
      </c>
      <c r="AK56" s="10">
        <v>0.4</v>
      </c>
      <c r="AL56" s="29"/>
    </row>
    <row r="57" spans="3:38" ht="21.75" x14ac:dyDescent="0.25">
      <c r="C57" s="3">
        <v>15</v>
      </c>
      <c r="D57" s="29"/>
      <c r="E57" s="3">
        <v>5</v>
      </c>
      <c r="F57" s="10">
        <f>AVERAGE(1,1,0.17,0.5,0.4)</f>
        <v>0.61399999999999999</v>
      </c>
      <c r="G57" s="10">
        <f>AVERAGE(0.25,0.5,0.25,0.75,0.5)</f>
        <v>0.45</v>
      </c>
      <c r="H57" s="10">
        <f>(2*G57*F57)/(G57+F57)</f>
        <v>0.51936090225563902</v>
      </c>
      <c r="I57" s="10">
        <v>0.45</v>
      </c>
      <c r="J57" s="29"/>
      <c r="K57" s="1"/>
      <c r="L57" s="1"/>
      <c r="M57" s="3">
        <v>15</v>
      </c>
      <c r="N57" s="34"/>
      <c r="O57" s="62" t="s">
        <v>10</v>
      </c>
      <c r="P57" s="62"/>
      <c r="Q57" s="62"/>
      <c r="R57" s="62" t="s">
        <v>10</v>
      </c>
      <c r="S57" s="3">
        <v>5</v>
      </c>
      <c r="T57" s="10">
        <f>AVERAGE(0,0,0.43,0.33,0.44)</f>
        <v>0.24</v>
      </c>
      <c r="U57" s="10">
        <f>AVERAGE(0,0,0.75,0.25,1)</f>
        <v>0.4</v>
      </c>
      <c r="V57" s="10">
        <f>(2*U57*T57)/(U57+T57)</f>
        <v>0.3</v>
      </c>
      <c r="W57" s="10">
        <v>0.4</v>
      </c>
      <c r="X57" s="29"/>
      <c r="Y57" s="1"/>
      <c r="Z57" s="1"/>
      <c r="AA57" s="3">
        <v>15</v>
      </c>
      <c r="AB57" s="34"/>
      <c r="AC57" s="62" t="s">
        <v>10</v>
      </c>
      <c r="AD57" s="62"/>
      <c r="AE57" s="62" t="s">
        <v>10</v>
      </c>
      <c r="AF57" s="62" t="s">
        <v>10</v>
      </c>
      <c r="AG57" s="3">
        <v>5</v>
      </c>
      <c r="AH57" s="10">
        <f>AVERAGE(0.5,0,0.5,0.2,0.43)</f>
        <v>0.32599999999999996</v>
      </c>
      <c r="AI57" s="10">
        <f>AVERAGE(0.25,0,0.75,0.25,0.75)</f>
        <v>0.4</v>
      </c>
      <c r="AJ57" s="10">
        <f>(2*AI57*AH57)/(AI57+AH57)</f>
        <v>0.35922865013774102</v>
      </c>
      <c r="AK57" s="10">
        <v>0.4</v>
      </c>
      <c r="AL57" s="29"/>
    </row>
    <row r="58" spans="3:38" ht="21.75" x14ac:dyDescent="0.25">
      <c r="C58" s="3">
        <v>16</v>
      </c>
      <c r="D58" s="30" t="s">
        <v>3</v>
      </c>
      <c r="E58" s="3">
        <v>1</v>
      </c>
      <c r="F58" s="11">
        <f>AVERAGE(0,0,0.6,0,0.22)</f>
        <v>0.16399999999999998</v>
      </c>
      <c r="G58" s="11">
        <f>AVERAGE(0,0,0.75,0,0.5)</f>
        <v>0.25</v>
      </c>
      <c r="H58" s="11">
        <f>(2*G58*F58)/(G58+F58)</f>
        <v>0.19806763285024154</v>
      </c>
      <c r="I58" s="11">
        <v>0.25</v>
      </c>
      <c r="J58" s="30">
        <f>MAX(H58:I62)</f>
        <v>0.3</v>
      </c>
      <c r="K58" s="1"/>
      <c r="L58" s="1"/>
      <c r="M58" s="3">
        <v>16</v>
      </c>
      <c r="N58" s="34"/>
      <c r="O58" s="63"/>
      <c r="P58" s="63" t="s">
        <v>10</v>
      </c>
      <c r="Q58" s="63" t="s">
        <v>10</v>
      </c>
      <c r="R58" s="63"/>
      <c r="S58" s="3">
        <v>1</v>
      </c>
      <c r="T58" s="14">
        <f>AVERAGE(0,0.67,0.5,1,0.33)</f>
        <v>0.5</v>
      </c>
      <c r="U58" s="14">
        <f>AVERAGE(0,1,0.75,0.25,0.5)</f>
        <v>0.5</v>
      </c>
      <c r="V58" s="14">
        <f>(2*U58*T58)/(U58+T58)</f>
        <v>0.5</v>
      </c>
      <c r="W58" s="14">
        <v>0.5</v>
      </c>
      <c r="X58" s="35">
        <f>MAX(W58:W62)</f>
        <v>0.6</v>
      </c>
      <c r="Y58" s="1"/>
      <c r="Z58" s="1"/>
      <c r="AA58" s="3">
        <v>16</v>
      </c>
      <c r="AB58" s="34"/>
      <c r="AC58" s="64"/>
      <c r="AD58" s="64" t="s">
        <v>10</v>
      </c>
      <c r="AE58" s="64" t="s">
        <v>10</v>
      </c>
      <c r="AF58" s="64" t="s">
        <v>10</v>
      </c>
      <c r="AG58" s="3">
        <v>1</v>
      </c>
      <c r="AH58" s="11">
        <f>AVERAGE(0.5,0,0.36,0,0.5)</f>
        <v>0.27199999999999996</v>
      </c>
      <c r="AI58" s="11">
        <f>AVERAGE(0.25,0,1,0,0.75)</f>
        <v>0.4</v>
      </c>
      <c r="AJ58" s="11">
        <f>(2*AI58*AH58)/(AI58+AH58)</f>
        <v>0.32380952380952382</v>
      </c>
      <c r="AK58" s="11">
        <v>0.4</v>
      </c>
      <c r="AL58" s="23">
        <f>MAX(AK58:AK62)</f>
        <v>0.45</v>
      </c>
    </row>
    <row r="59" spans="3:38" ht="21.75" x14ac:dyDescent="0.25">
      <c r="C59" s="3">
        <v>17</v>
      </c>
      <c r="D59" s="30"/>
      <c r="E59" s="3">
        <v>2</v>
      </c>
      <c r="F59" s="11">
        <f>AVERAGE(0.5,0,0.5,0,0.21)</f>
        <v>0.24199999999999999</v>
      </c>
      <c r="G59" s="11">
        <f>AVERAGE(0.25,0,0.5,0,0.75)</f>
        <v>0.3</v>
      </c>
      <c r="H59" s="11">
        <f>(2*G59*F59)/(G59+F59)</f>
        <v>0.26789667896678965</v>
      </c>
      <c r="I59" s="11">
        <v>0.3</v>
      </c>
      <c r="J59" s="30"/>
      <c r="K59" s="1"/>
      <c r="L59" s="1"/>
      <c r="M59" s="3">
        <v>17</v>
      </c>
      <c r="N59" s="34"/>
      <c r="O59" s="63"/>
      <c r="P59" s="63" t="s">
        <v>10</v>
      </c>
      <c r="Q59" s="63" t="s">
        <v>10</v>
      </c>
      <c r="R59" s="63"/>
      <c r="S59" s="3">
        <v>2</v>
      </c>
      <c r="T59" s="14">
        <f>AVERAGE(0,0.67,0.5,1,0.33)</f>
        <v>0.5</v>
      </c>
      <c r="U59" s="14">
        <f>AVERAGE(0,1,0.75,0.25,0.5)</f>
        <v>0.5</v>
      </c>
      <c r="V59" s="14">
        <f>(2*U59*T59)/(U59+T59)</f>
        <v>0.5</v>
      </c>
      <c r="W59" s="14">
        <v>0.5</v>
      </c>
      <c r="X59" s="35"/>
      <c r="Y59" s="1"/>
      <c r="Z59" s="1"/>
      <c r="AA59" s="3">
        <v>17</v>
      </c>
      <c r="AB59" s="34"/>
      <c r="AC59" s="64"/>
      <c r="AD59" s="64" t="s">
        <v>10</v>
      </c>
      <c r="AE59" s="64" t="s">
        <v>10</v>
      </c>
      <c r="AF59" s="64" t="s">
        <v>10</v>
      </c>
      <c r="AG59" s="3">
        <v>2</v>
      </c>
      <c r="AH59" s="11">
        <f>AVERAGE(0.5,0,0.6,0.29,0.5)</f>
        <v>0.378</v>
      </c>
      <c r="AI59" s="11">
        <f>AVERAGE(0.25,0,0.75,0.5,0.75)</f>
        <v>0.45</v>
      </c>
      <c r="AJ59" s="11">
        <f>(2*AI59*AH59)/(AI59+AH59)</f>
        <v>0.41086956521739126</v>
      </c>
      <c r="AK59" s="11">
        <v>0.45</v>
      </c>
      <c r="AL59" s="24"/>
    </row>
    <row r="60" spans="3:38" ht="21.75" x14ac:dyDescent="0.25">
      <c r="C60" s="3">
        <v>18</v>
      </c>
      <c r="D60" s="30"/>
      <c r="E60" s="3">
        <v>3</v>
      </c>
      <c r="F60" s="11">
        <f>AVERAGE(0.5,0,0.27,0,0.29)</f>
        <v>0.21200000000000002</v>
      </c>
      <c r="G60" s="11">
        <f>AVERAGE(0.25,0,0.75,0,0.5)</f>
        <v>0.3</v>
      </c>
      <c r="H60" s="11">
        <f>(2*G60*F60)/(G60+F60)</f>
        <v>0.24843750000000001</v>
      </c>
      <c r="I60" s="11">
        <v>0.3</v>
      </c>
      <c r="J60" s="30"/>
      <c r="K60" s="1"/>
      <c r="L60" s="1"/>
      <c r="M60" s="3">
        <v>18</v>
      </c>
      <c r="N60" s="34"/>
      <c r="O60" s="63"/>
      <c r="P60" s="63" t="s">
        <v>10</v>
      </c>
      <c r="Q60" s="63" t="s">
        <v>10</v>
      </c>
      <c r="R60" s="63"/>
      <c r="S60" s="3">
        <v>3</v>
      </c>
      <c r="T60" s="14">
        <f>AVERAGE(0,0.8,0.43,0,0.29)</f>
        <v>0.30399999999999999</v>
      </c>
      <c r="U60" s="14">
        <f>AVERAGE(0,1,0.75,0,0.5)</f>
        <v>0.45</v>
      </c>
      <c r="V60" s="14">
        <f>(2*U60*T60)/(U60+T60)</f>
        <v>0.36286472148541116</v>
      </c>
      <c r="W60" s="14">
        <v>0.45</v>
      </c>
      <c r="X60" s="35"/>
      <c r="Y60" s="1"/>
      <c r="Z60" s="1"/>
      <c r="AA60" s="3">
        <v>18</v>
      </c>
      <c r="AB60" s="34"/>
      <c r="AC60" s="64"/>
      <c r="AD60" s="64" t="s">
        <v>10</v>
      </c>
      <c r="AE60" s="64" t="s">
        <v>10</v>
      </c>
      <c r="AF60" s="64" t="s">
        <v>10</v>
      </c>
      <c r="AG60" s="3">
        <v>3</v>
      </c>
      <c r="AH60" s="11">
        <f>AVERAGE(0.5,0,0.75,0.22,0.4)</f>
        <v>0.374</v>
      </c>
      <c r="AI60" s="11">
        <f>AVERAGE(0.25,0,0.75,0.5,0.5)</f>
        <v>0.4</v>
      </c>
      <c r="AJ60" s="11">
        <f>(2*AI60*AH60)/(AI60+AH60)</f>
        <v>0.38656330749354006</v>
      </c>
      <c r="AK60" s="11">
        <v>0.4</v>
      </c>
      <c r="AL60" s="24"/>
    </row>
    <row r="61" spans="3:38" ht="21.75" x14ac:dyDescent="0.25">
      <c r="C61" s="3">
        <v>19</v>
      </c>
      <c r="D61" s="30"/>
      <c r="E61" s="3">
        <v>4</v>
      </c>
      <c r="F61" s="11">
        <f>AVERAGE(0,0,0.33,0.33,0.33)</f>
        <v>0.19800000000000001</v>
      </c>
      <c r="G61" s="11">
        <f>AVERAGE(0,0,0.75,0.25,0.5)</f>
        <v>0.3</v>
      </c>
      <c r="H61" s="11">
        <f>(2*G61*F61)/(G61+F61)</f>
        <v>0.23855421686746989</v>
      </c>
      <c r="I61" s="11">
        <v>0.3</v>
      </c>
      <c r="J61" s="30"/>
      <c r="K61" s="1"/>
      <c r="L61" s="1"/>
      <c r="M61" s="3">
        <v>19</v>
      </c>
      <c r="N61" s="34"/>
      <c r="O61" s="63"/>
      <c r="P61" s="63" t="s">
        <v>10</v>
      </c>
      <c r="Q61" s="63" t="s">
        <v>10</v>
      </c>
      <c r="R61" s="63"/>
      <c r="S61" s="3">
        <v>4</v>
      </c>
      <c r="T61" s="14">
        <f>AVERAGE(0,0.8,0.43,0,0.29)</f>
        <v>0.30399999999999999</v>
      </c>
      <c r="U61" s="14">
        <f>AVERAGE(0,1,0.75,0,0.5)</f>
        <v>0.45</v>
      </c>
      <c r="V61" s="14">
        <f>(2*U61*T61)/(U61+T61)</f>
        <v>0.36286472148541116</v>
      </c>
      <c r="W61" s="14">
        <v>0.45</v>
      </c>
      <c r="X61" s="35"/>
      <c r="Y61" s="1"/>
      <c r="Z61" s="1"/>
      <c r="AA61" s="3">
        <v>19</v>
      </c>
      <c r="AB61" s="34"/>
      <c r="AC61" s="64"/>
      <c r="AD61" s="64" t="s">
        <v>10</v>
      </c>
      <c r="AE61" s="64" t="s">
        <v>10</v>
      </c>
      <c r="AF61" s="64" t="s">
        <v>10</v>
      </c>
      <c r="AG61" s="3">
        <v>4</v>
      </c>
      <c r="AH61" s="11">
        <f>AVERAGE(0.5,0,0.6,0.25,0.4)</f>
        <v>0.35</v>
      </c>
      <c r="AI61" s="11">
        <f>AVERAGE(0.25,0,0.75,0.5,0.5)</f>
        <v>0.4</v>
      </c>
      <c r="AJ61" s="11">
        <f>(2*AI61*AH61)/(AI61+AH61)</f>
        <v>0.37333333333333329</v>
      </c>
      <c r="AK61" s="11">
        <v>0.4</v>
      </c>
      <c r="AL61" s="24"/>
    </row>
    <row r="62" spans="3:38" ht="21.75" x14ac:dyDescent="0.25">
      <c r="C62" s="3">
        <v>20</v>
      </c>
      <c r="D62" s="30"/>
      <c r="E62" s="3">
        <v>5</v>
      </c>
      <c r="F62" s="11">
        <f>AVERAGE(0,0,0.38,0.2,0.4)</f>
        <v>0.19600000000000001</v>
      </c>
      <c r="G62" s="11">
        <f>AVERAGE(0,0,0.75,0.25,0.5)</f>
        <v>0.3</v>
      </c>
      <c r="H62" s="11">
        <f>(2*G62*F62)/(G62+F62)</f>
        <v>0.23709677419354838</v>
      </c>
      <c r="I62" s="11">
        <v>0.3</v>
      </c>
      <c r="J62" s="30"/>
      <c r="K62" s="1"/>
      <c r="L62" s="1"/>
      <c r="M62" s="3">
        <v>20</v>
      </c>
      <c r="N62" s="34"/>
      <c r="O62" s="63"/>
      <c r="P62" s="63" t="s">
        <v>10</v>
      </c>
      <c r="Q62" s="63" t="s">
        <v>10</v>
      </c>
      <c r="R62" s="63"/>
      <c r="S62" s="3">
        <v>5</v>
      </c>
      <c r="T62" s="14">
        <f>AVERAGE(0.5,0.8,0.43,0.67,0.67)</f>
        <v>0.61399999999999999</v>
      </c>
      <c r="U62" s="14">
        <f>AVERAGE(0.25,1,0.75,0.5,0.5)</f>
        <v>0.6</v>
      </c>
      <c r="V62" s="14">
        <f>(2*U62*T62)/(U62+T62)</f>
        <v>0.60691927512355848</v>
      </c>
      <c r="W62" s="14">
        <v>0.6</v>
      </c>
      <c r="X62" s="35"/>
      <c r="Y62" s="1"/>
      <c r="Z62" s="1"/>
      <c r="AA62" s="3">
        <v>20</v>
      </c>
      <c r="AB62" s="34"/>
      <c r="AC62" s="64"/>
      <c r="AD62" s="64" t="s">
        <v>10</v>
      </c>
      <c r="AE62" s="64" t="s">
        <v>10</v>
      </c>
      <c r="AF62" s="64" t="s">
        <v>10</v>
      </c>
      <c r="AG62" s="3">
        <v>5</v>
      </c>
      <c r="AH62" s="11">
        <f>AVERAGE(0.5,0,0.5,0.25,0.25)</f>
        <v>0.3</v>
      </c>
      <c r="AI62" s="11">
        <f>AVERAGE(0.25,0,0.75,0.5,0.25)</f>
        <v>0.35</v>
      </c>
      <c r="AJ62" s="11">
        <f>(2*AI62*AH62)/(AI62+AH62)</f>
        <v>0.32307692307692309</v>
      </c>
      <c r="AK62" s="11">
        <v>0.35</v>
      </c>
      <c r="AL62" s="25"/>
    </row>
    <row r="63" spans="3:38" ht="21.75" x14ac:dyDescent="0.6">
      <c r="C63" s="1"/>
      <c r="D63" s="1"/>
      <c r="E63" s="1"/>
      <c r="F63" s="1"/>
      <c r="G63" s="1"/>
      <c r="H63" s="1"/>
      <c r="I63" s="1"/>
      <c r="J63" s="13"/>
      <c r="K63" s="1"/>
      <c r="L63" s="1"/>
      <c r="M63" s="3">
        <v>21</v>
      </c>
      <c r="N63" s="34"/>
      <c r="O63" s="64"/>
      <c r="P63" s="64" t="s">
        <v>10</v>
      </c>
      <c r="Q63" s="64"/>
      <c r="R63" s="64" t="s">
        <v>10</v>
      </c>
      <c r="S63" s="3">
        <v>1</v>
      </c>
      <c r="T63" s="11">
        <f>AVERAGE(0.5,0,0.57,0,0.38)</f>
        <v>0.28999999999999992</v>
      </c>
      <c r="U63" s="11">
        <f>AVERAGE(0.25,0,1,0,0.75)</f>
        <v>0.4</v>
      </c>
      <c r="V63" s="11">
        <f>(2*U63*T63)/(U63+T63)</f>
        <v>0.336231884057971</v>
      </c>
      <c r="W63" s="11">
        <v>0.4</v>
      </c>
      <c r="X63" s="30">
        <f>MAX(W63:W67)</f>
        <v>0.4</v>
      </c>
      <c r="Y63" s="1"/>
      <c r="Z63" s="1"/>
      <c r="AA63" s="3">
        <v>21</v>
      </c>
      <c r="AB63" s="34" t="s">
        <v>20</v>
      </c>
      <c r="AC63" s="65" t="s">
        <v>10</v>
      </c>
      <c r="AD63" s="65" t="s">
        <v>10</v>
      </c>
      <c r="AE63" s="65" t="s">
        <v>10</v>
      </c>
      <c r="AF63" s="65" t="s">
        <v>10</v>
      </c>
      <c r="AG63" s="3">
        <v>1</v>
      </c>
      <c r="AH63" s="22">
        <f>AVERAGE(0.5,0,0.67,0,0.33)</f>
        <v>0.3</v>
      </c>
      <c r="AI63" s="22">
        <f>AVERAGE(0.25,0,1,0,0.75)</f>
        <v>0.4</v>
      </c>
      <c r="AJ63" s="5">
        <f>(2*AI63*AH63)/(AI63+AH63)</f>
        <v>0.34285714285714286</v>
      </c>
      <c r="AK63" s="22">
        <v>0.4</v>
      </c>
      <c r="AL63" s="26">
        <f>MAX(AK63:AK67)</f>
        <v>0.4</v>
      </c>
    </row>
    <row r="64" spans="3:38" ht="21.75" x14ac:dyDescent="0.6">
      <c r="C64" s="1"/>
      <c r="D64" s="1"/>
      <c r="E64" s="1"/>
      <c r="F64" s="1"/>
      <c r="G64" s="1"/>
      <c r="H64" s="1"/>
      <c r="I64" s="1"/>
      <c r="J64" s="13"/>
      <c r="K64" s="1"/>
      <c r="L64" s="1"/>
      <c r="M64" s="3">
        <v>22</v>
      </c>
      <c r="N64" s="34"/>
      <c r="O64" s="64"/>
      <c r="P64" s="64" t="s">
        <v>10</v>
      </c>
      <c r="Q64" s="64"/>
      <c r="R64" s="64" t="s">
        <v>10</v>
      </c>
      <c r="S64" s="3">
        <v>2</v>
      </c>
      <c r="T64" s="11">
        <f>AVERAGE(0.5,0,0.67,0.12,0.43)</f>
        <v>0.34399999999999997</v>
      </c>
      <c r="U64" s="11">
        <f>AVERAGE(0.25,0,0.5,0.25,0.75)</f>
        <v>0.35</v>
      </c>
      <c r="V64" s="11">
        <f>(2*U64*T64)/(U64+T64)</f>
        <v>0.34697406340057635</v>
      </c>
      <c r="W64" s="11">
        <v>0.35</v>
      </c>
      <c r="X64" s="30"/>
      <c r="Y64" s="1"/>
      <c r="Z64" s="1"/>
      <c r="AA64" s="3">
        <v>22</v>
      </c>
      <c r="AB64" s="34"/>
      <c r="AC64" s="65" t="s">
        <v>10</v>
      </c>
      <c r="AD64" s="65" t="s">
        <v>10</v>
      </c>
      <c r="AE64" s="65" t="s">
        <v>10</v>
      </c>
      <c r="AF64" s="65" t="s">
        <v>10</v>
      </c>
      <c r="AG64" s="3">
        <v>2</v>
      </c>
      <c r="AH64" s="5">
        <f>AVERAGE(0.5,0,0.6,0.17,0.43)</f>
        <v>0.33999999999999997</v>
      </c>
      <c r="AI64" s="5">
        <f>AVERAGE(0.25,0,0.75,0.25,0.75)</f>
        <v>0.4</v>
      </c>
      <c r="AJ64" s="5">
        <f>(2*AI64*AH64)/(AI64+AH64)</f>
        <v>0.36756756756756753</v>
      </c>
      <c r="AK64" s="5">
        <v>0.4</v>
      </c>
      <c r="AL64" s="26"/>
    </row>
    <row r="65" spans="3:38" ht="21.75" x14ac:dyDescent="0.6">
      <c r="C65" s="1"/>
      <c r="D65" s="1"/>
      <c r="E65" s="1"/>
      <c r="F65" s="1"/>
      <c r="G65" s="1"/>
      <c r="H65" s="1"/>
      <c r="I65" s="1"/>
      <c r="J65" s="13"/>
      <c r="K65" s="1"/>
      <c r="L65" s="1"/>
      <c r="M65" s="3">
        <v>23</v>
      </c>
      <c r="N65" s="34"/>
      <c r="O65" s="64"/>
      <c r="P65" s="64" t="s">
        <v>10</v>
      </c>
      <c r="Q65" s="64"/>
      <c r="R65" s="64" t="s">
        <v>10</v>
      </c>
      <c r="S65" s="3">
        <v>3</v>
      </c>
      <c r="T65" s="11">
        <f>AVERAGE(0.5,0,1,0.2,0.4)</f>
        <v>0.42000000000000004</v>
      </c>
      <c r="U65" s="11">
        <f>AVERAGE(0.25,0,0.75,0.5,0.5)</f>
        <v>0.4</v>
      </c>
      <c r="V65" s="11">
        <f>(2*U65*T65)/(U65+T65)</f>
        <v>0.4097560975609757</v>
      </c>
      <c r="W65" s="11">
        <v>0.4</v>
      </c>
      <c r="X65" s="30"/>
      <c r="Y65" s="1"/>
      <c r="Z65" s="1"/>
      <c r="AA65" s="3">
        <v>23</v>
      </c>
      <c r="AB65" s="34"/>
      <c r="AC65" s="65" t="s">
        <v>10</v>
      </c>
      <c r="AD65" s="65" t="s">
        <v>10</v>
      </c>
      <c r="AE65" s="65" t="s">
        <v>10</v>
      </c>
      <c r="AF65" s="65" t="s">
        <v>10</v>
      </c>
      <c r="AG65" s="3">
        <v>3</v>
      </c>
      <c r="AH65" s="5">
        <f>AVERAGE(0.5,0,0.75,0.22,0.4)</f>
        <v>0.374</v>
      </c>
      <c r="AI65" s="5">
        <f>AVERAGE(0.25,0,0.75,0.5,0.5)</f>
        <v>0.4</v>
      </c>
      <c r="AJ65" s="5">
        <f>(2*AI65*AH65)/(AI65+AH65)</f>
        <v>0.38656330749354006</v>
      </c>
      <c r="AK65" s="5">
        <v>0.4</v>
      </c>
      <c r="AL65" s="26"/>
    </row>
    <row r="66" spans="3:38" ht="21.75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3">
        <v>24</v>
      </c>
      <c r="N66" s="34"/>
      <c r="O66" s="64"/>
      <c r="P66" s="64" t="s">
        <v>10</v>
      </c>
      <c r="Q66" s="64"/>
      <c r="R66" s="64" t="s">
        <v>10</v>
      </c>
      <c r="S66" s="3">
        <v>4</v>
      </c>
      <c r="T66" s="11">
        <f>AVERAGE(0.5,0,1,0.2,0.4)</f>
        <v>0.42000000000000004</v>
      </c>
      <c r="U66" s="11">
        <f>AVERAGE(0.25,0,0.75,0.5,0.5)</f>
        <v>0.4</v>
      </c>
      <c r="V66" s="11">
        <f>(2*U66*T66)/(U66+T66)</f>
        <v>0.4097560975609757</v>
      </c>
      <c r="W66" s="11">
        <v>0.4</v>
      </c>
      <c r="X66" s="30"/>
      <c r="Y66" s="1"/>
      <c r="Z66" s="1"/>
      <c r="AA66" s="3">
        <v>24</v>
      </c>
      <c r="AB66" s="34"/>
      <c r="AC66" s="65" t="s">
        <v>10</v>
      </c>
      <c r="AD66" s="65" t="s">
        <v>10</v>
      </c>
      <c r="AE66" s="65" t="s">
        <v>10</v>
      </c>
      <c r="AF66" s="65" t="s">
        <v>10</v>
      </c>
      <c r="AG66" s="3">
        <v>4</v>
      </c>
      <c r="AH66" s="5">
        <f>AVERAGE(0.5,0,0.6,0.25,0.4)</f>
        <v>0.35</v>
      </c>
      <c r="AI66" s="5">
        <f>AVERAGE(0.25,0,0.75,0.5,0.5)</f>
        <v>0.4</v>
      </c>
      <c r="AJ66" s="5">
        <f>(2*AI66*AH66)/(AI66+AH66)</f>
        <v>0.37333333333333329</v>
      </c>
      <c r="AK66" s="5">
        <v>0.4</v>
      </c>
      <c r="AL66" s="26"/>
    </row>
    <row r="67" spans="3:38" ht="21.75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3">
        <v>25</v>
      </c>
      <c r="N67" s="34"/>
      <c r="O67" s="64"/>
      <c r="P67" s="64" t="s">
        <v>10</v>
      </c>
      <c r="Q67" s="64"/>
      <c r="R67" s="64" t="s">
        <v>10</v>
      </c>
      <c r="S67" s="3">
        <v>5</v>
      </c>
      <c r="T67" s="11">
        <f>AVERAGE(0.5,0,1,0.23,0.33)</f>
        <v>0.41200000000000003</v>
      </c>
      <c r="U67" s="11">
        <f>AVERAGE(0.25,0,0.5,0.75,0.25)</f>
        <v>0.35</v>
      </c>
      <c r="V67" s="11">
        <f>(2*U67*T67)/(U67+T67)</f>
        <v>0.37847769028871392</v>
      </c>
      <c r="W67" s="11">
        <v>0.35</v>
      </c>
      <c r="X67" s="30"/>
      <c r="Y67" s="1"/>
      <c r="Z67" s="1"/>
      <c r="AA67" s="3">
        <v>25</v>
      </c>
      <c r="AB67" s="34"/>
      <c r="AC67" s="65" t="s">
        <v>10</v>
      </c>
      <c r="AD67" s="65" t="s">
        <v>10</v>
      </c>
      <c r="AE67" s="65" t="s">
        <v>10</v>
      </c>
      <c r="AF67" s="65" t="s">
        <v>10</v>
      </c>
      <c r="AG67" s="3">
        <v>5</v>
      </c>
      <c r="AH67" s="5">
        <f>AVERAGE(0.5,0,0.5,0.29,0.4)</f>
        <v>0.33799999999999997</v>
      </c>
      <c r="AI67" s="5">
        <f>AVERAGE(0.25,0,0.75,0.5,0.5)</f>
        <v>0.4</v>
      </c>
      <c r="AJ67" s="5">
        <f>(2*AI67*AH67)/(AI67+AH67)</f>
        <v>0.36639566395663953</v>
      </c>
      <c r="AK67" s="5">
        <v>0.4</v>
      </c>
      <c r="AL67" s="26"/>
    </row>
    <row r="68" spans="3:38" ht="21.75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26</v>
      </c>
      <c r="N68" s="34"/>
      <c r="O68" s="65"/>
      <c r="P68" s="65"/>
      <c r="Q68" s="65" t="s">
        <v>10</v>
      </c>
      <c r="R68" s="65" t="s">
        <v>10</v>
      </c>
      <c r="S68" s="3">
        <v>1</v>
      </c>
      <c r="T68" s="5">
        <f>AVERAGE(0.5,0,0.44,0,0.5)</f>
        <v>0.28799999999999998</v>
      </c>
      <c r="U68" s="5">
        <f>AVERAGE(0.25,0,1,0,0.75)</f>
        <v>0.4</v>
      </c>
      <c r="V68" s="5">
        <f>(2*U68*T68)/(U68+T68)</f>
        <v>0.33488372093023255</v>
      </c>
      <c r="W68" s="5">
        <v>0.4</v>
      </c>
      <c r="X68" s="26">
        <f>MAX(W68:W72)</f>
        <v>0.4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3:38" ht="21.75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3">
        <v>27</v>
      </c>
      <c r="N69" s="34"/>
      <c r="O69" s="65"/>
      <c r="P69" s="65"/>
      <c r="Q69" s="65" t="s">
        <v>10</v>
      </c>
      <c r="R69" s="65" t="s">
        <v>10</v>
      </c>
      <c r="S69" s="3">
        <v>2</v>
      </c>
      <c r="T69" s="5">
        <f>AVERAGE(0.5,0,0.5,0.2,0.43)</f>
        <v>0.32599999999999996</v>
      </c>
      <c r="U69" s="5">
        <f>AVERAGE(0.25,0,0.75,0.25,0.75)</f>
        <v>0.4</v>
      </c>
      <c r="V69" s="5">
        <f>(2*U69*T69)/(U69+T69)</f>
        <v>0.35922865013774102</v>
      </c>
      <c r="W69" s="5">
        <v>0.4</v>
      </c>
      <c r="X69" s="2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3:38" ht="21.75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3">
        <v>28</v>
      </c>
      <c r="N70" s="34"/>
      <c r="O70" s="65"/>
      <c r="P70" s="65"/>
      <c r="Q70" s="65" t="s">
        <v>10</v>
      </c>
      <c r="R70" s="65" t="s">
        <v>10</v>
      </c>
      <c r="S70" s="3">
        <v>3</v>
      </c>
      <c r="T70" s="5">
        <f>AVERAGE(0.5,0,0.5,0.29,0.4)</f>
        <v>0.33799999999999997</v>
      </c>
      <c r="U70" s="5">
        <f>AVERAGE(0.25,0,0.75,0.5,0.5)</f>
        <v>0.4</v>
      </c>
      <c r="V70" s="5">
        <f>(2*U70*T70)/(U70+T70)</f>
        <v>0.36639566395663953</v>
      </c>
      <c r="W70" s="5">
        <v>0.4</v>
      </c>
      <c r="X70" s="2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3:38" ht="21.75" x14ac:dyDescent="0.6">
      <c r="C71" s="1"/>
      <c r="D71" s="1"/>
      <c r="E71" s="1"/>
      <c r="F71" s="1"/>
      <c r="G71" s="1"/>
      <c r="H71" s="1"/>
      <c r="I71" s="1"/>
      <c r="J71" s="1"/>
      <c r="K71" s="1"/>
      <c r="L71" s="1"/>
      <c r="M71" s="3">
        <v>29</v>
      </c>
      <c r="N71" s="34"/>
      <c r="O71" s="65"/>
      <c r="P71" s="65"/>
      <c r="Q71" s="65" t="s">
        <v>10</v>
      </c>
      <c r="R71" s="65" t="s">
        <v>10</v>
      </c>
      <c r="S71" s="3">
        <v>4</v>
      </c>
      <c r="T71" s="5">
        <f>AVERAGE(0.5,0,0.5,0.29,0.4)</f>
        <v>0.33799999999999997</v>
      </c>
      <c r="U71" s="5">
        <f>AVERAGE(0.25,0,0.75,0.5,0.5)</f>
        <v>0.4</v>
      </c>
      <c r="V71" s="5">
        <f>(2*U71*T71)/(U71+T71)</f>
        <v>0.36639566395663953</v>
      </c>
      <c r="W71" s="5">
        <v>0.4</v>
      </c>
      <c r="X71" s="26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</row>
    <row r="72" spans="3:38" ht="21.75" x14ac:dyDescent="0.6">
      <c r="C72" s="1"/>
      <c r="D72" s="1"/>
      <c r="E72" s="1"/>
      <c r="F72" s="1"/>
      <c r="G72" s="1"/>
      <c r="H72" s="1"/>
      <c r="I72" s="1"/>
      <c r="J72" s="1"/>
      <c r="K72" s="1"/>
      <c r="L72" s="1"/>
      <c r="M72" s="3">
        <v>30</v>
      </c>
      <c r="N72" s="34"/>
      <c r="O72" s="65"/>
      <c r="P72" s="65"/>
      <c r="Q72" s="65" t="s">
        <v>10</v>
      </c>
      <c r="R72" s="65" t="s">
        <v>10</v>
      </c>
      <c r="S72" s="3">
        <v>5</v>
      </c>
      <c r="T72" s="5">
        <f>AVERAGE(0.5,0,0.5,0.22,0.33)</f>
        <v>0.31</v>
      </c>
      <c r="U72" s="5">
        <f>AVERAGE(0.25,0,0.75,0.5,0.25)</f>
        <v>0.35</v>
      </c>
      <c r="V72" s="5">
        <f>(2*U72*T72)/(U72+T72)</f>
        <v>0.32878787878787885</v>
      </c>
      <c r="W72" s="5">
        <v>0.35</v>
      </c>
      <c r="X72" s="26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</row>
  </sheetData>
  <mergeCells count="103">
    <mergeCell ref="AJ41:AJ42"/>
    <mergeCell ref="AK41:AK42"/>
    <mergeCell ref="AL17:AL21"/>
    <mergeCell ref="AL22:AL26"/>
    <mergeCell ref="AL27:AL31"/>
    <mergeCell ref="AA3:AL4"/>
    <mergeCell ref="AL41:AL42"/>
    <mergeCell ref="AL43:AL47"/>
    <mergeCell ref="AA41:AA42"/>
    <mergeCell ref="AB41:AB42"/>
    <mergeCell ref="AC41:AF41"/>
    <mergeCell ref="AG41:AG42"/>
    <mergeCell ref="X63:X67"/>
    <mergeCell ref="AB63:AB67"/>
    <mergeCell ref="X68:X72"/>
    <mergeCell ref="AL58:AL62"/>
    <mergeCell ref="AL63:AL67"/>
    <mergeCell ref="AA39:AL40"/>
    <mergeCell ref="AL48:AL52"/>
    <mergeCell ref="AL53:AL57"/>
    <mergeCell ref="AH41:AH42"/>
    <mergeCell ref="AI41:AI42"/>
    <mergeCell ref="D43:D47"/>
    <mergeCell ref="J43:J47"/>
    <mergeCell ref="N43:N72"/>
    <mergeCell ref="X43:X47"/>
    <mergeCell ref="AB43:AB62"/>
    <mergeCell ref="D48:D52"/>
    <mergeCell ref="J48:J52"/>
    <mergeCell ref="X48:X52"/>
    <mergeCell ref="D53:D57"/>
    <mergeCell ref="J53:J57"/>
    <mergeCell ref="T41:T42"/>
    <mergeCell ref="U41:U42"/>
    <mergeCell ref="V41:V42"/>
    <mergeCell ref="W41:W42"/>
    <mergeCell ref="X41:X42"/>
    <mergeCell ref="J7:J11"/>
    <mergeCell ref="J12:J16"/>
    <mergeCell ref="J17:J21"/>
    <mergeCell ref="I41:I42"/>
    <mergeCell ref="J41:J42"/>
    <mergeCell ref="M41:M42"/>
    <mergeCell ref="N41:N42"/>
    <mergeCell ref="O41:R41"/>
    <mergeCell ref="S41:S42"/>
    <mergeCell ref="C3:J4"/>
    <mergeCell ref="M3:X4"/>
    <mergeCell ref="C39:J40"/>
    <mergeCell ref="M39:X40"/>
    <mergeCell ref="C41:C42"/>
    <mergeCell ref="D41:D42"/>
    <mergeCell ref="E41:E42"/>
    <mergeCell ref="F41:F42"/>
    <mergeCell ref="G41:G42"/>
    <mergeCell ref="H41:H42"/>
    <mergeCell ref="AK5:AK6"/>
    <mergeCell ref="AL5:AL6"/>
    <mergeCell ref="J22:J26"/>
    <mergeCell ref="X5:X6"/>
    <mergeCell ref="X7:X11"/>
    <mergeCell ref="X12:X16"/>
    <mergeCell ref="X17:X21"/>
    <mergeCell ref="X22:X26"/>
    <mergeCell ref="AL7:AL11"/>
    <mergeCell ref="AL12:AL16"/>
    <mergeCell ref="F5:F6"/>
    <mergeCell ref="G5:G6"/>
    <mergeCell ref="I5:I6"/>
    <mergeCell ref="V5:V6"/>
    <mergeCell ref="W5:W6"/>
    <mergeCell ref="AJ5:AJ6"/>
    <mergeCell ref="AG5:AG6"/>
    <mergeCell ref="AH5:AH6"/>
    <mergeCell ref="T5:T6"/>
    <mergeCell ref="N7:N36"/>
    <mergeCell ref="X32:X36"/>
    <mergeCell ref="H5:H6"/>
    <mergeCell ref="X27:X31"/>
    <mergeCell ref="AB27:AB31"/>
    <mergeCell ref="AH37:AH38"/>
    <mergeCell ref="U5:U6"/>
    <mergeCell ref="J5:J6"/>
    <mergeCell ref="C5:C6"/>
    <mergeCell ref="D5:D6"/>
    <mergeCell ref="E5:E6"/>
    <mergeCell ref="D12:D16"/>
    <mergeCell ref="D17:D21"/>
    <mergeCell ref="D22:D26"/>
    <mergeCell ref="D7:D11"/>
    <mergeCell ref="X53:X57"/>
    <mergeCell ref="D58:D62"/>
    <mergeCell ref="J58:J62"/>
    <mergeCell ref="X58:X62"/>
    <mergeCell ref="M5:M6"/>
    <mergeCell ref="N5:N6"/>
    <mergeCell ref="O5:R5"/>
    <mergeCell ref="S5:S6"/>
    <mergeCell ref="AI5:AI6"/>
    <mergeCell ref="AB7:AB26"/>
    <mergeCell ref="AA5:AA6"/>
    <mergeCell ref="AB5:AB6"/>
    <mergeCell ref="AC5:A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Skenario Gabungan</vt:lpstr>
      <vt:lpstr>Skenario Warna</vt:lpstr>
      <vt:lpstr>Skenario GLCM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Akbar Ramadhan</dc:creator>
  <cp:lastModifiedBy>M Akbar Ramadhan</cp:lastModifiedBy>
  <dcterms:created xsi:type="dcterms:W3CDTF">2023-06-21T06:12:49Z</dcterms:created>
  <dcterms:modified xsi:type="dcterms:W3CDTF">2023-06-24T13:42:51Z</dcterms:modified>
</cp:coreProperties>
</file>