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CF76" lockStructure="1"/>
  <bookViews>
    <workbookView xWindow="-90" yWindow="-195" windowWidth="19320" windowHeight="11760"/>
  </bookViews>
  <sheets>
    <sheet name="Freq Calcs" sheetId="1" r:id="rId1"/>
    <sheet name="VCO_CNT Calcs" sheetId="4" r:id="rId2"/>
    <sheet name="Hidden Calcs" sheetId="3" state="hidden" r:id="rId3"/>
  </sheets>
  <definedNames>
    <definedName name="CHAN_STEP_SIZE">'Hidden Calcs'!$N$3</definedName>
    <definedName name="CHAN_STEP_SIZE_HEX">'Hidden Calcs'!$N$6</definedName>
    <definedName name="Chip_Type_List">'Hidden Calcs'!$B$3:$B$6</definedName>
    <definedName name="CNT_RX">'Hidden Calcs'!$L$9</definedName>
    <definedName name="CNT_TX">'Hidden Calcs'!$L$3</definedName>
    <definedName name="DIVCODE_RX">'Hidden Calcs'!$F$6</definedName>
    <definedName name="DIVCODE_TX">'Hidden Calcs'!$F$3</definedName>
    <definedName name="FDEV_ACT_kHz">'Hidden Calcs'!$R$15</definedName>
    <definedName name="FDEV_kHz">'Freq Calcs'!$D$24</definedName>
    <definedName name="FDR_ACT_kbps">'Hidden Calcs'!$R$9</definedName>
    <definedName name="FDR_kbps">'Freq Calcs'!$D$21</definedName>
    <definedName name="FERR_Hz">'Freq Calcs'!$AL$18</definedName>
    <definedName name="FREQ_FRAC_RX">'Hidden Calcs'!$J$9</definedName>
    <definedName name="FREQ_FRAC_RX_HEX">'Hidden Calcs'!$J$12</definedName>
    <definedName name="FREQ_FRAC_TX">'Hidden Calcs'!$H$9</definedName>
    <definedName name="FREQ_FRAC_TX_HEX">'Hidden Calcs'!$H$12</definedName>
    <definedName name="FREQ_IF_kHz">'Hidden Calcs'!$P$3</definedName>
    <definedName name="FREQ_INTE_RX">'Hidden Calcs'!$J$3</definedName>
    <definedName name="FREQ_INTE_TX">'Hidden Calcs'!$H$3</definedName>
    <definedName name="FREQ_INTE_TX_HEX">'Hidden Calcs'!$H$6</definedName>
    <definedName name="FREQ_RES_Hz">'Freq Calcs'!$X$15</definedName>
    <definedName name="FRX_ACT_MHz">'Hidden Calcs'!$J$15</definedName>
    <definedName name="FSTEP_ACT_kHz">'Hidden Calcs'!$N$9</definedName>
    <definedName name="FSTEP_kHz">'Freq Calcs'!$D$18</definedName>
    <definedName name="FTX_ACT_MHz">'Hidden Calcs'!$H$15</definedName>
    <definedName name="FTX_MHz">'Freq Calcs'!$D$9</definedName>
    <definedName name="FVCO_RX_ACT_MHz">'Hidden Calcs'!$J$18</definedName>
    <definedName name="FVCO_RX_MHz">'Freq Calcs'!$AL$12</definedName>
    <definedName name="FVCO_TX_ACT_MHz">'Hidden Calcs'!$H$18</definedName>
    <definedName name="FVCO_TX_MHz">'Freq Calcs'!$AA$12</definedName>
    <definedName name="FXTAL_MHz">'Freq Calcs'!$D$12</definedName>
    <definedName name="Invalid_Freq_Flag">'Hidden Calcs'!$B$15</definedName>
    <definedName name="MODEM_DATA_RATE_HEX">'Hidden Calcs'!$R$6</definedName>
    <definedName name="MODEM_FREQ_DEV_HEX">'Hidden Calcs'!$R$12</definedName>
    <definedName name="MODEM_IF_FREQ_HEX">'Hidden Calcs'!$P$6</definedName>
    <definedName name="MODEM_TX_NCO_MODE_HEX">'Hidden Calcs'!$R$3</definedName>
    <definedName name="NOUTDIV">'Hidden Calcs'!$B$18</definedName>
    <definedName name="NPRESC">'Hidden Calcs'!$D$6</definedName>
    <definedName name="Sel_Chip_Type">'Hidden Calcs'!$B$9</definedName>
    <definedName name="SY_SEL">'Hidden Calcs'!$D$3</definedName>
    <definedName name="VCO_CNT_RX">'Hidden Calcs'!$L$12</definedName>
    <definedName name="VCO_CNT_TX">'Hidden Calcs'!$L$6</definedName>
    <definedName name="VCOCNT_RX_ADJ">'Hidden Calcs'!$P$9</definedName>
    <definedName name="VCOCNT_RX_ADJ_HEX">'Hidden Calcs'!$P$12</definedName>
    <definedName name="WSIZE">'Freq Calcs'!$D$15</definedName>
  </definedNames>
  <calcPr calcId="145621"/>
</workbook>
</file>

<file path=xl/calcChain.xml><?xml version="1.0" encoding="utf-8"?>
<calcChain xmlns="http://schemas.openxmlformats.org/spreadsheetml/2006/main">
  <c r="R6" i="3" l="1"/>
  <c r="AW24" i="1" s="1"/>
  <c r="R3" i="3"/>
  <c r="AW21" i="1" s="1"/>
  <c r="R9" i="3" l="1"/>
  <c r="AA24" i="1" s="1"/>
  <c r="P3" i="3"/>
  <c r="B18" i="3"/>
  <c r="R12" i="3" s="1"/>
  <c r="B15" i="3"/>
  <c r="C30" i="1" s="1"/>
  <c r="AL24" i="1" l="1"/>
  <c r="AW27" i="1"/>
  <c r="X6" i="1"/>
  <c r="B8" i="4" l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7" i="4"/>
  <c r="B45" i="4" l="1"/>
  <c r="M15" i="1"/>
  <c r="B46" i="4" l="1"/>
  <c r="D6" i="3"/>
  <c r="P9" i="3" s="1"/>
  <c r="P12" i="3" s="1"/>
  <c r="AW15" i="1" s="1"/>
  <c r="B12" i="3"/>
  <c r="B47" i="4" l="1"/>
  <c r="N3" i="3"/>
  <c r="N6" i="3" s="1"/>
  <c r="X15" i="1"/>
  <c r="R15" i="3" s="1"/>
  <c r="AL12" i="1"/>
  <c r="F6" i="3" s="1"/>
  <c r="AA12" i="1"/>
  <c r="F3" i="3" s="1"/>
  <c r="X9" i="1"/>
  <c r="AL27" i="1" l="1"/>
  <c r="AA27" i="1"/>
  <c r="P6" i="3"/>
  <c r="AW18" i="1" s="1"/>
  <c r="AW12" i="1"/>
  <c r="J3" i="3"/>
  <c r="J9" i="3"/>
  <c r="J12" i="3" s="1"/>
  <c r="H3" i="3"/>
  <c r="H6" i="3" s="1"/>
  <c r="AX6" i="1" s="1"/>
  <c r="H9" i="3"/>
  <c r="H12" i="3" s="1"/>
  <c r="B48" i="4"/>
  <c r="N9" i="3"/>
  <c r="AL21" i="1" s="1"/>
  <c r="L9" i="3"/>
  <c r="L12" i="3" s="1"/>
  <c r="L3" i="3"/>
  <c r="L6" i="3" s="1"/>
  <c r="J6" i="3" l="1"/>
  <c r="J15" i="3"/>
  <c r="H15" i="3"/>
  <c r="AA18" i="1" s="1"/>
  <c r="AW9" i="1"/>
  <c r="AA21" i="1"/>
  <c r="B49" i="4"/>
  <c r="B50" i="4" l="1"/>
  <c r="H18" i="3" l="1"/>
  <c r="C13" i="4"/>
  <c r="H13" i="4" s="1"/>
  <c r="C29" i="4"/>
  <c r="C45" i="4"/>
  <c r="C14" i="4"/>
  <c r="H14" i="4" s="1"/>
  <c r="C50" i="4"/>
  <c r="C27" i="4"/>
  <c r="C20" i="4"/>
  <c r="C36" i="4"/>
  <c r="C10" i="4"/>
  <c r="H10" i="4" s="1"/>
  <c r="C38" i="4"/>
  <c r="C15" i="4"/>
  <c r="C47" i="4"/>
  <c r="C25" i="4"/>
  <c r="C41" i="4"/>
  <c r="C16" i="4"/>
  <c r="C48" i="4"/>
  <c r="C17" i="4"/>
  <c r="C33" i="4"/>
  <c r="C49" i="4"/>
  <c r="C22" i="4"/>
  <c r="C35" i="4"/>
  <c r="C8" i="4"/>
  <c r="H8" i="4" s="1"/>
  <c r="C24" i="4"/>
  <c r="C40" i="4"/>
  <c r="C18" i="4"/>
  <c r="C46" i="4"/>
  <c r="C23" i="4"/>
  <c r="C19" i="4"/>
  <c r="C32" i="4"/>
  <c r="C39" i="4"/>
  <c r="C21" i="4"/>
  <c r="C37" i="4"/>
  <c r="C34" i="4"/>
  <c r="C11" i="4"/>
  <c r="H11" i="4" s="1"/>
  <c r="C43" i="4"/>
  <c r="C12" i="4"/>
  <c r="H12" i="4" s="1"/>
  <c r="C28" i="4"/>
  <c r="C44" i="4"/>
  <c r="C6" i="4"/>
  <c r="H6" i="4" s="1"/>
  <c r="C26" i="4"/>
  <c r="C31" i="4"/>
  <c r="C9" i="4"/>
  <c r="H9" i="4" s="1"/>
  <c r="C42" i="4"/>
  <c r="C30" i="4"/>
  <c r="C7" i="4"/>
  <c r="H7" i="4" s="1"/>
  <c r="J18" i="3"/>
  <c r="D16" i="4"/>
  <c r="D32" i="4"/>
  <c r="D48" i="4"/>
  <c r="D33" i="4"/>
  <c r="D14" i="4"/>
  <c r="D46" i="4"/>
  <c r="D7" i="4"/>
  <c r="D23" i="4"/>
  <c r="D39" i="4"/>
  <c r="D29" i="4"/>
  <c r="D34" i="4"/>
  <c r="D12" i="4"/>
  <c r="D28" i="4"/>
  <c r="D44" i="4"/>
  <c r="D25" i="4"/>
  <c r="D19" i="4"/>
  <c r="D26" i="4"/>
  <c r="D20" i="4"/>
  <c r="D36" i="4"/>
  <c r="D9" i="4"/>
  <c r="D41" i="4"/>
  <c r="D22" i="4"/>
  <c r="D11" i="4"/>
  <c r="D27" i="4"/>
  <c r="D43" i="4"/>
  <c r="D37" i="4"/>
  <c r="D10" i="4"/>
  <c r="D42" i="4"/>
  <c r="D6" i="4"/>
  <c r="D35" i="4"/>
  <c r="D21" i="4"/>
  <c r="D8" i="4"/>
  <c r="D24" i="4"/>
  <c r="D40" i="4"/>
  <c r="D17" i="4"/>
  <c r="D49" i="4"/>
  <c r="D30" i="4"/>
  <c r="D15" i="4"/>
  <c r="D31" i="4"/>
  <c r="D47" i="4"/>
  <c r="D13" i="4"/>
  <c r="D45" i="4"/>
  <c r="D18" i="4"/>
  <c r="D50" i="4"/>
  <c r="D38" i="4"/>
  <c r="B51" i="4"/>
  <c r="D51" i="4" s="1"/>
  <c r="AL18" i="1"/>
  <c r="C3" i="4"/>
  <c r="N11" i="4" l="1"/>
  <c r="O11" i="4"/>
  <c r="P11" i="4"/>
  <c r="N7" i="4"/>
  <c r="O7" i="4"/>
  <c r="P7" i="4"/>
  <c r="N13" i="4"/>
  <c r="O13" i="4"/>
  <c r="P13" i="4"/>
  <c r="O12" i="4"/>
  <c r="P12" i="4"/>
  <c r="N12" i="4"/>
  <c r="O14" i="4"/>
  <c r="P14" i="4"/>
  <c r="N14" i="4"/>
  <c r="N9" i="4"/>
  <c r="O9" i="4"/>
  <c r="P9" i="4"/>
  <c r="O8" i="4"/>
  <c r="P8" i="4"/>
  <c r="N8" i="4"/>
  <c r="O10" i="4"/>
  <c r="P10" i="4"/>
  <c r="N10" i="4"/>
  <c r="O6" i="4"/>
  <c r="P6" i="4"/>
  <c r="N6" i="4"/>
  <c r="C51" i="4"/>
  <c r="G51" i="4" s="1"/>
  <c r="M51" i="4" s="1"/>
  <c r="G30" i="4"/>
  <c r="M30" i="4" s="1"/>
  <c r="H30" i="4"/>
  <c r="G34" i="4"/>
  <c r="M34" i="4" s="1"/>
  <c r="H34" i="4"/>
  <c r="G29" i="4"/>
  <c r="M29" i="4" s="1"/>
  <c r="H29" i="4"/>
  <c r="G46" i="4"/>
  <c r="M46" i="4" s="1"/>
  <c r="H46" i="4"/>
  <c r="G43" i="4"/>
  <c r="M43" i="4" s="1"/>
  <c r="H43" i="4"/>
  <c r="G37" i="4"/>
  <c r="M37" i="4" s="1"/>
  <c r="H37" i="4"/>
  <c r="G19" i="4"/>
  <c r="M19" i="4" s="1"/>
  <c r="H19" i="4"/>
  <c r="G18" i="4"/>
  <c r="M18" i="4" s="1"/>
  <c r="H18" i="4"/>
  <c r="G33" i="4"/>
  <c r="M33" i="4" s="1"/>
  <c r="H33" i="4"/>
  <c r="G15" i="4"/>
  <c r="M15" i="4" s="1"/>
  <c r="H15" i="4"/>
  <c r="G36" i="4"/>
  <c r="M36" i="4" s="1"/>
  <c r="H36" i="4"/>
  <c r="G28" i="4"/>
  <c r="M28" i="4" s="1"/>
  <c r="H28" i="4"/>
  <c r="G39" i="4"/>
  <c r="M39" i="4" s="1"/>
  <c r="H39" i="4"/>
  <c r="G23" i="4"/>
  <c r="M23" i="4" s="1"/>
  <c r="H23" i="4"/>
  <c r="G40" i="4"/>
  <c r="M40" i="4" s="1"/>
  <c r="H40" i="4"/>
  <c r="G22" i="4"/>
  <c r="M22" i="4" s="1"/>
  <c r="H22" i="4"/>
  <c r="G48" i="4"/>
  <c r="M48" i="4" s="1"/>
  <c r="H48" i="4"/>
  <c r="G25" i="4"/>
  <c r="M25" i="4" s="1"/>
  <c r="H25" i="4"/>
  <c r="G27" i="4"/>
  <c r="M27" i="4" s="1"/>
  <c r="H27" i="4"/>
  <c r="G42" i="4"/>
  <c r="M42" i="4" s="1"/>
  <c r="H42" i="4"/>
  <c r="G26" i="4"/>
  <c r="M26" i="4" s="1"/>
  <c r="H26" i="4"/>
  <c r="G32" i="4"/>
  <c r="M32" i="4" s="1"/>
  <c r="H32" i="4"/>
  <c r="G24" i="4"/>
  <c r="M24" i="4" s="1"/>
  <c r="H24" i="4"/>
  <c r="G49" i="4"/>
  <c r="M49" i="4" s="1"/>
  <c r="H49" i="4"/>
  <c r="G16" i="4"/>
  <c r="M16" i="4" s="1"/>
  <c r="H16" i="4"/>
  <c r="G47" i="4"/>
  <c r="M47" i="4" s="1"/>
  <c r="H47" i="4"/>
  <c r="G50" i="4"/>
  <c r="M50" i="4" s="1"/>
  <c r="H50" i="4"/>
  <c r="G31" i="4"/>
  <c r="M31" i="4" s="1"/>
  <c r="H31" i="4"/>
  <c r="G44" i="4"/>
  <c r="M44" i="4" s="1"/>
  <c r="H44" i="4"/>
  <c r="G21" i="4"/>
  <c r="M21" i="4" s="1"/>
  <c r="H21" i="4"/>
  <c r="G35" i="4"/>
  <c r="M35" i="4" s="1"/>
  <c r="H35" i="4"/>
  <c r="G17" i="4"/>
  <c r="M17" i="4" s="1"/>
  <c r="H17" i="4"/>
  <c r="G41" i="4"/>
  <c r="M41" i="4" s="1"/>
  <c r="H41" i="4"/>
  <c r="G38" i="4"/>
  <c r="M38" i="4" s="1"/>
  <c r="H38" i="4"/>
  <c r="G20" i="4"/>
  <c r="M20" i="4" s="1"/>
  <c r="H20" i="4"/>
  <c r="G45" i="4"/>
  <c r="M45" i="4" s="1"/>
  <c r="H45" i="4"/>
  <c r="G10" i="4"/>
  <c r="M10" i="4" s="1"/>
  <c r="G12" i="4"/>
  <c r="M12" i="4" s="1"/>
  <c r="G13" i="4"/>
  <c r="M13" i="4" s="1"/>
  <c r="G9" i="4"/>
  <c r="M9" i="4" s="1"/>
  <c r="G8" i="4"/>
  <c r="M8" i="4" s="1"/>
  <c r="G14" i="4"/>
  <c r="M14" i="4" s="1"/>
  <c r="G11" i="4"/>
  <c r="M11" i="4" s="1"/>
  <c r="G6" i="4"/>
  <c r="M6" i="4" s="1"/>
  <c r="G7" i="4"/>
  <c r="M7" i="4" s="1"/>
  <c r="I7" i="4"/>
  <c r="J7" i="4" s="1"/>
  <c r="I11" i="4"/>
  <c r="J11" i="4" s="1"/>
  <c r="I15" i="4"/>
  <c r="J15" i="4" s="1"/>
  <c r="I19" i="4"/>
  <c r="J19" i="4" s="1"/>
  <c r="I23" i="4"/>
  <c r="J23" i="4" s="1"/>
  <c r="I27" i="4"/>
  <c r="J27" i="4" s="1"/>
  <c r="I31" i="4"/>
  <c r="J31" i="4" s="1"/>
  <c r="I35" i="4"/>
  <c r="J35" i="4" s="1"/>
  <c r="I39" i="4"/>
  <c r="J39" i="4" s="1"/>
  <c r="I43" i="4"/>
  <c r="J43" i="4" s="1"/>
  <c r="I47" i="4"/>
  <c r="J47" i="4" s="1"/>
  <c r="I51" i="4"/>
  <c r="J51" i="4" s="1"/>
  <c r="I20" i="4"/>
  <c r="J20" i="4" s="1"/>
  <c r="I32" i="4"/>
  <c r="J32" i="4" s="1"/>
  <c r="I44" i="4"/>
  <c r="J44" i="4" s="1"/>
  <c r="I9" i="4"/>
  <c r="J9" i="4" s="1"/>
  <c r="I13" i="4"/>
  <c r="J13" i="4" s="1"/>
  <c r="I17" i="4"/>
  <c r="J17" i="4" s="1"/>
  <c r="I21" i="4"/>
  <c r="J21" i="4" s="1"/>
  <c r="I25" i="4"/>
  <c r="J25" i="4" s="1"/>
  <c r="I29" i="4"/>
  <c r="J29" i="4" s="1"/>
  <c r="I33" i="4"/>
  <c r="J33" i="4" s="1"/>
  <c r="I37" i="4"/>
  <c r="J37" i="4" s="1"/>
  <c r="I41" i="4"/>
  <c r="J41" i="4" s="1"/>
  <c r="I45" i="4"/>
  <c r="J45" i="4" s="1"/>
  <c r="I49" i="4"/>
  <c r="J49" i="4" s="1"/>
  <c r="I8" i="4"/>
  <c r="J8" i="4" s="1"/>
  <c r="I16" i="4"/>
  <c r="J16" i="4" s="1"/>
  <c r="I28" i="4"/>
  <c r="J28" i="4" s="1"/>
  <c r="I40" i="4"/>
  <c r="J40" i="4" s="1"/>
  <c r="I48" i="4"/>
  <c r="J48" i="4" s="1"/>
  <c r="I10" i="4"/>
  <c r="J10" i="4" s="1"/>
  <c r="I14" i="4"/>
  <c r="J14" i="4" s="1"/>
  <c r="I18" i="4"/>
  <c r="J18" i="4" s="1"/>
  <c r="I22" i="4"/>
  <c r="J22" i="4" s="1"/>
  <c r="I26" i="4"/>
  <c r="J26" i="4" s="1"/>
  <c r="I30" i="4"/>
  <c r="J30" i="4" s="1"/>
  <c r="I34" i="4"/>
  <c r="J34" i="4" s="1"/>
  <c r="I38" i="4"/>
  <c r="J38" i="4" s="1"/>
  <c r="I42" i="4"/>
  <c r="J42" i="4" s="1"/>
  <c r="I46" i="4"/>
  <c r="J46" i="4" s="1"/>
  <c r="I50" i="4"/>
  <c r="J50" i="4" s="1"/>
  <c r="I6" i="4"/>
  <c r="J6" i="4" s="1"/>
  <c r="I12" i="4"/>
  <c r="J12" i="4" s="1"/>
  <c r="I24" i="4"/>
  <c r="J24" i="4" s="1"/>
  <c r="I36" i="4"/>
  <c r="J36" i="4" s="1"/>
  <c r="E19" i="4"/>
  <c r="F19" i="4" s="1"/>
  <c r="E35" i="4"/>
  <c r="F35" i="4" s="1"/>
  <c r="E51" i="4"/>
  <c r="F51" i="4" s="1"/>
  <c r="E20" i="4"/>
  <c r="F20" i="4" s="1"/>
  <c r="E33" i="4"/>
  <c r="F33" i="4" s="1"/>
  <c r="E10" i="4"/>
  <c r="F10" i="4" s="1"/>
  <c r="E26" i="4"/>
  <c r="F26" i="4" s="1"/>
  <c r="E42" i="4"/>
  <c r="F42" i="4" s="1"/>
  <c r="E16" i="4"/>
  <c r="F16" i="4" s="1"/>
  <c r="E48" i="4"/>
  <c r="F48" i="4" s="1"/>
  <c r="E21" i="4"/>
  <c r="F21" i="4" s="1"/>
  <c r="E15" i="4"/>
  <c r="F15" i="4" s="1"/>
  <c r="E31" i="4"/>
  <c r="F31" i="4" s="1"/>
  <c r="E47" i="4"/>
  <c r="F47" i="4" s="1"/>
  <c r="E8" i="4"/>
  <c r="F8" i="4" s="1"/>
  <c r="E25" i="4"/>
  <c r="F25" i="4" s="1"/>
  <c r="E6" i="4"/>
  <c r="F6" i="4" s="1"/>
  <c r="E22" i="4"/>
  <c r="F22" i="4" s="1"/>
  <c r="E40" i="4"/>
  <c r="F40" i="4" s="1"/>
  <c r="E13" i="4"/>
  <c r="F13" i="4" s="1"/>
  <c r="E7" i="4"/>
  <c r="F7" i="4" s="1"/>
  <c r="E23" i="4"/>
  <c r="F23" i="4" s="1"/>
  <c r="E39" i="4"/>
  <c r="F39" i="4" s="1"/>
  <c r="E28" i="4"/>
  <c r="F28" i="4" s="1"/>
  <c r="E9" i="4"/>
  <c r="F9" i="4" s="1"/>
  <c r="E41" i="4"/>
  <c r="F41" i="4" s="1"/>
  <c r="E14" i="4"/>
  <c r="F14" i="4" s="1"/>
  <c r="E30" i="4"/>
  <c r="F30" i="4" s="1"/>
  <c r="E46" i="4"/>
  <c r="F46" i="4" s="1"/>
  <c r="E24" i="4"/>
  <c r="F24" i="4" s="1"/>
  <c r="E29" i="4"/>
  <c r="F29" i="4" s="1"/>
  <c r="E38" i="4"/>
  <c r="F38" i="4" s="1"/>
  <c r="E45" i="4"/>
  <c r="F45" i="4" s="1"/>
  <c r="E11" i="4"/>
  <c r="F11" i="4" s="1"/>
  <c r="E27" i="4"/>
  <c r="F27" i="4" s="1"/>
  <c r="E43" i="4"/>
  <c r="F43" i="4" s="1"/>
  <c r="E36" i="4"/>
  <c r="F36" i="4" s="1"/>
  <c r="E17" i="4"/>
  <c r="F17" i="4" s="1"/>
  <c r="E49" i="4"/>
  <c r="F49" i="4" s="1"/>
  <c r="E18" i="4"/>
  <c r="F18" i="4" s="1"/>
  <c r="E34" i="4"/>
  <c r="F34" i="4" s="1"/>
  <c r="E50" i="4"/>
  <c r="F50" i="4" s="1"/>
  <c r="E32" i="4"/>
  <c r="F32" i="4" s="1"/>
  <c r="E37" i="4"/>
  <c r="F37" i="4" s="1"/>
  <c r="E44" i="4"/>
  <c r="F44" i="4" s="1"/>
  <c r="E12" i="4"/>
  <c r="F12" i="4" s="1"/>
  <c r="B52" i="4"/>
  <c r="E52" i="4" s="1"/>
  <c r="F52" i="4" s="1"/>
  <c r="Q36" i="4" l="1"/>
  <c r="R36" i="4"/>
  <c r="Q34" i="4"/>
  <c r="R34" i="4"/>
  <c r="Q40" i="4"/>
  <c r="R40" i="4"/>
  <c r="Q33" i="4"/>
  <c r="R33" i="4"/>
  <c r="Q32" i="4"/>
  <c r="R32" i="4"/>
  <c r="Q27" i="4"/>
  <c r="R27" i="4"/>
  <c r="Q11" i="4"/>
  <c r="R11" i="4"/>
  <c r="O18" i="4"/>
  <c r="P18" i="4"/>
  <c r="N18" i="4"/>
  <c r="O46" i="4"/>
  <c r="P46" i="4"/>
  <c r="N46" i="4"/>
  <c r="O34" i="4"/>
  <c r="P34" i="4"/>
  <c r="N34" i="4"/>
  <c r="Q46" i="4"/>
  <c r="R46" i="4"/>
  <c r="Q14" i="4"/>
  <c r="R14" i="4"/>
  <c r="Q45" i="4"/>
  <c r="R45" i="4"/>
  <c r="Q13" i="4"/>
  <c r="R13" i="4"/>
  <c r="Q39" i="4"/>
  <c r="R39" i="4"/>
  <c r="Q7" i="4"/>
  <c r="R7" i="4"/>
  <c r="O20" i="4"/>
  <c r="P20" i="4"/>
  <c r="N20" i="4"/>
  <c r="N35" i="4"/>
  <c r="O35" i="4"/>
  <c r="P35" i="4"/>
  <c r="O50" i="4"/>
  <c r="P50" i="4"/>
  <c r="N50" i="4"/>
  <c r="O24" i="4"/>
  <c r="P24" i="4"/>
  <c r="N24" i="4"/>
  <c r="N27" i="4"/>
  <c r="O27" i="4"/>
  <c r="P27" i="4"/>
  <c r="O48" i="4"/>
  <c r="P48" i="4"/>
  <c r="N48" i="4"/>
  <c r="N39" i="4"/>
  <c r="O39" i="4"/>
  <c r="P39" i="4"/>
  <c r="O36" i="4"/>
  <c r="P36" i="4"/>
  <c r="N36" i="4"/>
  <c r="H51" i="4"/>
  <c r="Q12" i="4"/>
  <c r="R12" i="4"/>
  <c r="Q42" i="4"/>
  <c r="R42" i="4"/>
  <c r="Q26" i="4"/>
  <c r="R26" i="4"/>
  <c r="Q10" i="4"/>
  <c r="R10" i="4"/>
  <c r="Q16" i="4"/>
  <c r="R16" i="4"/>
  <c r="Q41" i="4"/>
  <c r="R41" i="4"/>
  <c r="Q25" i="4"/>
  <c r="R25" i="4"/>
  <c r="Q9" i="4"/>
  <c r="R9" i="4"/>
  <c r="Q51" i="4"/>
  <c r="R51" i="4"/>
  <c r="Q35" i="4"/>
  <c r="R35" i="4"/>
  <c r="Q19" i="4"/>
  <c r="R19" i="4"/>
  <c r="N33" i="4"/>
  <c r="O33" i="4"/>
  <c r="P33" i="4"/>
  <c r="N19" i="4"/>
  <c r="O19" i="4"/>
  <c r="P19" i="4"/>
  <c r="N43" i="4"/>
  <c r="O43" i="4"/>
  <c r="P43" i="4"/>
  <c r="N29" i="4"/>
  <c r="O29" i="4"/>
  <c r="P29" i="4"/>
  <c r="O30" i="4"/>
  <c r="P30" i="4"/>
  <c r="N30" i="4"/>
  <c r="Q50" i="4"/>
  <c r="R50" i="4"/>
  <c r="Q18" i="4"/>
  <c r="R18" i="4"/>
  <c r="Q49" i="4"/>
  <c r="R49" i="4"/>
  <c r="Q17" i="4"/>
  <c r="R17" i="4"/>
  <c r="Q43" i="4"/>
  <c r="R43" i="4"/>
  <c r="N37" i="4"/>
  <c r="O37" i="4"/>
  <c r="P37" i="4"/>
  <c r="Q24" i="4"/>
  <c r="R24" i="4"/>
  <c r="Q30" i="4"/>
  <c r="R30" i="4"/>
  <c r="Q28" i="4"/>
  <c r="R28" i="4"/>
  <c r="Q29" i="4"/>
  <c r="R29" i="4"/>
  <c r="Q20" i="4"/>
  <c r="R20" i="4"/>
  <c r="Q23" i="4"/>
  <c r="R23" i="4"/>
  <c r="N41" i="4"/>
  <c r="O41" i="4"/>
  <c r="P41" i="4"/>
  <c r="O44" i="4"/>
  <c r="P44" i="4"/>
  <c r="N44" i="4"/>
  <c r="O16" i="4"/>
  <c r="P16" i="4"/>
  <c r="N16" i="4"/>
  <c r="O26" i="4"/>
  <c r="P26" i="4"/>
  <c r="N26" i="4"/>
  <c r="O40" i="4"/>
  <c r="P40" i="4"/>
  <c r="N40" i="4"/>
  <c r="Q6" i="4"/>
  <c r="R6" i="4"/>
  <c r="Q38" i="4"/>
  <c r="R38" i="4"/>
  <c r="Q22" i="4"/>
  <c r="R22" i="4"/>
  <c r="Q48" i="4"/>
  <c r="R48" i="4"/>
  <c r="Q8" i="4"/>
  <c r="R8" i="4"/>
  <c r="Q37" i="4"/>
  <c r="R37" i="4"/>
  <c r="Q21" i="4"/>
  <c r="R21" i="4"/>
  <c r="Q44" i="4"/>
  <c r="R44" i="4"/>
  <c r="Q47" i="4"/>
  <c r="R47" i="4"/>
  <c r="Q31" i="4"/>
  <c r="R31" i="4"/>
  <c r="Q15" i="4"/>
  <c r="R15" i="4"/>
  <c r="N45" i="4"/>
  <c r="O45" i="4"/>
  <c r="P45" i="4"/>
  <c r="O38" i="4"/>
  <c r="P38" i="4"/>
  <c r="N38" i="4"/>
  <c r="N17" i="4"/>
  <c r="O17" i="4"/>
  <c r="P17" i="4"/>
  <c r="N21" i="4"/>
  <c r="O21" i="4"/>
  <c r="P21" i="4"/>
  <c r="N31" i="4"/>
  <c r="O31" i="4"/>
  <c r="P31" i="4"/>
  <c r="N47" i="4"/>
  <c r="O47" i="4"/>
  <c r="P47" i="4"/>
  <c r="N49" i="4"/>
  <c r="O49" i="4"/>
  <c r="P49" i="4"/>
  <c r="O32" i="4"/>
  <c r="P32" i="4"/>
  <c r="N32" i="4"/>
  <c r="O42" i="4"/>
  <c r="P42" i="4"/>
  <c r="N42" i="4"/>
  <c r="N25" i="4"/>
  <c r="O25" i="4"/>
  <c r="P25" i="4"/>
  <c r="O22" i="4"/>
  <c r="P22" i="4"/>
  <c r="N22" i="4"/>
  <c r="N23" i="4"/>
  <c r="O23" i="4"/>
  <c r="P23" i="4"/>
  <c r="O28" i="4"/>
  <c r="P28" i="4"/>
  <c r="N28" i="4"/>
  <c r="N15" i="4"/>
  <c r="O15" i="4"/>
  <c r="P15" i="4"/>
  <c r="C52" i="4"/>
  <c r="D52" i="4"/>
  <c r="I52" i="4"/>
  <c r="J52" i="4" s="1"/>
  <c r="B53" i="4"/>
  <c r="N51" i="4" l="1"/>
  <c r="O51" i="4"/>
  <c r="P51" i="4"/>
  <c r="Q52" i="4"/>
  <c r="R52" i="4"/>
  <c r="C53" i="4"/>
  <c r="D53" i="4"/>
  <c r="I53" i="4"/>
  <c r="J53" i="4" s="1"/>
  <c r="E53" i="4"/>
  <c r="F53" i="4" s="1"/>
  <c r="H52" i="4"/>
  <c r="G52" i="4"/>
  <c r="M52" i="4" s="1"/>
  <c r="B54" i="4"/>
  <c r="R53" i="4" l="1"/>
  <c r="Q53" i="4"/>
  <c r="O52" i="4"/>
  <c r="P52" i="4"/>
  <c r="N52" i="4"/>
  <c r="C54" i="4"/>
  <c r="D54" i="4"/>
  <c r="E54" i="4"/>
  <c r="F54" i="4" s="1"/>
  <c r="I54" i="4"/>
  <c r="J54" i="4" s="1"/>
  <c r="H53" i="4"/>
  <c r="G53" i="4"/>
  <c r="M53" i="4" s="1"/>
  <c r="B55" i="4"/>
  <c r="N53" i="4" l="1"/>
  <c r="P53" i="4"/>
  <c r="O53" i="4"/>
  <c r="R54" i="4"/>
  <c r="Q54" i="4"/>
  <c r="C55" i="4"/>
  <c r="D55" i="4"/>
  <c r="I55" i="4"/>
  <c r="J55" i="4" s="1"/>
  <c r="E55" i="4"/>
  <c r="F55" i="4" s="1"/>
  <c r="H54" i="4"/>
  <c r="G54" i="4"/>
  <c r="M54" i="4" s="1"/>
  <c r="B56" i="4"/>
  <c r="R55" i="4" l="1"/>
  <c r="Q55" i="4"/>
  <c r="P54" i="4"/>
  <c r="O54" i="4"/>
  <c r="N54" i="4"/>
  <c r="C56" i="4"/>
  <c r="D56" i="4"/>
  <c r="I56" i="4"/>
  <c r="J56" i="4" s="1"/>
  <c r="E56" i="4"/>
  <c r="F56" i="4" s="1"/>
  <c r="H55" i="4"/>
  <c r="G55" i="4"/>
  <c r="M55" i="4" s="1"/>
  <c r="N55" i="4" l="1"/>
  <c r="O55" i="4"/>
  <c r="P55" i="4"/>
  <c r="Q56" i="4"/>
  <c r="R56" i="4"/>
  <c r="H56" i="4"/>
  <c r="G56" i="4"/>
  <c r="M56" i="4" s="1"/>
  <c r="P56" i="4" l="1"/>
  <c r="N56" i="4"/>
  <c r="O56" i="4"/>
</calcChain>
</file>

<file path=xl/sharedStrings.xml><?xml version="1.0" encoding="utf-8"?>
<sst xmlns="http://schemas.openxmlformats.org/spreadsheetml/2006/main" count="154" uniqueCount="87">
  <si>
    <t>CNT_TX</t>
  </si>
  <si>
    <t>CNT_RX</t>
  </si>
  <si>
    <t>VCO_CNT_TX</t>
  </si>
  <si>
    <t>VCO_CNT_RX</t>
  </si>
  <si>
    <r>
      <t>N</t>
    </r>
    <r>
      <rPr>
        <b/>
        <vertAlign val="subscript"/>
        <sz val="10"/>
        <color theme="1"/>
        <rFont val="Arial"/>
        <family val="2"/>
      </rPr>
      <t>FXD_PRESC</t>
    </r>
  </si>
  <si>
    <t>User-specified operating parameters:</t>
  </si>
  <si>
    <r>
      <t>Enter desired TX Frequency (F</t>
    </r>
    <r>
      <rPr>
        <b/>
        <vertAlign val="subscript"/>
        <sz val="12"/>
        <rFont val="Arial"/>
        <family val="2"/>
      </rPr>
      <t>TX</t>
    </r>
    <r>
      <rPr>
        <b/>
        <sz val="12"/>
        <rFont val="Arial"/>
        <family val="2"/>
      </rPr>
      <t>, MHz):</t>
    </r>
  </si>
  <si>
    <t>Chip_Type_List</t>
  </si>
  <si>
    <t>Si4460</t>
  </si>
  <si>
    <t>Si4461</t>
  </si>
  <si>
    <t>Si4463</t>
  </si>
  <si>
    <t>Si4464</t>
  </si>
  <si>
    <t>Chip_Type</t>
  </si>
  <si>
    <t>Sel_Chip_Type</t>
  </si>
  <si>
    <t>Select Chip Type:</t>
  </si>
  <si>
    <t>SY_SEL</t>
  </si>
  <si>
    <t>Output Divider Value (OUTDIV):</t>
  </si>
  <si>
    <t>MODEM_CLKGEN_BAND:BAND[2:0]</t>
  </si>
  <si>
    <r>
      <t>F</t>
    </r>
    <r>
      <rPr>
        <b/>
        <vertAlign val="subscript"/>
        <sz val="10"/>
        <color theme="1"/>
        <rFont val="Arial"/>
        <family val="2"/>
      </rPr>
      <t>VCO_TX =</t>
    </r>
  </si>
  <si>
    <r>
      <t>F</t>
    </r>
    <r>
      <rPr>
        <b/>
        <vertAlign val="subscript"/>
        <sz val="10"/>
        <color theme="1"/>
        <rFont val="Arial"/>
        <family val="2"/>
      </rPr>
      <t>VCO_RX =</t>
    </r>
  </si>
  <si>
    <t>Frequency Tuning Resolution (Hz):</t>
  </si>
  <si>
    <t>FREQ_INTE_TX</t>
  </si>
  <si>
    <t>FREQ_FRAC_TX</t>
  </si>
  <si>
    <t>FREQ_INTE_RX</t>
  </si>
  <si>
    <t>FREQ_FRAC_RX</t>
  </si>
  <si>
    <t>FREQ_INTE_TX_HEX</t>
  </si>
  <si>
    <t>FREQ_INTE_RX_HEX</t>
  </si>
  <si>
    <t>FREQ_FRAC_TX_HEX</t>
  </si>
  <si>
    <t>FREQ_FRAC_RX_HEX</t>
  </si>
  <si>
    <t>Enter FREQ_CONTROL_W_SIZE:</t>
  </si>
  <si>
    <t>=</t>
  </si>
  <si>
    <t>0x</t>
  </si>
  <si>
    <r>
      <t>Enter Crystal/TCXO Frequency (F</t>
    </r>
    <r>
      <rPr>
        <b/>
        <vertAlign val="subscript"/>
        <sz val="12"/>
        <rFont val="Arial"/>
        <family val="2"/>
      </rPr>
      <t>XTAL</t>
    </r>
    <r>
      <rPr>
        <b/>
        <sz val="12"/>
        <rFont val="Arial"/>
        <family val="2"/>
      </rPr>
      <t>, MHz):</t>
    </r>
  </si>
  <si>
    <t>Calculated frequency parameters:</t>
  </si>
  <si>
    <t>Calculated API values of FREQ properties:</t>
  </si>
  <si>
    <t>FREQ_CONTROL_INTE:</t>
  </si>
  <si>
    <t>FREQ_CONTROL_FRAC_2/1/0:</t>
  </si>
  <si>
    <r>
      <t>Enter desired Channel Step Size (F</t>
    </r>
    <r>
      <rPr>
        <b/>
        <vertAlign val="subscript"/>
        <sz val="12"/>
        <rFont val="Arial"/>
        <family val="2"/>
      </rPr>
      <t>STEP</t>
    </r>
    <r>
      <rPr>
        <b/>
        <sz val="12"/>
        <rFont val="Arial"/>
        <family val="2"/>
      </rPr>
      <t>, kHz):</t>
    </r>
  </si>
  <si>
    <t>CHAN_STEP_SIZE</t>
  </si>
  <si>
    <t>CHAN_STEP_SIZE_HEX</t>
  </si>
  <si>
    <t>FREQ_CONTROL_CHANNEL_STEP_SIZE_1/0:</t>
  </si>
  <si>
    <t>FSTEP_ACT_kHz</t>
  </si>
  <si>
    <t>CHANNEL</t>
  </si>
  <si>
    <t>Base Freq =</t>
  </si>
  <si>
    <r>
      <t>F</t>
    </r>
    <r>
      <rPr>
        <b/>
        <vertAlign val="subscript"/>
        <sz val="10"/>
        <color theme="1"/>
        <rFont val="Arial"/>
        <family val="2"/>
      </rPr>
      <t>RX_CHAN</t>
    </r>
  </si>
  <si>
    <t>FREQ_TX_ACT_MHz</t>
  </si>
  <si>
    <t>FREQ_RX_ACT_MHz</t>
  </si>
  <si>
    <t>Desired VCO Frequency (MHz):</t>
  </si>
  <si>
    <r>
      <t xml:space="preserve">  (from F</t>
    </r>
    <r>
      <rPr>
        <vertAlign val="subscript"/>
        <sz val="10"/>
        <color theme="1"/>
        <rFont val="Arial"/>
        <family val="2"/>
      </rPr>
      <t>TX_ACT</t>
    </r>
    <r>
      <rPr>
        <sz val="10"/>
        <color theme="1"/>
        <rFont val="Arial"/>
        <family val="2"/>
      </rPr>
      <t>, on 'Freq Calcs' worksheet)</t>
    </r>
  </si>
  <si>
    <t>FVCO_TX_ACT_MHz</t>
  </si>
  <si>
    <t>FVCO_RX_ACT_MHz</t>
  </si>
  <si>
    <t>VCO_CNT_TX_HEX</t>
  </si>
  <si>
    <t>VCO_CNT_RX_HEX</t>
  </si>
  <si>
    <t>DIVCODE_TX</t>
  </si>
  <si>
    <t>DIVCODE_RX</t>
  </si>
  <si>
    <t>Invalid_Freq_Flag</t>
  </si>
  <si>
    <t>OUTDIV_VALUE</t>
  </si>
  <si>
    <t>FREQ_CONTROL_VCOCNT_RX_ADJ:</t>
  </si>
  <si>
    <t>FREQ_IF_kHz</t>
  </si>
  <si>
    <t>VCOCNT_RX_ADJ</t>
  </si>
  <si>
    <t>VCOCNT_RX_ADJ_HEX</t>
  </si>
  <si>
    <t>MODEM_IF_FREQ_2/1/0:</t>
  </si>
  <si>
    <t>MODEM_IF_FREQ_HEX</t>
  </si>
  <si>
    <t>RX_HOP</t>
  </si>
  <si>
    <t>Worksheet to calculate VCO_CNT values for RX_HOP command</t>
  </si>
  <si>
    <t>Structure of RX_HOP Command</t>
  </si>
  <si>
    <r>
      <t>F</t>
    </r>
    <r>
      <rPr>
        <b/>
        <vertAlign val="subscript"/>
        <sz val="10"/>
        <color theme="1"/>
        <rFont val="Arial"/>
        <family val="2"/>
      </rPr>
      <t>CHAN</t>
    </r>
  </si>
  <si>
    <t>FREQ_INTE</t>
  </si>
  <si>
    <t>FREQ_FRAC</t>
  </si>
  <si>
    <r>
      <t>Enter desired Data Rate (F</t>
    </r>
    <r>
      <rPr>
        <b/>
        <vertAlign val="subscript"/>
        <sz val="12"/>
        <rFont val="Arial"/>
        <family val="2"/>
      </rPr>
      <t>DR</t>
    </r>
    <r>
      <rPr>
        <b/>
        <sz val="12"/>
        <rFont val="Arial"/>
        <family val="2"/>
      </rPr>
      <t>, kbps):</t>
    </r>
  </si>
  <si>
    <r>
      <t>Enter desired Deviation (F</t>
    </r>
    <r>
      <rPr>
        <b/>
        <vertAlign val="subscript"/>
        <sz val="12"/>
        <rFont val="Arial"/>
        <family val="2"/>
      </rPr>
      <t>DEV</t>
    </r>
    <r>
      <rPr>
        <b/>
        <sz val="12"/>
        <rFont val="Arial"/>
        <family val="2"/>
      </rPr>
      <t>, kHz):</t>
    </r>
  </si>
  <si>
    <t>MODEM_FREQ_DEV_2/1/0:</t>
  </si>
  <si>
    <t>MODEM_FREQ_DEV_HEX</t>
  </si>
  <si>
    <r>
      <t>Tuned TX Frequency (F</t>
    </r>
    <r>
      <rPr>
        <b/>
        <vertAlign val="subscript"/>
        <sz val="12"/>
        <color theme="1"/>
        <rFont val="Arial"/>
        <family val="2"/>
      </rPr>
      <t>TX_ACT</t>
    </r>
    <r>
      <rPr>
        <b/>
        <sz val="12"/>
        <color theme="1"/>
        <rFont val="Arial"/>
        <family val="2"/>
      </rPr>
      <t>, MHz):</t>
    </r>
  </si>
  <si>
    <t>Error =</t>
  </si>
  <si>
    <r>
      <t>Channel Step Size (F</t>
    </r>
    <r>
      <rPr>
        <b/>
        <vertAlign val="subscript"/>
        <sz val="12"/>
        <color theme="1"/>
        <rFont val="Arial"/>
        <family val="2"/>
      </rPr>
      <t>STEP_ACT</t>
    </r>
    <r>
      <rPr>
        <b/>
        <sz val="12"/>
        <color theme="1"/>
        <rFont val="Arial"/>
        <family val="2"/>
      </rPr>
      <t>, kHz):</t>
    </r>
  </si>
  <si>
    <t>Actual=</t>
  </si>
  <si>
    <r>
      <t>Deviation (F</t>
    </r>
    <r>
      <rPr>
        <b/>
        <vertAlign val="subscript"/>
        <sz val="12"/>
        <color theme="1"/>
        <rFont val="Arial"/>
        <family val="2"/>
      </rPr>
      <t>DEV_ACT</t>
    </r>
    <r>
      <rPr>
        <b/>
        <sz val="12"/>
        <color theme="1"/>
        <rFont val="Arial"/>
        <family val="2"/>
      </rPr>
      <t>, kHz):</t>
    </r>
  </si>
  <si>
    <t>FDEV_ACT_kHz</t>
  </si>
  <si>
    <t>Si446x PLL Synthesizer Frequency / VCO_CNT Calculator Rev 0.4</t>
  </si>
  <si>
    <t>FDR_ACT_kbps</t>
  </si>
  <si>
    <r>
      <t>Data Rate (F</t>
    </r>
    <r>
      <rPr>
        <b/>
        <vertAlign val="subscript"/>
        <sz val="12"/>
        <color theme="1"/>
        <rFont val="Arial"/>
        <family val="2"/>
      </rPr>
      <t>DR_ACT</t>
    </r>
    <r>
      <rPr>
        <b/>
        <sz val="12"/>
        <color theme="1"/>
        <rFont val="Arial"/>
        <family val="2"/>
      </rPr>
      <t>, kbps):</t>
    </r>
  </si>
  <si>
    <t>MODEM_TX_NCO_MODE</t>
  </si>
  <si>
    <t>MODEM_TX_NCO_MODE_3/2/1/0:</t>
  </si>
  <si>
    <t>*Value may differ in GFSK mode</t>
  </si>
  <si>
    <t>MODEM_DATA_RATE_2/1/0:</t>
  </si>
  <si>
    <t>MODEM_DATA_RATE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</si>
</sst>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\ &quot;Hz&quot;"/>
    <numFmt numFmtId="165" formatCode="0.000000\ &quot;MHz&quot;"/>
    <numFmt numFmtId="166" formatCode="0.0\ &quot;MHz&quot;"/>
    <numFmt numFmtId="167" formatCode="0.000\ &quot;MHz&quot;"/>
    <numFmt numFmtId="168" formatCode="0.000\ &quot;kHz&quot;"/>
    <numFmt numFmtId="169" formatCode="0.00000\ &quot;MHz&quot;"/>
    <numFmt numFmtId="170" formatCode="0.00000"/>
    <numFmt numFmtId="171" formatCode="0.0000\ &quot;kHz&quot;"/>
    <numFmt numFmtId="172" formatCode="0.000\ &quot;kbps&quot;"/>
    <numFmt numFmtId="173" formatCode="0.000\ &quot;Hz&quot;"/>
    <numFmt numFmtId="174" formatCode="0.000000\ &quot;kHz&quot;"/>
    <numFmt numFmtId="175" formatCode="0.00000\ &quot;kHz&quot;"/>
    <numFmt numFmtId="176" formatCode="0.0000\ &quot;kbps&quot;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vertAlign val="subscript"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vertAlign val="subscript"/>
      <sz val="12"/>
      <color theme="1"/>
      <name val="Arial"/>
      <family val="2"/>
    </font>
    <font>
      <vertAlign val="subscript"/>
      <sz val="10"/>
      <color theme="1"/>
      <name val="Arial"/>
      <family val="2"/>
    </font>
    <font>
      <sz val="10"/>
      <color rgb="FFFF339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NumberFormat="1" applyFont="1" applyFill="1" applyAlignment="1">
      <alignment horizontal="center"/>
    </xf>
    <xf numFmtId="0" fontId="1" fillId="2" borderId="8" xfId="0" applyNumberFormat="1" applyFont="1" applyFill="1" applyBorder="1" applyAlignment="1" applyProtection="1"/>
    <xf numFmtId="0" fontId="1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70" fontId="1" fillId="0" borderId="0" xfId="0" applyNumberFormat="1" applyFont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0" fontId="4" fillId="0" borderId="0" xfId="0" applyFont="1" applyProtection="1"/>
    <xf numFmtId="0" fontId="9" fillId="0" borderId="0" xfId="0" applyFont="1" applyProtection="1"/>
    <xf numFmtId="0" fontId="9" fillId="0" borderId="0" xfId="0" applyFont="1" applyAlignment="1" applyProtection="1">
      <alignment horizontal="center"/>
    </xf>
    <xf numFmtId="0" fontId="1" fillId="0" borderId="0" xfId="0" applyFont="1" applyProtection="1"/>
    <xf numFmtId="0" fontId="1" fillId="0" borderId="0" xfId="0" applyFont="1" applyAlignment="1" applyProtection="1">
      <alignment horizontal="center"/>
    </xf>
    <xf numFmtId="0" fontId="5" fillId="0" borderId="2" xfId="0" applyFont="1" applyBorder="1" applyProtection="1"/>
    <xf numFmtId="0" fontId="1" fillId="0" borderId="3" xfId="0" applyFont="1" applyBorder="1" applyProtection="1"/>
    <xf numFmtId="0" fontId="1" fillId="0" borderId="4" xfId="0" applyFont="1" applyBorder="1" applyProtection="1"/>
    <xf numFmtId="0" fontId="5" fillId="0" borderId="3" xfId="0" applyFont="1" applyBorder="1" applyProtection="1"/>
    <xf numFmtId="0" fontId="0" fillId="0" borderId="3" xfId="0" applyBorder="1" applyProtection="1"/>
    <xf numFmtId="0" fontId="0" fillId="0" borderId="4" xfId="0" applyBorder="1" applyProtection="1"/>
    <xf numFmtId="0" fontId="1" fillId="0" borderId="5" xfId="0" applyFont="1" applyBorder="1" applyProtection="1"/>
    <xf numFmtId="0" fontId="1" fillId="0" borderId="0" xfId="0" applyFont="1" applyBorder="1" applyProtection="1"/>
    <xf numFmtId="0" fontId="1" fillId="0" borderId="6" xfId="0" applyFont="1" applyBorder="1" applyProtection="1"/>
    <xf numFmtId="0" fontId="0" fillId="0" borderId="6" xfId="0" applyBorder="1" applyProtection="1"/>
    <xf numFmtId="0" fontId="1" fillId="0" borderId="5" xfId="0" applyFont="1" applyBorder="1" applyAlignment="1" applyProtection="1">
      <alignment vertical="center"/>
    </xf>
    <xf numFmtId="0" fontId="10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/>
    </xf>
    <xf numFmtId="0" fontId="1" fillId="0" borderId="0" xfId="0" applyFont="1" applyBorder="1" applyAlignment="1" applyProtection="1">
      <alignment vertical="center"/>
    </xf>
    <xf numFmtId="0" fontId="1" fillId="0" borderId="6" xfId="0" applyFont="1" applyBorder="1" applyAlignment="1" applyProtection="1">
      <alignment vertical="center"/>
    </xf>
    <xf numFmtId="0" fontId="0" fillId="0" borderId="6" xfId="0" applyBorder="1" applyAlignment="1" applyProtection="1">
      <alignment vertical="center"/>
    </xf>
    <xf numFmtId="0" fontId="1" fillId="0" borderId="0" xfId="0" applyFont="1" applyAlignment="1" applyProtection="1">
      <alignment horizontal="center" vertical="center"/>
    </xf>
    <xf numFmtId="166" fontId="1" fillId="0" borderId="0" xfId="0" applyNumberFormat="1" applyFont="1" applyFill="1" applyBorder="1" applyAlignment="1" applyProtection="1">
      <alignment horizontal="center"/>
    </xf>
    <xf numFmtId="0" fontId="7" fillId="0" borderId="0" xfId="0" applyFont="1" applyBorder="1" applyProtection="1"/>
    <xf numFmtId="0" fontId="7" fillId="2" borderId="7" xfId="0" applyNumberFormat="1" applyFont="1" applyFill="1" applyBorder="1" applyAlignment="1" applyProtection="1"/>
    <xf numFmtId="0" fontId="7" fillId="2" borderId="8" xfId="0" applyNumberFormat="1" applyFont="1" applyFill="1" applyBorder="1" applyAlignment="1" applyProtection="1"/>
    <xf numFmtId="0" fontId="7" fillId="2" borderId="8" xfId="0" quotePrefix="1" applyNumberFormat="1" applyFont="1" applyFill="1" applyBorder="1" applyAlignment="1" applyProtection="1"/>
    <xf numFmtId="0" fontId="7" fillId="2" borderId="9" xfId="0" applyNumberFormat="1" applyFont="1" applyFill="1" applyBorder="1" applyAlignment="1" applyProtection="1"/>
    <xf numFmtId="0" fontId="5" fillId="0" borderId="0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horizontal="center"/>
    </xf>
    <xf numFmtId="0" fontId="0" fillId="0" borderId="0" xfId="0" applyProtection="1"/>
    <xf numFmtId="0" fontId="8" fillId="0" borderId="0" xfId="0" applyFont="1" applyBorder="1" applyProtection="1"/>
    <xf numFmtId="0" fontId="1" fillId="2" borderId="7" xfId="0" applyNumberFormat="1" applyFont="1" applyFill="1" applyBorder="1" applyAlignment="1" applyProtection="1"/>
    <xf numFmtId="0" fontId="1" fillId="2" borderId="8" xfId="0" quotePrefix="1" applyNumberFormat="1" applyFont="1" applyFill="1" applyBorder="1" applyAlignment="1" applyProtection="1"/>
    <xf numFmtId="0" fontId="1" fillId="2" borderId="9" xfId="0" applyNumberFormat="1" applyFont="1" applyFill="1" applyBorder="1" applyAlignment="1" applyProtection="1"/>
    <xf numFmtId="0" fontId="10" fillId="0" borderId="0" xfId="0" applyFont="1" applyProtection="1"/>
    <xf numFmtId="0" fontId="2" fillId="0" borderId="0" xfId="0" applyFont="1" applyAlignment="1" applyProtection="1">
      <alignment horizontal="center"/>
    </xf>
    <xf numFmtId="0" fontId="1" fillId="0" borderId="10" xfId="0" applyFont="1" applyBorder="1" applyProtection="1"/>
    <xf numFmtId="0" fontId="1" fillId="0" borderId="1" xfId="0" applyFont="1" applyBorder="1" applyProtection="1"/>
    <xf numFmtId="0" fontId="1" fillId="0" borderId="11" xfId="0" applyFont="1" applyBorder="1" applyProtection="1"/>
    <xf numFmtId="0" fontId="0" fillId="0" borderId="11" xfId="0" applyBorder="1" applyProtection="1"/>
    <xf numFmtId="0" fontId="1" fillId="0" borderId="6" xfId="0" applyFont="1" applyBorder="1" applyAlignment="1">
      <alignment horizontal="center"/>
    </xf>
    <xf numFmtId="168" fontId="1" fillId="0" borderId="0" xfId="0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4" fontId="1" fillId="0" borderId="0" xfId="0" applyNumberFormat="1" applyFont="1" applyAlignment="1">
      <alignment horizontal="center"/>
    </xf>
    <xf numFmtId="0" fontId="1" fillId="0" borderId="0" xfId="0" applyFont="1" applyBorder="1" applyAlignment="1" applyProtection="1">
      <alignment horizontal="center"/>
    </xf>
    <xf numFmtId="176" fontId="1" fillId="0" borderId="0" xfId="0" applyNumberFormat="1" applyFont="1" applyAlignment="1">
      <alignment horizontal="center"/>
    </xf>
    <xf numFmtId="175" fontId="7" fillId="2" borderId="7" xfId="0" applyNumberFormat="1" applyFont="1" applyFill="1" applyBorder="1" applyAlignment="1" applyProtection="1">
      <alignment horizontal="center"/>
    </xf>
    <xf numFmtId="175" fontId="7" fillId="2" borderId="8" xfId="0" applyNumberFormat="1" applyFont="1" applyFill="1" applyBorder="1" applyAlignment="1" applyProtection="1">
      <alignment horizontal="center"/>
    </xf>
    <xf numFmtId="175" fontId="7" fillId="2" borderId="9" xfId="0" applyNumberFormat="1" applyFont="1" applyFill="1" applyBorder="1" applyAlignment="1" applyProtection="1">
      <alignment horizontal="center"/>
    </xf>
    <xf numFmtId="164" fontId="7" fillId="2" borderId="7" xfId="0" applyNumberFormat="1" applyFont="1" applyFill="1" applyBorder="1" applyAlignment="1" applyProtection="1">
      <alignment horizontal="center"/>
    </xf>
    <xf numFmtId="164" fontId="7" fillId="2" borderId="8" xfId="0" applyNumberFormat="1" applyFont="1" applyFill="1" applyBorder="1" applyAlignment="1" applyProtection="1">
      <alignment horizontal="center"/>
    </xf>
    <xf numFmtId="164" fontId="7" fillId="2" borderId="9" xfId="0" applyNumberFormat="1" applyFont="1" applyFill="1" applyBorder="1" applyAlignment="1" applyProtection="1">
      <alignment horizontal="center"/>
    </xf>
    <xf numFmtId="171" fontId="7" fillId="2" borderId="7" xfId="0" applyNumberFormat="1" applyFont="1" applyFill="1" applyBorder="1" applyAlignment="1" applyProtection="1">
      <alignment horizontal="center"/>
    </xf>
    <xf numFmtId="171" fontId="7" fillId="2" borderId="8" xfId="0" applyNumberFormat="1" applyFont="1" applyFill="1" applyBorder="1" applyAlignment="1" applyProtection="1">
      <alignment horizontal="center"/>
    </xf>
    <xf numFmtId="171" fontId="7" fillId="2" borderId="9" xfId="0" applyNumberFormat="1" applyFont="1" applyFill="1" applyBorder="1" applyAlignment="1" applyProtection="1">
      <alignment horizontal="center"/>
    </xf>
    <xf numFmtId="0" fontId="1" fillId="0" borderId="7" xfId="0" applyNumberFormat="1" applyFont="1" applyFill="1" applyBorder="1" applyAlignment="1" applyProtection="1">
      <alignment horizontal="center"/>
      <protection locked="0"/>
    </xf>
    <xf numFmtId="0" fontId="1" fillId="0" borderId="8" xfId="0" applyNumberFormat="1" applyFont="1" applyFill="1" applyBorder="1" applyAlignment="1" applyProtection="1">
      <alignment horizontal="center"/>
      <protection locked="0"/>
    </xf>
    <xf numFmtId="0" fontId="1" fillId="0" borderId="9" xfId="0" applyNumberFormat="1" applyFont="1" applyFill="1" applyBorder="1" applyAlignment="1" applyProtection="1">
      <alignment horizontal="center"/>
      <protection locked="0"/>
    </xf>
    <xf numFmtId="168" fontId="1" fillId="0" borderId="7" xfId="0" applyNumberFormat="1" applyFont="1" applyFill="1" applyBorder="1" applyAlignment="1" applyProtection="1">
      <alignment horizontal="center"/>
      <protection locked="0"/>
    </xf>
    <xf numFmtId="168" fontId="1" fillId="0" borderId="8" xfId="0" applyNumberFormat="1" applyFont="1" applyFill="1" applyBorder="1" applyAlignment="1" applyProtection="1">
      <alignment horizontal="center"/>
      <protection locked="0"/>
    </xf>
    <xf numFmtId="168" fontId="1" fillId="0" borderId="9" xfId="0" applyNumberFormat="1" applyFont="1" applyFill="1" applyBorder="1" applyAlignment="1" applyProtection="1">
      <alignment horizontal="center"/>
      <protection locked="0"/>
    </xf>
    <xf numFmtId="167" fontId="0" fillId="2" borderId="7" xfId="0" applyNumberFormat="1" applyFill="1" applyBorder="1" applyAlignment="1" applyProtection="1">
      <alignment horizontal="center"/>
    </xf>
    <xf numFmtId="167" fontId="0" fillId="2" borderId="8" xfId="0" applyNumberFormat="1" applyFill="1" applyBorder="1" applyAlignment="1" applyProtection="1">
      <alignment horizontal="center"/>
    </xf>
    <xf numFmtId="167" fontId="0" fillId="2" borderId="9" xfId="0" applyNumberFormat="1" applyFill="1" applyBorder="1" applyAlignment="1" applyProtection="1">
      <alignment horizontal="center"/>
    </xf>
    <xf numFmtId="173" fontId="7" fillId="2" borderId="7" xfId="0" applyNumberFormat="1" applyFont="1" applyFill="1" applyBorder="1" applyAlignment="1" applyProtection="1">
      <alignment horizontal="center"/>
    </xf>
    <xf numFmtId="173" fontId="7" fillId="2" borderId="8" xfId="0" applyNumberFormat="1" applyFont="1" applyFill="1" applyBorder="1" applyAlignment="1" applyProtection="1">
      <alignment horizontal="center"/>
    </xf>
    <xf numFmtId="173" fontId="7" fillId="2" borderId="9" xfId="0" applyNumberFormat="1" applyFont="1" applyFill="1" applyBorder="1" applyAlignment="1" applyProtection="1">
      <alignment horizontal="center"/>
    </xf>
    <xf numFmtId="172" fontId="1" fillId="0" borderId="7" xfId="0" applyNumberFormat="1" applyFont="1" applyFill="1" applyBorder="1" applyAlignment="1" applyProtection="1">
      <alignment horizontal="center"/>
      <protection locked="0"/>
    </xf>
    <xf numFmtId="172" fontId="1" fillId="0" borderId="8" xfId="0" applyNumberFormat="1" applyFont="1" applyFill="1" applyBorder="1" applyAlignment="1" applyProtection="1">
      <alignment horizontal="center"/>
      <protection locked="0"/>
    </xf>
    <xf numFmtId="172" fontId="1" fillId="0" borderId="9" xfId="0" applyNumberFormat="1" applyFont="1" applyFill="1" applyBorder="1" applyAlignment="1" applyProtection="1">
      <alignment horizontal="center"/>
      <protection locked="0"/>
    </xf>
    <xf numFmtId="165" fontId="0" fillId="2" borderId="7" xfId="0" applyNumberFormat="1" applyFill="1" applyBorder="1" applyAlignment="1" applyProtection="1">
      <alignment horizontal="center"/>
    </xf>
    <xf numFmtId="165" fontId="0" fillId="2" borderId="8" xfId="0" applyNumberFormat="1" applyFill="1" applyBorder="1" applyAlignment="1" applyProtection="1">
      <alignment horizontal="center"/>
    </xf>
    <xf numFmtId="165" fontId="0" fillId="2" borderId="9" xfId="0" applyNumberFormat="1" applyFill="1" applyBorder="1" applyAlignment="1" applyProtection="1">
      <alignment horizontal="center"/>
    </xf>
    <xf numFmtId="172" fontId="7" fillId="2" borderId="7" xfId="0" applyNumberFormat="1" applyFont="1" applyFill="1" applyBorder="1" applyAlignment="1" applyProtection="1">
      <alignment horizontal="center"/>
    </xf>
    <xf numFmtId="172" fontId="7" fillId="2" borderId="8" xfId="0" applyNumberFormat="1" applyFont="1" applyFill="1" applyBorder="1" applyAlignment="1" applyProtection="1">
      <alignment horizontal="center"/>
    </xf>
    <xf numFmtId="172" fontId="7" fillId="2" borderId="9" xfId="0" applyNumberFormat="1" applyFont="1" applyFill="1" applyBorder="1" applyAlignment="1" applyProtection="1">
      <alignment horizontal="center"/>
    </xf>
    <xf numFmtId="169" fontId="1" fillId="0" borderId="7" xfId="0" applyNumberFormat="1" applyFont="1" applyFill="1" applyBorder="1" applyAlignment="1" applyProtection="1">
      <alignment horizontal="center"/>
      <protection locked="0"/>
    </xf>
    <xf numFmtId="169" fontId="1" fillId="0" borderId="8" xfId="0" applyNumberFormat="1" applyFont="1" applyFill="1" applyBorder="1" applyAlignment="1" applyProtection="1">
      <alignment horizontal="center"/>
      <protection locked="0"/>
    </xf>
    <xf numFmtId="169" fontId="1" fillId="0" borderId="9" xfId="0" applyNumberFormat="1" applyFont="1" applyFill="1" applyBorder="1" applyAlignment="1" applyProtection="1">
      <alignment horizontal="center"/>
      <protection locked="0"/>
    </xf>
    <xf numFmtId="165" fontId="1" fillId="0" borderId="7" xfId="0" applyNumberFormat="1" applyFont="1" applyFill="1" applyBorder="1" applyAlignment="1" applyProtection="1">
      <alignment horizontal="center"/>
      <protection locked="0"/>
    </xf>
    <xf numFmtId="165" fontId="1" fillId="0" borderId="8" xfId="0" applyNumberFormat="1" applyFont="1" applyFill="1" applyBorder="1" applyAlignment="1" applyProtection="1">
      <alignment horizontal="center"/>
      <protection locked="0"/>
    </xf>
    <xf numFmtId="165" fontId="1" fillId="0" borderId="9" xfId="0" applyNumberFormat="1" applyFont="1" applyFill="1" applyBorder="1" applyAlignment="1" applyProtection="1">
      <alignment horizontal="center"/>
      <protection locked="0"/>
    </xf>
    <xf numFmtId="0" fontId="7" fillId="2" borderId="7" xfId="0" applyNumberFormat="1" applyFont="1" applyFill="1" applyBorder="1" applyAlignment="1" applyProtection="1">
      <alignment horizontal="center"/>
    </xf>
    <xf numFmtId="0" fontId="7" fillId="2" borderId="8" xfId="0" applyNumberFormat="1" applyFont="1" applyFill="1" applyBorder="1" applyAlignment="1" applyProtection="1">
      <alignment horizontal="center"/>
    </xf>
    <xf numFmtId="0" fontId="7" fillId="2" borderId="9" xfId="0" applyNumberFormat="1" applyFont="1" applyFill="1" applyBorder="1" applyAlignment="1" applyProtection="1">
      <alignment horizontal="center"/>
    </xf>
    <xf numFmtId="0" fontId="2" fillId="0" borderId="1" xfId="0" applyFont="1" applyBorder="1" applyAlignment="1">
      <alignment horizontal="center"/>
    </xf>
    <xf numFmtId="0" fontId="13" fillId="0" borderId="0" xfId="0" applyFont="1" applyFill="1" applyProtection="1"/>
  </cellXfs>
  <cellStyles count="1">
    <cellStyle name="Normal" xfId="0" builtinId="0"/>
  </cellStyles>
  <dxfs count="1">
    <dxf>
      <fill>
        <patternFill>
          <bgColor rgb="FFFF99CC"/>
        </patternFill>
      </fill>
    </dxf>
  </dxfs>
  <tableStyles count="0" defaultTableStyle="TableStyleMedium9" defaultPivotStyle="PivotStyleLight16"/>
  <colors>
    <mruColors>
      <color rgb="FFFF3399"/>
      <color rgb="FFFF33CC"/>
      <color rgb="FFFF99CC"/>
      <color rgb="FF66FFFF"/>
      <color rgb="FF00FF00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Drop" dropLines="4" dropStyle="combo" dx="16" fmlaLink="Sel_Chip_Type" fmlaRange="Chip_Type_List" noThreeD="1" sel="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5</xdr:row>
          <xdr:rowOff>9525</xdr:rowOff>
        </xdr:from>
        <xdr:to>
          <xdr:col>8</xdr:col>
          <xdr:colOff>133350</xdr:colOff>
          <xdr:row>6</xdr:row>
          <xdr:rowOff>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U35"/>
  <sheetViews>
    <sheetView showGridLines="0" tabSelected="1" zoomScaleNormal="100" workbookViewId="0">
      <selection activeCell="D18" sqref="D18:I18"/>
    </sheetView>
  </sheetViews>
  <sheetFormatPr defaultRowHeight="12.75" x14ac:dyDescent="0.2"/>
  <cols>
    <col min="1" max="1" width="1.7109375" style="24" customWidth="1"/>
    <col min="2" max="92" width="2.7109375" style="24" customWidth="1"/>
    <col min="93" max="94" width="17.7109375" style="25" customWidth="1"/>
    <col min="95" max="96" width="15.7109375" style="25" customWidth="1"/>
    <col min="97" max="97" width="16.7109375" style="25" customWidth="1"/>
    <col min="98" max="98" width="15.7109375" style="25" customWidth="1"/>
    <col min="99" max="99" width="16.7109375" style="25" customWidth="1"/>
    <col min="100" max="16384" width="9.140625" style="24"/>
  </cols>
  <sheetData>
    <row r="1" spans="2:99" s="22" customFormat="1" ht="18" x14ac:dyDescent="0.25">
      <c r="B1" s="21" t="s">
        <v>79</v>
      </c>
      <c r="CP1" s="23"/>
      <c r="CQ1" s="23"/>
      <c r="CR1" s="23"/>
      <c r="CS1" s="23"/>
      <c r="CT1" s="23"/>
      <c r="CU1" s="23"/>
    </row>
    <row r="2" spans="2:99" ht="15" customHeight="1" thickBot="1" x14ac:dyDescent="0.25"/>
    <row r="3" spans="2:99" ht="15" customHeight="1" x14ac:dyDescent="0.25">
      <c r="B3" s="26" t="s">
        <v>5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8"/>
      <c r="V3" s="26" t="s">
        <v>33</v>
      </c>
      <c r="W3" s="29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1"/>
      <c r="AS3" s="26" t="s">
        <v>34</v>
      </c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1"/>
    </row>
    <row r="4" spans="2:99" ht="15" customHeight="1" x14ac:dyDescent="0.25">
      <c r="B4" s="32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4"/>
      <c r="AR4" s="35"/>
      <c r="BM4" s="35"/>
    </row>
    <row r="5" spans="2:99" s="38" customFormat="1" ht="18" customHeight="1" thickBot="1" x14ac:dyDescent="0.3">
      <c r="B5" s="36"/>
      <c r="C5" s="37" t="s">
        <v>14</v>
      </c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40"/>
      <c r="W5" s="37" t="s">
        <v>16</v>
      </c>
      <c r="AR5" s="41"/>
      <c r="AT5" s="37" t="s">
        <v>35</v>
      </c>
      <c r="BM5" s="41"/>
      <c r="CO5" s="42"/>
      <c r="CP5" s="42"/>
      <c r="CQ5" s="42"/>
      <c r="CR5" s="42"/>
      <c r="CS5" s="42"/>
      <c r="CT5" s="42"/>
      <c r="CU5" s="42"/>
    </row>
    <row r="6" spans="2:99" ht="16.5" customHeight="1" thickBot="1" x14ac:dyDescent="0.3">
      <c r="B6" s="32"/>
      <c r="J6" s="43"/>
      <c r="K6" s="44"/>
      <c r="L6" s="44"/>
      <c r="M6" s="44"/>
      <c r="N6" s="44"/>
      <c r="O6" s="44"/>
      <c r="P6" s="44"/>
      <c r="Q6" s="44"/>
      <c r="R6" s="44"/>
      <c r="S6" s="44"/>
      <c r="T6" s="44"/>
      <c r="U6" s="34"/>
      <c r="X6" s="106">
        <f>NOUTDIV</f>
        <v>4</v>
      </c>
      <c r="Y6" s="107"/>
      <c r="Z6" s="107"/>
      <c r="AA6" s="107"/>
      <c r="AB6" s="107"/>
      <c r="AC6" s="108"/>
      <c r="AR6" s="35"/>
      <c r="AU6" s="45"/>
      <c r="AV6" s="46"/>
      <c r="AW6" s="47" t="s">
        <v>31</v>
      </c>
      <c r="AX6" s="46" t="str">
        <f>FREQ_INTE_TX_HEX</f>
        <v>3C</v>
      </c>
      <c r="AY6" s="46"/>
      <c r="AZ6" s="48"/>
      <c r="BM6" s="35"/>
    </row>
    <row r="7" spans="2:99" ht="15" customHeight="1" x14ac:dyDescent="0.25">
      <c r="B7" s="32"/>
      <c r="U7" s="34"/>
      <c r="AR7" s="35"/>
      <c r="BM7" s="35"/>
    </row>
    <row r="8" spans="2:99" s="38" customFormat="1" ht="18" customHeight="1" thickBot="1" x14ac:dyDescent="0.3">
      <c r="B8" s="36"/>
      <c r="C8" s="49" t="s">
        <v>6</v>
      </c>
      <c r="U8" s="40"/>
      <c r="W8" s="37" t="s">
        <v>17</v>
      </c>
      <c r="AR8" s="41"/>
      <c r="AT8" s="37" t="s">
        <v>36</v>
      </c>
      <c r="BM8" s="41"/>
      <c r="CO8" s="42"/>
      <c r="CP8" s="42"/>
      <c r="CQ8" s="42"/>
      <c r="CR8" s="42"/>
      <c r="CS8" s="42"/>
      <c r="CT8" s="42"/>
      <c r="CU8" s="42"/>
    </row>
    <row r="9" spans="2:99" ht="15" customHeight="1" thickBot="1" x14ac:dyDescent="0.3">
      <c r="B9" s="32"/>
      <c r="D9" s="100">
        <v>915</v>
      </c>
      <c r="E9" s="101"/>
      <c r="F9" s="101"/>
      <c r="G9" s="101"/>
      <c r="H9" s="101"/>
      <c r="I9" s="102"/>
      <c r="U9" s="34"/>
      <c r="X9" s="106" t="str">
        <f>LOOKUP(NOUTDIV,{4,6,8,12,16,24},{"3'b000","3'b001","3'b010","3'b011","3'b100","3'b101"})</f>
        <v>3'b000</v>
      </c>
      <c r="Y9" s="107"/>
      <c r="Z9" s="107"/>
      <c r="AA9" s="107"/>
      <c r="AB9" s="107"/>
      <c r="AC9" s="108"/>
      <c r="AR9" s="35"/>
      <c r="AU9" s="45"/>
      <c r="AV9" s="47" t="s">
        <v>31</v>
      </c>
      <c r="AW9" s="46" t="str">
        <f>FREQ_FRAC_TX_HEX</f>
        <v>80000</v>
      </c>
      <c r="AX9" s="46"/>
      <c r="AY9" s="46"/>
      <c r="AZ9" s="48"/>
      <c r="BM9" s="35"/>
    </row>
    <row r="10" spans="2:99" ht="15" customHeight="1" x14ac:dyDescent="0.25">
      <c r="B10" s="32"/>
      <c r="U10" s="34"/>
      <c r="AR10" s="35"/>
      <c r="BM10" s="35"/>
    </row>
    <row r="11" spans="2:99" s="38" customFormat="1" ht="18" customHeight="1" thickBot="1" x14ac:dyDescent="0.3">
      <c r="B11" s="36"/>
      <c r="C11" s="49" t="s">
        <v>32</v>
      </c>
      <c r="U11" s="40"/>
      <c r="W11" s="37" t="s">
        <v>47</v>
      </c>
      <c r="AR11" s="41"/>
      <c r="AT11" s="37" t="s">
        <v>40</v>
      </c>
      <c r="BM11" s="41"/>
      <c r="CO11" s="42"/>
      <c r="CP11" s="42"/>
      <c r="CQ11" s="42"/>
      <c r="CR11" s="42"/>
      <c r="CS11" s="42"/>
      <c r="CT11" s="42"/>
      <c r="CU11" s="42"/>
    </row>
    <row r="12" spans="2:99" ht="15" customHeight="1" thickBot="1" x14ac:dyDescent="0.3">
      <c r="B12" s="32"/>
      <c r="D12" s="103">
        <v>30</v>
      </c>
      <c r="E12" s="104"/>
      <c r="F12" s="104"/>
      <c r="G12" s="104"/>
      <c r="H12" s="104"/>
      <c r="I12" s="105"/>
      <c r="U12" s="34"/>
      <c r="Y12" s="50" t="s">
        <v>18</v>
      </c>
      <c r="Z12" s="51"/>
      <c r="AA12" s="85">
        <f>FTX_MHz*NOUTDIV</f>
        <v>3660</v>
      </c>
      <c r="AB12" s="86"/>
      <c r="AC12" s="86"/>
      <c r="AD12" s="86"/>
      <c r="AE12" s="86"/>
      <c r="AF12" s="87"/>
      <c r="AJ12" s="50" t="s">
        <v>19</v>
      </c>
      <c r="AK12" s="51"/>
      <c r="AL12" s="85">
        <f>(FTX_MHz-(FXTAL_MHz/64))*NOUTDIV</f>
        <v>3658.125</v>
      </c>
      <c r="AM12" s="86"/>
      <c r="AN12" s="86"/>
      <c r="AO12" s="86"/>
      <c r="AP12" s="86"/>
      <c r="AQ12" s="87"/>
      <c r="AR12" s="35"/>
      <c r="AU12" s="45"/>
      <c r="AV12" s="47" t="s">
        <v>31</v>
      </c>
      <c r="AW12" s="46" t="str">
        <f>CHAN_STEP_SIZE_HEX</f>
        <v>0DA7</v>
      </c>
      <c r="AX12" s="46"/>
      <c r="AY12" s="46"/>
      <c r="AZ12" s="48"/>
      <c r="BM12" s="35"/>
    </row>
    <row r="13" spans="2:99" ht="15" customHeight="1" x14ac:dyDescent="0.25">
      <c r="B13" s="32"/>
      <c r="C13" s="52"/>
      <c r="U13" s="34"/>
      <c r="AR13" s="35"/>
      <c r="BM13" s="35"/>
    </row>
    <row r="14" spans="2:99" s="38" customFormat="1" ht="18" customHeight="1" thickBot="1" x14ac:dyDescent="0.3">
      <c r="B14" s="36"/>
      <c r="C14" s="49" t="s">
        <v>29</v>
      </c>
      <c r="U14" s="40"/>
      <c r="W14" s="37" t="s">
        <v>20</v>
      </c>
      <c r="AR14" s="41"/>
      <c r="AT14" s="37" t="s">
        <v>57</v>
      </c>
      <c r="BM14" s="41"/>
      <c r="CO14" s="42"/>
      <c r="CP14" s="42"/>
      <c r="CQ14" s="42"/>
      <c r="CR14" s="42"/>
      <c r="CS14" s="42"/>
      <c r="CT14" s="42"/>
      <c r="CU14" s="42"/>
    </row>
    <row r="15" spans="2:99" ht="15" customHeight="1" thickBot="1" x14ac:dyDescent="0.3">
      <c r="B15" s="32"/>
      <c r="D15" s="79">
        <v>32</v>
      </c>
      <c r="E15" s="80"/>
      <c r="F15" s="80"/>
      <c r="G15" s="81"/>
      <c r="I15" s="24" t="s">
        <v>30</v>
      </c>
      <c r="K15" s="53"/>
      <c r="L15" s="54" t="s">
        <v>31</v>
      </c>
      <c r="M15" s="11" t="str">
        <f>DEC2HEX(WSIZE,2)</f>
        <v>20</v>
      </c>
      <c r="N15" s="55"/>
      <c r="U15" s="34"/>
      <c r="X15" s="88">
        <f>1000000*FXTAL_MHz*NPRESC/NOUTDIV/(2^19)</f>
        <v>28.6102294921875</v>
      </c>
      <c r="Y15" s="89"/>
      <c r="Z15" s="89"/>
      <c r="AA15" s="89"/>
      <c r="AB15" s="89"/>
      <c r="AC15" s="90"/>
      <c r="AR15" s="35"/>
      <c r="AU15" s="45"/>
      <c r="AV15" s="47" t="s">
        <v>31</v>
      </c>
      <c r="AW15" s="46" t="str">
        <f>VCOCNT_RX_ADJ_HEX</f>
        <v>FF</v>
      </c>
      <c r="AX15" s="46"/>
      <c r="AY15" s="46"/>
      <c r="AZ15" s="48"/>
      <c r="BM15" s="35"/>
    </row>
    <row r="16" spans="2:99" ht="15" customHeight="1" x14ac:dyDescent="0.25">
      <c r="B16" s="32"/>
      <c r="U16" s="34"/>
      <c r="AR16" s="34"/>
      <c r="BM16" s="35"/>
    </row>
    <row r="17" spans="2:99" ht="18" customHeight="1" thickBot="1" x14ac:dyDescent="0.4">
      <c r="B17" s="32"/>
      <c r="C17" s="49" t="s">
        <v>37</v>
      </c>
      <c r="U17" s="34"/>
      <c r="W17" s="56" t="s">
        <v>73</v>
      </c>
      <c r="AR17" s="34"/>
      <c r="AT17" s="37" t="s">
        <v>61</v>
      </c>
      <c r="BM17" s="35"/>
    </row>
    <row r="18" spans="2:99" ht="15" customHeight="1" thickBot="1" x14ac:dyDescent="0.3">
      <c r="B18" s="32"/>
      <c r="D18" s="82">
        <v>100</v>
      </c>
      <c r="E18" s="83"/>
      <c r="F18" s="83"/>
      <c r="G18" s="83"/>
      <c r="H18" s="83"/>
      <c r="I18" s="84"/>
      <c r="U18" s="34"/>
      <c r="Y18" s="50" t="s">
        <v>76</v>
      </c>
      <c r="AA18" s="94">
        <f>FTX_ACT_MHz</f>
        <v>915</v>
      </c>
      <c r="AB18" s="95"/>
      <c r="AC18" s="95"/>
      <c r="AD18" s="95"/>
      <c r="AE18" s="95"/>
      <c r="AF18" s="96"/>
      <c r="AJ18" s="50" t="s">
        <v>74</v>
      </c>
      <c r="AL18" s="73">
        <f>1000000*(FTX_ACT_MHz-FTX_MHz)</f>
        <v>0</v>
      </c>
      <c r="AM18" s="74"/>
      <c r="AN18" s="74"/>
      <c r="AO18" s="74"/>
      <c r="AP18" s="74"/>
      <c r="AQ18" s="75"/>
      <c r="AR18" s="34"/>
      <c r="AU18" s="45"/>
      <c r="AV18" s="47" t="s">
        <v>31</v>
      </c>
      <c r="AW18" s="46" t="str">
        <f>MODEM_IF_FREQ_HEX</f>
        <v>3C000</v>
      </c>
      <c r="AX18" s="46"/>
      <c r="AY18" s="46"/>
      <c r="AZ18" s="48"/>
      <c r="BM18" s="35"/>
      <c r="CQ18" s="57"/>
    </row>
    <row r="19" spans="2:99" ht="15" customHeight="1" x14ac:dyDescent="0.25">
      <c r="B19" s="32"/>
      <c r="U19" s="34"/>
      <c r="AR19" s="34"/>
      <c r="BM19" s="35"/>
    </row>
    <row r="20" spans="2:99" ht="18" customHeight="1" thickBot="1" x14ac:dyDescent="0.4">
      <c r="B20" s="32"/>
      <c r="C20" s="49" t="s">
        <v>69</v>
      </c>
      <c r="U20" s="34"/>
      <c r="W20" s="56" t="s">
        <v>75</v>
      </c>
      <c r="AR20" s="34"/>
      <c r="AT20" s="37" t="s">
        <v>83</v>
      </c>
      <c r="BM20" s="35"/>
    </row>
    <row r="21" spans="2:99" ht="15.75" thickBot="1" x14ac:dyDescent="0.3">
      <c r="B21" s="32"/>
      <c r="D21" s="91">
        <v>500</v>
      </c>
      <c r="E21" s="92"/>
      <c r="F21" s="92"/>
      <c r="G21" s="92"/>
      <c r="H21" s="92"/>
      <c r="I21" s="93"/>
      <c r="U21" s="34"/>
      <c r="Y21" s="50" t="s">
        <v>76</v>
      </c>
      <c r="AA21" s="76">
        <f>FSTEP_ACT_kHz</f>
        <v>99.992752075195313</v>
      </c>
      <c r="AB21" s="77"/>
      <c r="AC21" s="77"/>
      <c r="AD21" s="77"/>
      <c r="AE21" s="77"/>
      <c r="AF21" s="78"/>
      <c r="AJ21" s="50" t="s">
        <v>74</v>
      </c>
      <c r="AL21" s="73">
        <f>1000*(FSTEP_ACT_kHz-FSTEP_kHz)</f>
        <v>-7.2479248046875</v>
      </c>
      <c r="AM21" s="74"/>
      <c r="AN21" s="74"/>
      <c r="AO21" s="74"/>
      <c r="AP21" s="74"/>
      <c r="AQ21" s="75"/>
      <c r="AR21" s="34"/>
      <c r="AU21" s="45"/>
      <c r="AV21" s="47" t="s">
        <v>31</v>
      </c>
      <c r="AW21" s="46" t="str">
        <f>MODEM_TX_NCO_MODE_HEX</f>
        <v>01C9C380</v>
      </c>
      <c r="AX21" s="46"/>
      <c r="AY21" s="46"/>
      <c r="AZ21" s="48"/>
      <c r="BB21" s="24" t="s">
        <v>84</v>
      </c>
      <c r="BM21" s="35"/>
    </row>
    <row r="22" spans="2:99" ht="15" customHeight="1" x14ac:dyDescent="0.25">
      <c r="B22" s="32"/>
      <c r="U22" s="34"/>
      <c r="AR22" s="34"/>
      <c r="BM22" s="35"/>
    </row>
    <row r="23" spans="2:99" ht="18" customHeight="1" thickBot="1" x14ac:dyDescent="0.4">
      <c r="B23" s="32"/>
      <c r="C23" s="49" t="s">
        <v>70</v>
      </c>
      <c r="U23" s="34"/>
      <c r="W23" s="56" t="s">
        <v>81</v>
      </c>
      <c r="AR23" s="34"/>
      <c r="AT23" s="37" t="s">
        <v>85</v>
      </c>
      <c r="BM23" s="35"/>
    </row>
    <row r="24" spans="2:99" ht="15" customHeight="1" thickBot="1" x14ac:dyDescent="0.3">
      <c r="B24" s="32"/>
      <c r="D24" s="82">
        <v>125</v>
      </c>
      <c r="E24" s="83"/>
      <c r="F24" s="83"/>
      <c r="G24" s="83"/>
      <c r="H24" s="83"/>
      <c r="I24" s="84"/>
      <c r="U24" s="34"/>
      <c r="Y24" s="50" t="s">
        <v>76</v>
      </c>
      <c r="AA24" s="97">
        <f>FDR_ACT_kbps</f>
        <v>500</v>
      </c>
      <c r="AB24" s="98"/>
      <c r="AC24" s="98"/>
      <c r="AD24" s="98"/>
      <c r="AE24" s="98"/>
      <c r="AF24" s="99"/>
      <c r="AJ24" s="50" t="s">
        <v>74</v>
      </c>
      <c r="AL24" s="73">
        <f>1000*(FDR_ACT_kbps-FDR_kbps)</f>
        <v>0</v>
      </c>
      <c r="AM24" s="74"/>
      <c r="AN24" s="74"/>
      <c r="AO24" s="74"/>
      <c r="AP24" s="74"/>
      <c r="AQ24" s="75"/>
      <c r="AR24" s="34"/>
      <c r="AU24" s="45"/>
      <c r="AV24" s="47" t="s">
        <v>31</v>
      </c>
      <c r="AW24" s="46" t="str">
        <f>MODEM_DATA_RATE_HEX</f>
        <v>4C4B40</v>
      </c>
      <c r="AX24" s="46"/>
      <c r="AY24" s="46"/>
      <c r="AZ24" s="48"/>
      <c r="BB24" s="24" t="s">
        <v>84</v>
      </c>
      <c r="BM24" s="35"/>
    </row>
    <row r="25" spans="2:99" s="33" customFormat="1" ht="15" customHeight="1" x14ac:dyDescent="0.25">
      <c r="B25" s="32"/>
      <c r="U25" s="34"/>
      <c r="AR25" s="34"/>
      <c r="AS25" s="32"/>
      <c r="BM25" s="35"/>
      <c r="CO25" s="68"/>
      <c r="CP25" s="68"/>
      <c r="CQ25" s="68"/>
      <c r="CR25" s="68"/>
      <c r="CS25" s="68"/>
      <c r="CT25" s="68"/>
      <c r="CU25" s="68"/>
    </row>
    <row r="26" spans="2:99" ht="18" customHeight="1" thickBot="1" x14ac:dyDescent="0.4">
      <c r="B26" s="32"/>
      <c r="U26" s="34"/>
      <c r="W26" s="56" t="s">
        <v>77</v>
      </c>
      <c r="AR26" s="34"/>
      <c r="AT26" s="37" t="s">
        <v>71</v>
      </c>
      <c r="BM26" s="35"/>
    </row>
    <row r="27" spans="2:99" ht="15" customHeight="1" thickBot="1" x14ac:dyDescent="0.3">
      <c r="B27" s="32"/>
      <c r="U27" s="34"/>
      <c r="Y27" s="50" t="s">
        <v>76</v>
      </c>
      <c r="AA27" s="70">
        <f>FDEV_ACT_kHz</f>
        <v>124.99809265136719</v>
      </c>
      <c r="AB27" s="71"/>
      <c r="AC27" s="71"/>
      <c r="AD27" s="71"/>
      <c r="AE27" s="71"/>
      <c r="AF27" s="72"/>
      <c r="AJ27" s="50" t="s">
        <v>74</v>
      </c>
      <c r="AL27" s="73">
        <f>1000*(FDEV_ACT_kHz-FDEV_kHz)</f>
        <v>-1.9073486328125</v>
      </c>
      <c r="AM27" s="74"/>
      <c r="AN27" s="74"/>
      <c r="AO27" s="74"/>
      <c r="AP27" s="74"/>
      <c r="AQ27" s="75"/>
      <c r="AR27" s="34"/>
      <c r="AU27" s="45"/>
      <c r="AV27" s="47" t="s">
        <v>31</v>
      </c>
      <c r="AW27" s="46" t="str">
        <f>MODEM_FREQ_DEV_HEX</f>
        <v>001111</v>
      </c>
      <c r="AX27" s="46"/>
      <c r="AY27" s="46"/>
      <c r="AZ27" s="48"/>
      <c r="BM27" s="35"/>
    </row>
    <row r="28" spans="2:99" ht="15" customHeight="1" thickBot="1" x14ac:dyDescent="0.3">
      <c r="B28" s="58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60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60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61"/>
    </row>
    <row r="29" spans="2:99" ht="15" customHeight="1" x14ac:dyDescent="0.2"/>
    <row r="30" spans="2:99" ht="15" customHeight="1" x14ac:dyDescent="0.2">
      <c r="C30" s="110" t="str">
        <f>IF(Invalid_Freq_Flag,"* Please refer to data sheet for valid range of frequencies","")</f>
        <v/>
      </c>
    </row>
    <row r="31" spans="2:99" ht="15" customHeight="1" x14ac:dyDescent="0.2"/>
    <row r="32" spans="2:99" ht="15" customHeight="1" x14ac:dyDescent="0.2"/>
    <row r="33" ht="15" customHeight="1" x14ac:dyDescent="0.2"/>
    <row r="34" ht="15" customHeight="1" x14ac:dyDescent="0.2"/>
    <row r="35" ht="15" customHeight="1" x14ac:dyDescent="0.2"/>
  </sheetData>
  <sheetProtection password="CF76" sheet="1" objects="1" scenarios="1" selectLockedCells="1"/>
  <mergeCells count="19">
    <mergeCell ref="D9:I9"/>
    <mergeCell ref="D12:I12"/>
    <mergeCell ref="X6:AC6"/>
    <mergeCell ref="X9:AC9"/>
    <mergeCell ref="AA12:AF12"/>
    <mergeCell ref="AL12:AQ12"/>
    <mergeCell ref="X15:AC15"/>
    <mergeCell ref="AL18:AQ18"/>
    <mergeCell ref="D21:I21"/>
    <mergeCell ref="D24:I24"/>
    <mergeCell ref="AA18:AF18"/>
    <mergeCell ref="AL21:AQ21"/>
    <mergeCell ref="AA24:AF24"/>
    <mergeCell ref="AL24:AQ24"/>
    <mergeCell ref="AA27:AF27"/>
    <mergeCell ref="AL27:AQ27"/>
    <mergeCell ref="AA21:AF21"/>
    <mergeCell ref="D15:G15"/>
    <mergeCell ref="D18:I18"/>
  </mergeCells>
  <dataValidations count="8">
    <dataValidation type="decimal" allowBlank="1" showErrorMessage="1" errorTitle="Invalid Entry" error="Valid frequency is 119 &lt; F &lt; 1050" sqref="J6">
      <formula1>119</formula1>
      <formula2>1050</formula2>
    </dataValidation>
    <dataValidation type="decimal" allowBlank="1" showErrorMessage="1" errorTitle="Invalid Entry" error="Valid crystal frequency is 25 &lt; F &lt; 32 MHz" sqref="K15">
      <formula1>25</formula1>
      <formula2>32</formula2>
    </dataValidation>
    <dataValidation type="whole" showInputMessage="1" showErrorMessage="1" errorTitle="Invalid Value" error="Silicon Labs strongly recommends leaving this value at 32d = 0x20" promptTitle="Warning" prompt="Silicon Labs strongly recommends leaving this value at 32d = 0x20" sqref="D15">
      <formula1>30</formula1>
      <formula2>34</formula2>
    </dataValidation>
    <dataValidation type="custom" showErrorMessage="1" errorTitle="Invalid Value" error="Allowed deviation is 0 &lt; Fdev &lt; 1000 kHz" sqref="D24">
      <formula1>AND(FDEV_kHz&gt;=0,FDEV_kHz&lt;=1000,ISNUMBER(FDEV_kHz))</formula1>
    </dataValidation>
    <dataValidation type="decimal" showErrorMessage="1" errorTitle="Invalid Frequency" error="Valid frequency range is:_x000a_  119 &lt; F &lt; 960 (Si4464)_x000a_  142 &lt; F &lt; 1050 (Si4460/61/63)_x000a__x000a_Freq coverage may not be continuous" sqref="D9">
      <formula1>IF(Sel_Chip_Type=4,119,142)</formula1>
      <formula2>IF(Sel_Chip_Type=4,960,1050)</formula2>
    </dataValidation>
    <dataValidation type="decimal" showErrorMessage="1" errorTitle="Invalid Entry" error="Valid crystal frequency is 25 &lt; F &lt; 32 MHz" sqref="D12">
      <formula1>25</formula1>
      <formula2>32</formula2>
    </dataValidation>
    <dataValidation type="custom" showErrorMessage="1" errorTitle="Invalid Value" error="Allowed channel step size is 0 &lt; Fstep &lt; 5000 kHz" sqref="D18">
      <formula1>AND(FSTEP_kHz&gt;=0,FSTEP_kHz&lt;=5000,ISNUMBER(FSTEP_kHz))</formula1>
    </dataValidation>
    <dataValidation type="custom" showErrorMessage="1" errorTitle="Invalid Value" error="Allowed data rate is 0 &lt; Fdr &lt; 1000 kbps" sqref="D21">
      <formula1>AND(FDR_kbps&gt;=0,FDR_kbps&lt;=1000,ISNUMBER(FDR_kbps))</formula1>
    </dataValidation>
  </dataValidations>
  <pageMargins left="0.7" right="0.7" top="0.75" bottom="0.75" header="0.3" footer="0.3"/>
  <pageSetup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locked="0" defaultSize="0" autoLine="0" autoPict="0">
                <anchor moveWithCells="1">
                  <from>
                    <xdr:col>2</xdr:col>
                    <xdr:colOff>152400</xdr:colOff>
                    <xdr:row>5</xdr:row>
                    <xdr:rowOff>9525</xdr:rowOff>
                  </from>
                  <to>
                    <xdr:col>8</xdr:col>
                    <xdr:colOff>133350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B3156F6-D21D-47FF-BD33-2E6A43486018}">
            <xm:f>'Hidden Calcs'!$B$15</xm:f>
            <x14:dxf>
              <fill>
                <patternFill>
                  <bgColor rgb="FFFF99CC"/>
                </patternFill>
              </fill>
            </x14:dxf>
          </x14:cfRule>
          <xm:sqref>D9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6"/>
  <sheetViews>
    <sheetView zoomScale="90" zoomScaleNormal="90" workbookViewId="0">
      <selection activeCell="C3" sqref="C3"/>
    </sheetView>
  </sheetViews>
  <sheetFormatPr defaultRowHeight="12.75" x14ac:dyDescent="0.2"/>
  <cols>
    <col min="1" max="1" width="2.7109375" style="2" customWidth="1"/>
    <col min="2" max="2" width="12.7109375" style="1" customWidth="1"/>
    <col min="3" max="3" width="18.7109375" style="1" customWidth="1"/>
    <col min="4" max="4" width="18.7109375" style="1" hidden="1" customWidth="1"/>
    <col min="5" max="5" width="15.7109375" style="1" hidden="1" customWidth="1"/>
    <col min="6" max="6" width="20.7109375" style="1" hidden="1" customWidth="1"/>
    <col min="7" max="8" width="17.7109375" style="1" customWidth="1"/>
    <col min="9" max="9" width="15.7109375" style="1" customWidth="1"/>
    <col min="10" max="10" width="20.7109375" style="1" customWidth="1"/>
    <col min="11" max="11" width="2.7109375" style="1" customWidth="1"/>
    <col min="12" max="12" width="10.7109375" style="1" customWidth="1"/>
    <col min="13" max="13" width="6.7109375" style="1" customWidth="1"/>
    <col min="14" max="19" width="7.7109375" style="1" customWidth="1"/>
    <col min="20" max="16384" width="9.140625" style="2"/>
  </cols>
  <sheetData>
    <row r="1" spans="2:18" ht="15.75" x14ac:dyDescent="0.25">
      <c r="B1" s="12" t="s">
        <v>64</v>
      </c>
    </row>
    <row r="2" spans="2:18" ht="13.5" thickBot="1" x14ac:dyDescent="0.25">
      <c r="B2" s="13"/>
    </row>
    <row r="3" spans="2:18" ht="16.5" thickBot="1" x14ac:dyDescent="0.35">
      <c r="B3" s="13" t="s">
        <v>43</v>
      </c>
      <c r="C3" s="15">
        <f>FTX_ACT_MHz</f>
        <v>915</v>
      </c>
      <c r="E3" s="9" t="s">
        <v>48</v>
      </c>
    </row>
    <row r="5" spans="2:18" ht="15.75" customHeight="1" thickBot="1" x14ac:dyDescent="0.3">
      <c r="B5" s="3" t="s">
        <v>42</v>
      </c>
      <c r="C5" s="3" t="s">
        <v>66</v>
      </c>
      <c r="D5" s="3" t="s">
        <v>44</v>
      </c>
      <c r="E5" s="16" t="s">
        <v>2</v>
      </c>
      <c r="F5" s="3" t="s">
        <v>51</v>
      </c>
      <c r="G5" s="16" t="s">
        <v>67</v>
      </c>
      <c r="H5" s="17" t="s">
        <v>68</v>
      </c>
      <c r="I5" s="3" t="s">
        <v>3</v>
      </c>
      <c r="J5" s="17" t="s">
        <v>52</v>
      </c>
      <c r="L5" s="109" t="s">
        <v>65</v>
      </c>
      <c r="M5" s="109"/>
      <c r="N5" s="109"/>
      <c r="O5" s="109"/>
      <c r="P5" s="109"/>
      <c r="Q5" s="109"/>
      <c r="R5" s="109"/>
    </row>
    <row r="6" spans="2:18" x14ac:dyDescent="0.2">
      <c r="B6" s="1">
        <v>0</v>
      </c>
      <c r="C6" s="5">
        <f t="shared" ref="C6:C37" si="0">FTX_ACT_MHz+($B6*FSTEP_ACT_kHz/1000)</f>
        <v>915</v>
      </c>
      <c r="D6" s="5">
        <f t="shared" ref="D6:D37" si="1">FRX_ACT_MHz+($B6*FSTEP_ACT_kHz/1000)</f>
        <v>914.53125</v>
      </c>
      <c r="E6" s="18">
        <f t="shared" ref="E6:E37" si="2">ROUND((FVCO_TX_ACT_MHz+($B6*(FSTEP_ACT_kHz/1000)*NOUTDIV))/NPRESC/FXTAL_MHz*WSIZE,0)</f>
        <v>1952</v>
      </c>
      <c r="F6" s="19" t="str">
        <f>CONCATENATE("0x",DEC2HEX(E6,4))</f>
        <v>0x07A0</v>
      </c>
      <c r="G6" s="18" t="str">
        <f t="shared" ref="G6:G37" si="3">CONCATENATE("0x",DEC2HEX(($C6*NOUTDIV/NPRESC/FXTAL_MHz)-1,2))</f>
        <v>0x3C</v>
      </c>
      <c r="H6" s="20" t="str">
        <f t="shared" ref="H6:H37" si="4">CONCATENATE("0x",DEC2HEX((MOD($C6*NOUTDIV/NPRESC/FXTAL_MHz,1)+1)*2^19,5))</f>
        <v>0x80000</v>
      </c>
      <c r="I6" s="1">
        <f t="shared" ref="I6:I37" si="5">ROUND((FVCO_RX_ACT_MHz+($B6*(FSTEP_ACT_kHz/1000)*NOUTDIV))/NPRESC/FXTAL_MHz*WSIZE,0)</f>
        <v>1951</v>
      </c>
      <c r="J6" s="62" t="str">
        <f>CONCATENATE("0x",DEC2HEX(I6,4))</f>
        <v>0x079F</v>
      </c>
      <c r="L6" s="64" t="s">
        <v>63</v>
      </c>
      <c r="M6" s="1" t="str">
        <f>$G6</f>
        <v>0x3C</v>
      </c>
      <c r="N6" s="65" t="str">
        <f>CONCATENATE("0x0",MID($H6,3,1))</f>
        <v>0x08</v>
      </c>
      <c r="O6" s="65" t="str">
        <f>CONCATENATE("0x",MID($H6,4,2))</f>
        <v>0x00</v>
      </c>
      <c r="P6" s="65" t="str">
        <f>CONCATENATE("0x",MID($H6,6,2))</f>
        <v>0x00</v>
      </c>
      <c r="Q6" s="65" t="str">
        <f>CONCATENATE("0x",MID($J6,3,2))</f>
        <v>0x07</v>
      </c>
      <c r="R6" s="65" t="str">
        <f>CONCATENATE("0x",MID($J6,5,2))</f>
        <v>0x9F</v>
      </c>
    </row>
    <row r="7" spans="2:18" x14ac:dyDescent="0.2">
      <c r="B7" s="1">
        <f>B6+1</f>
        <v>1</v>
      </c>
      <c r="C7" s="5">
        <f t="shared" si="0"/>
        <v>915.0999927520752</v>
      </c>
      <c r="D7" s="5">
        <f t="shared" si="1"/>
        <v>914.6312427520752</v>
      </c>
      <c r="E7" s="18">
        <f t="shared" si="2"/>
        <v>1952</v>
      </c>
      <c r="F7" s="19" t="str">
        <f t="shared" ref="F7:J56" si="6">CONCATENATE("0x",DEC2HEX(E7,4))</f>
        <v>0x07A0</v>
      </c>
      <c r="G7" s="18" t="str">
        <f t="shared" si="3"/>
        <v>0x3C</v>
      </c>
      <c r="H7" s="20" t="str">
        <f t="shared" si="4"/>
        <v>0x80DA7</v>
      </c>
      <c r="I7" s="1">
        <f t="shared" si="5"/>
        <v>1951</v>
      </c>
      <c r="J7" s="62" t="str">
        <f t="shared" si="6"/>
        <v>0x079F</v>
      </c>
      <c r="L7" s="64" t="s">
        <v>63</v>
      </c>
      <c r="M7" s="1" t="str">
        <f t="shared" ref="M7:M56" si="7">$G7</f>
        <v>0x3C</v>
      </c>
      <c r="N7" s="65" t="str">
        <f t="shared" ref="N7:N56" si="8">CONCATENATE("0x0",MID($H7,3,1))</f>
        <v>0x08</v>
      </c>
      <c r="O7" s="65" t="str">
        <f t="shared" ref="O7:O56" si="9">CONCATENATE("0x",MID($H7,4,2))</f>
        <v>0x0D</v>
      </c>
      <c r="P7" s="65" t="str">
        <f t="shared" ref="P7:P56" si="10">CONCATENATE("0x",MID($H7,6,2))</f>
        <v>0xA7</v>
      </c>
      <c r="Q7" s="65" t="str">
        <f t="shared" ref="Q7:Q56" si="11">CONCATENATE("0x",MID($J7,3,2))</f>
        <v>0x07</v>
      </c>
      <c r="R7" s="65" t="str">
        <f t="shared" ref="R7:R56" si="12">CONCATENATE("0x",MID($J7,5,2))</f>
        <v>0x9F</v>
      </c>
    </row>
    <row r="8" spans="2:18" x14ac:dyDescent="0.2">
      <c r="B8" s="1">
        <f t="shared" ref="B8:B42" si="13">B7+1</f>
        <v>2</v>
      </c>
      <c r="C8" s="5">
        <f t="shared" si="0"/>
        <v>915.19998550415039</v>
      </c>
      <c r="D8" s="5">
        <f t="shared" si="1"/>
        <v>914.73123550415039</v>
      </c>
      <c r="E8" s="18">
        <f t="shared" si="2"/>
        <v>1952</v>
      </c>
      <c r="F8" s="19" t="str">
        <f t="shared" si="6"/>
        <v>0x07A0</v>
      </c>
      <c r="G8" s="18" t="str">
        <f t="shared" si="3"/>
        <v>0x3C</v>
      </c>
      <c r="H8" s="20" t="str">
        <f t="shared" si="4"/>
        <v>0x81B4E</v>
      </c>
      <c r="I8" s="1">
        <f t="shared" si="5"/>
        <v>1951</v>
      </c>
      <c r="J8" s="62" t="str">
        <f t="shared" si="6"/>
        <v>0x079F</v>
      </c>
      <c r="L8" s="64" t="s">
        <v>63</v>
      </c>
      <c r="M8" s="1" t="str">
        <f t="shared" si="7"/>
        <v>0x3C</v>
      </c>
      <c r="N8" s="65" t="str">
        <f t="shared" si="8"/>
        <v>0x08</v>
      </c>
      <c r="O8" s="65" t="str">
        <f t="shared" si="9"/>
        <v>0x1B</v>
      </c>
      <c r="P8" s="65" t="str">
        <f t="shared" si="10"/>
        <v>0x4E</v>
      </c>
      <c r="Q8" s="65" t="str">
        <f t="shared" si="11"/>
        <v>0x07</v>
      </c>
      <c r="R8" s="65" t="str">
        <f t="shared" si="12"/>
        <v>0x9F</v>
      </c>
    </row>
    <row r="9" spans="2:18" x14ac:dyDescent="0.2">
      <c r="B9" s="1">
        <f t="shared" si="13"/>
        <v>3</v>
      </c>
      <c r="C9" s="5">
        <f t="shared" si="0"/>
        <v>915.29997825622559</v>
      </c>
      <c r="D9" s="5">
        <f t="shared" si="1"/>
        <v>914.83122825622559</v>
      </c>
      <c r="E9" s="18">
        <f t="shared" si="2"/>
        <v>1953</v>
      </c>
      <c r="F9" s="19" t="str">
        <f t="shared" si="6"/>
        <v>0x07A1</v>
      </c>
      <c r="G9" s="18" t="str">
        <f t="shared" si="3"/>
        <v>0x3C</v>
      </c>
      <c r="H9" s="20" t="str">
        <f t="shared" si="4"/>
        <v>0x828F5</v>
      </c>
      <c r="I9" s="1">
        <f t="shared" si="5"/>
        <v>1952</v>
      </c>
      <c r="J9" s="62" t="str">
        <f t="shared" si="6"/>
        <v>0x07A0</v>
      </c>
      <c r="L9" s="64" t="s">
        <v>63</v>
      </c>
      <c r="M9" s="1" t="str">
        <f t="shared" si="7"/>
        <v>0x3C</v>
      </c>
      <c r="N9" s="65" t="str">
        <f t="shared" si="8"/>
        <v>0x08</v>
      </c>
      <c r="O9" s="65" t="str">
        <f t="shared" si="9"/>
        <v>0x28</v>
      </c>
      <c r="P9" s="65" t="str">
        <f t="shared" si="10"/>
        <v>0xF5</v>
      </c>
      <c r="Q9" s="65" t="str">
        <f t="shared" si="11"/>
        <v>0x07</v>
      </c>
      <c r="R9" s="65" t="str">
        <f t="shared" si="12"/>
        <v>0xA0</v>
      </c>
    </row>
    <row r="10" spans="2:18" x14ac:dyDescent="0.2">
      <c r="B10" s="1">
        <f t="shared" si="13"/>
        <v>4</v>
      </c>
      <c r="C10" s="5">
        <f t="shared" si="0"/>
        <v>915.39997100830078</v>
      </c>
      <c r="D10" s="5">
        <f t="shared" si="1"/>
        <v>914.93122100830078</v>
      </c>
      <c r="E10" s="18">
        <f t="shared" si="2"/>
        <v>1953</v>
      </c>
      <c r="F10" s="19" t="str">
        <f t="shared" si="6"/>
        <v>0x07A1</v>
      </c>
      <c r="G10" s="18" t="str">
        <f t="shared" si="3"/>
        <v>0x3C</v>
      </c>
      <c r="H10" s="20" t="str">
        <f t="shared" si="4"/>
        <v>0x8369C</v>
      </c>
      <c r="I10" s="1">
        <f t="shared" si="5"/>
        <v>1952</v>
      </c>
      <c r="J10" s="62" t="str">
        <f t="shared" si="6"/>
        <v>0x07A0</v>
      </c>
      <c r="L10" s="64" t="s">
        <v>63</v>
      </c>
      <c r="M10" s="1" t="str">
        <f t="shared" si="7"/>
        <v>0x3C</v>
      </c>
      <c r="N10" s="65" t="str">
        <f t="shared" si="8"/>
        <v>0x08</v>
      </c>
      <c r="O10" s="65" t="str">
        <f t="shared" si="9"/>
        <v>0x36</v>
      </c>
      <c r="P10" s="65" t="str">
        <f t="shared" si="10"/>
        <v>0x9C</v>
      </c>
      <c r="Q10" s="65" t="str">
        <f t="shared" si="11"/>
        <v>0x07</v>
      </c>
      <c r="R10" s="65" t="str">
        <f t="shared" si="12"/>
        <v>0xA0</v>
      </c>
    </row>
    <row r="11" spans="2:18" x14ac:dyDescent="0.2">
      <c r="B11" s="1">
        <f t="shared" si="13"/>
        <v>5</v>
      </c>
      <c r="C11" s="5">
        <f t="shared" si="0"/>
        <v>915.49996376037598</v>
      </c>
      <c r="D11" s="5">
        <f t="shared" si="1"/>
        <v>915.03121376037598</v>
      </c>
      <c r="E11" s="18">
        <f t="shared" si="2"/>
        <v>1953</v>
      </c>
      <c r="F11" s="19" t="str">
        <f t="shared" si="6"/>
        <v>0x07A1</v>
      </c>
      <c r="G11" s="18" t="str">
        <f t="shared" si="3"/>
        <v>0x3C</v>
      </c>
      <c r="H11" s="20" t="str">
        <f t="shared" si="4"/>
        <v>0x84443</v>
      </c>
      <c r="I11" s="1">
        <f t="shared" si="5"/>
        <v>1952</v>
      </c>
      <c r="J11" s="62" t="str">
        <f t="shared" si="6"/>
        <v>0x07A0</v>
      </c>
      <c r="L11" s="64" t="s">
        <v>63</v>
      </c>
      <c r="M11" s="1" t="str">
        <f t="shared" si="7"/>
        <v>0x3C</v>
      </c>
      <c r="N11" s="65" t="str">
        <f t="shared" si="8"/>
        <v>0x08</v>
      </c>
      <c r="O11" s="65" t="str">
        <f t="shared" si="9"/>
        <v>0x44</v>
      </c>
      <c r="P11" s="65" t="str">
        <f t="shared" si="10"/>
        <v>0x43</v>
      </c>
      <c r="Q11" s="65" t="str">
        <f t="shared" si="11"/>
        <v>0x07</v>
      </c>
      <c r="R11" s="65" t="str">
        <f t="shared" si="12"/>
        <v>0xA0</v>
      </c>
    </row>
    <row r="12" spans="2:18" x14ac:dyDescent="0.2">
      <c r="B12" s="1">
        <f t="shared" si="13"/>
        <v>6</v>
      </c>
      <c r="C12" s="5">
        <f t="shared" si="0"/>
        <v>915.59995651245117</v>
      </c>
      <c r="D12" s="5">
        <f t="shared" si="1"/>
        <v>915.13120651245117</v>
      </c>
      <c r="E12" s="18">
        <f t="shared" si="2"/>
        <v>1953</v>
      </c>
      <c r="F12" s="19" t="str">
        <f t="shared" si="6"/>
        <v>0x07A1</v>
      </c>
      <c r="G12" s="18" t="str">
        <f t="shared" si="3"/>
        <v>0x3C</v>
      </c>
      <c r="H12" s="20" t="str">
        <f t="shared" si="4"/>
        <v>0x851EA</v>
      </c>
      <c r="I12" s="1">
        <f t="shared" si="5"/>
        <v>1952</v>
      </c>
      <c r="J12" s="62" t="str">
        <f t="shared" si="6"/>
        <v>0x07A0</v>
      </c>
      <c r="L12" s="64" t="s">
        <v>63</v>
      </c>
      <c r="M12" s="1" t="str">
        <f t="shared" si="7"/>
        <v>0x3C</v>
      </c>
      <c r="N12" s="65" t="str">
        <f t="shared" si="8"/>
        <v>0x08</v>
      </c>
      <c r="O12" s="65" t="str">
        <f t="shared" si="9"/>
        <v>0x51</v>
      </c>
      <c r="P12" s="65" t="str">
        <f t="shared" si="10"/>
        <v>0xEA</v>
      </c>
      <c r="Q12" s="65" t="str">
        <f t="shared" si="11"/>
        <v>0x07</v>
      </c>
      <c r="R12" s="65" t="str">
        <f t="shared" si="12"/>
        <v>0xA0</v>
      </c>
    </row>
    <row r="13" spans="2:18" x14ac:dyDescent="0.2">
      <c r="B13" s="1">
        <f t="shared" si="13"/>
        <v>7</v>
      </c>
      <c r="C13" s="5">
        <f t="shared" si="0"/>
        <v>915.69994926452637</v>
      </c>
      <c r="D13" s="5">
        <f t="shared" si="1"/>
        <v>915.23119926452637</v>
      </c>
      <c r="E13" s="18">
        <f t="shared" si="2"/>
        <v>1953</v>
      </c>
      <c r="F13" s="19" t="str">
        <f t="shared" si="6"/>
        <v>0x07A1</v>
      </c>
      <c r="G13" s="18" t="str">
        <f t="shared" si="3"/>
        <v>0x3C</v>
      </c>
      <c r="H13" s="20" t="str">
        <f t="shared" si="4"/>
        <v>0x85F91</v>
      </c>
      <c r="I13" s="1">
        <f t="shared" si="5"/>
        <v>1952</v>
      </c>
      <c r="J13" s="62" t="str">
        <f t="shared" si="6"/>
        <v>0x07A0</v>
      </c>
      <c r="L13" s="64" t="s">
        <v>63</v>
      </c>
      <c r="M13" s="1" t="str">
        <f t="shared" si="7"/>
        <v>0x3C</v>
      </c>
      <c r="N13" s="65" t="str">
        <f t="shared" si="8"/>
        <v>0x08</v>
      </c>
      <c r="O13" s="65" t="str">
        <f t="shared" si="9"/>
        <v>0x5F</v>
      </c>
      <c r="P13" s="65" t="str">
        <f t="shared" si="10"/>
        <v>0x91</v>
      </c>
      <c r="Q13" s="65" t="str">
        <f t="shared" si="11"/>
        <v>0x07</v>
      </c>
      <c r="R13" s="65" t="str">
        <f t="shared" si="12"/>
        <v>0xA0</v>
      </c>
    </row>
    <row r="14" spans="2:18" x14ac:dyDescent="0.2">
      <c r="B14" s="1">
        <f t="shared" si="13"/>
        <v>8</v>
      </c>
      <c r="C14" s="5">
        <f t="shared" si="0"/>
        <v>915.79994201660156</v>
      </c>
      <c r="D14" s="5">
        <f t="shared" si="1"/>
        <v>915.33119201660156</v>
      </c>
      <c r="E14" s="18">
        <f t="shared" si="2"/>
        <v>1954</v>
      </c>
      <c r="F14" s="19" t="str">
        <f t="shared" si="6"/>
        <v>0x07A2</v>
      </c>
      <c r="G14" s="18" t="str">
        <f t="shared" si="3"/>
        <v>0x3C</v>
      </c>
      <c r="H14" s="20" t="str">
        <f t="shared" si="4"/>
        <v>0x86D38</v>
      </c>
      <c r="I14" s="1">
        <f t="shared" si="5"/>
        <v>1953</v>
      </c>
      <c r="J14" s="62" t="str">
        <f t="shared" si="6"/>
        <v>0x07A1</v>
      </c>
      <c r="L14" s="64" t="s">
        <v>63</v>
      </c>
      <c r="M14" s="1" t="str">
        <f t="shared" si="7"/>
        <v>0x3C</v>
      </c>
      <c r="N14" s="65" t="str">
        <f t="shared" si="8"/>
        <v>0x08</v>
      </c>
      <c r="O14" s="65" t="str">
        <f t="shared" si="9"/>
        <v>0x6D</v>
      </c>
      <c r="P14" s="65" t="str">
        <f t="shared" si="10"/>
        <v>0x38</v>
      </c>
      <c r="Q14" s="65" t="str">
        <f t="shared" si="11"/>
        <v>0x07</v>
      </c>
      <c r="R14" s="65" t="str">
        <f t="shared" si="12"/>
        <v>0xA1</v>
      </c>
    </row>
    <row r="15" spans="2:18" x14ac:dyDescent="0.2">
      <c r="B15" s="1">
        <f t="shared" si="13"/>
        <v>9</v>
      </c>
      <c r="C15" s="5">
        <f t="shared" si="0"/>
        <v>915.89993476867676</v>
      </c>
      <c r="D15" s="5">
        <f t="shared" si="1"/>
        <v>915.43118476867676</v>
      </c>
      <c r="E15" s="18">
        <f t="shared" si="2"/>
        <v>1954</v>
      </c>
      <c r="F15" s="19" t="str">
        <f t="shared" si="6"/>
        <v>0x07A2</v>
      </c>
      <c r="G15" s="18" t="str">
        <f t="shared" si="3"/>
        <v>0x3C</v>
      </c>
      <c r="H15" s="20" t="str">
        <f t="shared" si="4"/>
        <v>0x87ADF</v>
      </c>
      <c r="I15" s="1">
        <f t="shared" si="5"/>
        <v>1953</v>
      </c>
      <c r="J15" s="62" t="str">
        <f t="shared" si="6"/>
        <v>0x07A1</v>
      </c>
      <c r="L15" s="64" t="s">
        <v>63</v>
      </c>
      <c r="M15" s="1" t="str">
        <f t="shared" si="7"/>
        <v>0x3C</v>
      </c>
      <c r="N15" s="65" t="str">
        <f t="shared" si="8"/>
        <v>0x08</v>
      </c>
      <c r="O15" s="65" t="str">
        <f t="shared" si="9"/>
        <v>0x7A</v>
      </c>
      <c r="P15" s="65" t="str">
        <f t="shared" si="10"/>
        <v>0xDF</v>
      </c>
      <c r="Q15" s="65" t="str">
        <f t="shared" si="11"/>
        <v>0x07</v>
      </c>
      <c r="R15" s="65" t="str">
        <f t="shared" si="12"/>
        <v>0xA1</v>
      </c>
    </row>
    <row r="16" spans="2:18" x14ac:dyDescent="0.2">
      <c r="B16" s="1">
        <f t="shared" si="13"/>
        <v>10</v>
      </c>
      <c r="C16" s="5">
        <f t="shared" si="0"/>
        <v>915.99992752075195</v>
      </c>
      <c r="D16" s="5">
        <f t="shared" si="1"/>
        <v>915.53117752075195</v>
      </c>
      <c r="E16" s="18">
        <f t="shared" si="2"/>
        <v>1954</v>
      </c>
      <c r="F16" s="19" t="str">
        <f t="shared" si="6"/>
        <v>0x07A2</v>
      </c>
      <c r="G16" s="18" t="str">
        <f t="shared" si="3"/>
        <v>0x3C</v>
      </c>
      <c r="H16" s="20" t="str">
        <f t="shared" si="4"/>
        <v>0x88886</v>
      </c>
      <c r="I16" s="1">
        <f t="shared" si="5"/>
        <v>1953</v>
      </c>
      <c r="J16" s="62" t="str">
        <f t="shared" si="6"/>
        <v>0x07A1</v>
      </c>
      <c r="L16" s="64" t="s">
        <v>63</v>
      </c>
      <c r="M16" s="1" t="str">
        <f t="shared" si="7"/>
        <v>0x3C</v>
      </c>
      <c r="N16" s="65" t="str">
        <f t="shared" si="8"/>
        <v>0x08</v>
      </c>
      <c r="O16" s="65" t="str">
        <f t="shared" si="9"/>
        <v>0x88</v>
      </c>
      <c r="P16" s="65" t="str">
        <f t="shared" si="10"/>
        <v>0x86</v>
      </c>
      <c r="Q16" s="65" t="str">
        <f t="shared" si="11"/>
        <v>0x07</v>
      </c>
      <c r="R16" s="65" t="str">
        <f t="shared" si="12"/>
        <v>0xA1</v>
      </c>
    </row>
    <row r="17" spans="2:18" x14ac:dyDescent="0.2">
      <c r="B17" s="1">
        <f t="shared" si="13"/>
        <v>11</v>
      </c>
      <c r="C17" s="5">
        <f t="shared" si="0"/>
        <v>916.09992027282715</v>
      </c>
      <c r="D17" s="5">
        <f t="shared" si="1"/>
        <v>915.63117027282715</v>
      </c>
      <c r="E17" s="18">
        <f t="shared" si="2"/>
        <v>1954</v>
      </c>
      <c r="F17" s="19" t="str">
        <f t="shared" si="6"/>
        <v>0x07A2</v>
      </c>
      <c r="G17" s="18" t="str">
        <f t="shared" si="3"/>
        <v>0x3C</v>
      </c>
      <c r="H17" s="20" t="str">
        <f t="shared" si="4"/>
        <v>0x8962D</v>
      </c>
      <c r="I17" s="1">
        <f t="shared" si="5"/>
        <v>1953</v>
      </c>
      <c r="J17" s="62" t="str">
        <f t="shared" si="6"/>
        <v>0x07A1</v>
      </c>
      <c r="L17" s="64" t="s">
        <v>63</v>
      </c>
      <c r="M17" s="1" t="str">
        <f t="shared" si="7"/>
        <v>0x3C</v>
      </c>
      <c r="N17" s="65" t="str">
        <f t="shared" si="8"/>
        <v>0x08</v>
      </c>
      <c r="O17" s="65" t="str">
        <f t="shared" si="9"/>
        <v>0x96</v>
      </c>
      <c r="P17" s="65" t="str">
        <f t="shared" si="10"/>
        <v>0x2D</v>
      </c>
      <c r="Q17" s="65" t="str">
        <f t="shared" si="11"/>
        <v>0x07</v>
      </c>
      <c r="R17" s="65" t="str">
        <f t="shared" si="12"/>
        <v>0xA1</v>
      </c>
    </row>
    <row r="18" spans="2:18" x14ac:dyDescent="0.2">
      <c r="B18" s="1">
        <f t="shared" si="13"/>
        <v>12</v>
      </c>
      <c r="C18" s="5">
        <f t="shared" si="0"/>
        <v>916.19991302490234</v>
      </c>
      <c r="D18" s="5">
        <f t="shared" si="1"/>
        <v>915.73116302490234</v>
      </c>
      <c r="E18" s="18">
        <f t="shared" si="2"/>
        <v>1955</v>
      </c>
      <c r="F18" s="19" t="str">
        <f t="shared" si="6"/>
        <v>0x07A3</v>
      </c>
      <c r="G18" s="18" t="str">
        <f t="shared" si="3"/>
        <v>0x3C</v>
      </c>
      <c r="H18" s="20" t="str">
        <f t="shared" si="4"/>
        <v>0x8A3D4</v>
      </c>
      <c r="I18" s="1">
        <f t="shared" si="5"/>
        <v>1954</v>
      </c>
      <c r="J18" s="62" t="str">
        <f t="shared" si="6"/>
        <v>0x07A2</v>
      </c>
      <c r="L18" s="64" t="s">
        <v>63</v>
      </c>
      <c r="M18" s="1" t="str">
        <f t="shared" si="7"/>
        <v>0x3C</v>
      </c>
      <c r="N18" s="65" t="str">
        <f t="shared" si="8"/>
        <v>0x08</v>
      </c>
      <c r="O18" s="65" t="str">
        <f t="shared" si="9"/>
        <v>0xA3</v>
      </c>
      <c r="P18" s="65" t="str">
        <f t="shared" si="10"/>
        <v>0xD4</v>
      </c>
      <c r="Q18" s="65" t="str">
        <f t="shared" si="11"/>
        <v>0x07</v>
      </c>
      <c r="R18" s="65" t="str">
        <f t="shared" si="12"/>
        <v>0xA2</v>
      </c>
    </row>
    <row r="19" spans="2:18" x14ac:dyDescent="0.2">
      <c r="B19" s="1">
        <f t="shared" si="13"/>
        <v>13</v>
      </c>
      <c r="C19" s="5">
        <f t="shared" si="0"/>
        <v>916.29990577697754</v>
      </c>
      <c r="D19" s="5">
        <f t="shared" si="1"/>
        <v>915.83115577697754</v>
      </c>
      <c r="E19" s="18">
        <f t="shared" si="2"/>
        <v>1955</v>
      </c>
      <c r="F19" s="19" t="str">
        <f t="shared" si="6"/>
        <v>0x07A3</v>
      </c>
      <c r="G19" s="18" t="str">
        <f t="shared" si="3"/>
        <v>0x3C</v>
      </c>
      <c r="H19" s="20" t="str">
        <f t="shared" si="4"/>
        <v>0x8B17B</v>
      </c>
      <c r="I19" s="1">
        <f t="shared" si="5"/>
        <v>1954</v>
      </c>
      <c r="J19" s="62" t="str">
        <f t="shared" si="6"/>
        <v>0x07A2</v>
      </c>
      <c r="L19" s="64" t="s">
        <v>63</v>
      </c>
      <c r="M19" s="1" t="str">
        <f t="shared" si="7"/>
        <v>0x3C</v>
      </c>
      <c r="N19" s="65" t="str">
        <f t="shared" si="8"/>
        <v>0x08</v>
      </c>
      <c r="O19" s="65" t="str">
        <f t="shared" si="9"/>
        <v>0xB1</v>
      </c>
      <c r="P19" s="65" t="str">
        <f t="shared" si="10"/>
        <v>0x7B</v>
      </c>
      <c r="Q19" s="65" t="str">
        <f t="shared" si="11"/>
        <v>0x07</v>
      </c>
      <c r="R19" s="65" t="str">
        <f t="shared" si="12"/>
        <v>0xA2</v>
      </c>
    </row>
    <row r="20" spans="2:18" x14ac:dyDescent="0.2">
      <c r="B20" s="1">
        <f t="shared" si="13"/>
        <v>14</v>
      </c>
      <c r="C20" s="5">
        <f t="shared" si="0"/>
        <v>916.39989852905273</v>
      </c>
      <c r="D20" s="5">
        <f t="shared" si="1"/>
        <v>915.93114852905273</v>
      </c>
      <c r="E20" s="18">
        <f t="shared" si="2"/>
        <v>1955</v>
      </c>
      <c r="F20" s="19" t="str">
        <f t="shared" si="6"/>
        <v>0x07A3</v>
      </c>
      <c r="G20" s="18" t="str">
        <f t="shared" si="3"/>
        <v>0x3C</v>
      </c>
      <c r="H20" s="20" t="str">
        <f t="shared" si="4"/>
        <v>0x8BF22</v>
      </c>
      <c r="I20" s="1">
        <f t="shared" si="5"/>
        <v>1954</v>
      </c>
      <c r="J20" s="62" t="str">
        <f t="shared" si="6"/>
        <v>0x07A2</v>
      </c>
      <c r="L20" s="64" t="s">
        <v>63</v>
      </c>
      <c r="M20" s="1" t="str">
        <f t="shared" si="7"/>
        <v>0x3C</v>
      </c>
      <c r="N20" s="65" t="str">
        <f t="shared" si="8"/>
        <v>0x08</v>
      </c>
      <c r="O20" s="65" t="str">
        <f t="shared" si="9"/>
        <v>0xBF</v>
      </c>
      <c r="P20" s="65" t="str">
        <f t="shared" si="10"/>
        <v>0x22</v>
      </c>
      <c r="Q20" s="65" t="str">
        <f t="shared" si="11"/>
        <v>0x07</v>
      </c>
      <c r="R20" s="65" t="str">
        <f t="shared" si="12"/>
        <v>0xA2</v>
      </c>
    </row>
    <row r="21" spans="2:18" x14ac:dyDescent="0.2">
      <c r="B21" s="1">
        <f t="shared" si="13"/>
        <v>15</v>
      </c>
      <c r="C21" s="5">
        <f t="shared" si="0"/>
        <v>916.49989128112793</v>
      </c>
      <c r="D21" s="5">
        <f t="shared" si="1"/>
        <v>916.03114128112793</v>
      </c>
      <c r="E21" s="18">
        <f t="shared" si="2"/>
        <v>1955</v>
      </c>
      <c r="F21" s="19" t="str">
        <f t="shared" si="6"/>
        <v>0x07A3</v>
      </c>
      <c r="G21" s="18" t="str">
        <f t="shared" si="3"/>
        <v>0x3C</v>
      </c>
      <c r="H21" s="20" t="str">
        <f t="shared" si="4"/>
        <v>0x8CCC9</v>
      </c>
      <c r="I21" s="1">
        <f t="shared" si="5"/>
        <v>1954</v>
      </c>
      <c r="J21" s="62" t="str">
        <f t="shared" si="6"/>
        <v>0x07A2</v>
      </c>
      <c r="L21" s="64" t="s">
        <v>63</v>
      </c>
      <c r="M21" s="1" t="str">
        <f t="shared" si="7"/>
        <v>0x3C</v>
      </c>
      <c r="N21" s="65" t="str">
        <f t="shared" si="8"/>
        <v>0x08</v>
      </c>
      <c r="O21" s="65" t="str">
        <f t="shared" si="9"/>
        <v>0xCC</v>
      </c>
      <c r="P21" s="65" t="str">
        <f t="shared" si="10"/>
        <v>0xC9</v>
      </c>
      <c r="Q21" s="65" t="str">
        <f t="shared" si="11"/>
        <v>0x07</v>
      </c>
      <c r="R21" s="65" t="str">
        <f t="shared" si="12"/>
        <v>0xA2</v>
      </c>
    </row>
    <row r="22" spans="2:18" x14ac:dyDescent="0.2">
      <c r="B22" s="1">
        <f t="shared" si="13"/>
        <v>16</v>
      </c>
      <c r="C22" s="5">
        <f t="shared" si="0"/>
        <v>916.59988403320312</v>
      </c>
      <c r="D22" s="5">
        <f t="shared" si="1"/>
        <v>916.13113403320312</v>
      </c>
      <c r="E22" s="18">
        <f t="shared" si="2"/>
        <v>1955</v>
      </c>
      <c r="F22" s="19" t="str">
        <f t="shared" si="6"/>
        <v>0x07A3</v>
      </c>
      <c r="G22" s="18" t="str">
        <f t="shared" si="3"/>
        <v>0x3C</v>
      </c>
      <c r="H22" s="20" t="str">
        <f t="shared" si="4"/>
        <v>0x8DA70</v>
      </c>
      <c r="I22" s="1">
        <f t="shared" si="5"/>
        <v>1954</v>
      </c>
      <c r="J22" s="62" t="str">
        <f t="shared" si="6"/>
        <v>0x07A2</v>
      </c>
      <c r="L22" s="64" t="s">
        <v>63</v>
      </c>
      <c r="M22" s="1" t="str">
        <f t="shared" si="7"/>
        <v>0x3C</v>
      </c>
      <c r="N22" s="65" t="str">
        <f t="shared" si="8"/>
        <v>0x08</v>
      </c>
      <c r="O22" s="65" t="str">
        <f t="shared" si="9"/>
        <v>0xDA</v>
      </c>
      <c r="P22" s="65" t="str">
        <f t="shared" si="10"/>
        <v>0x70</v>
      </c>
      <c r="Q22" s="65" t="str">
        <f t="shared" si="11"/>
        <v>0x07</v>
      </c>
      <c r="R22" s="65" t="str">
        <f t="shared" si="12"/>
        <v>0xA2</v>
      </c>
    </row>
    <row r="23" spans="2:18" x14ac:dyDescent="0.2">
      <c r="B23" s="1">
        <f t="shared" si="13"/>
        <v>17</v>
      </c>
      <c r="C23" s="5">
        <f t="shared" si="0"/>
        <v>916.69987678527832</v>
      </c>
      <c r="D23" s="5">
        <f t="shared" si="1"/>
        <v>916.23112678527832</v>
      </c>
      <c r="E23" s="18">
        <f t="shared" si="2"/>
        <v>1956</v>
      </c>
      <c r="F23" s="19" t="str">
        <f t="shared" si="6"/>
        <v>0x07A4</v>
      </c>
      <c r="G23" s="18" t="str">
        <f t="shared" si="3"/>
        <v>0x3C</v>
      </c>
      <c r="H23" s="20" t="str">
        <f t="shared" si="4"/>
        <v>0x8E817</v>
      </c>
      <c r="I23" s="1">
        <f t="shared" si="5"/>
        <v>1955</v>
      </c>
      <c r="J23" s="62" t="str">
        <f t="shared" si="6"/>
        <v>0x07A3</v>
      </c>
      <c r="L23" s="64" t="s">
        <v>63</v>
      </c>
      <c r="M23" s="1" t="str">
        <f t="shared" si="7"/>
        <v>0x3C</v>
      </c>
      <c r="N23" s="65" t="str">
        <f t="shared" si="8"/>
        <v>0x08</v>
      </c>
      <c r="O23" s="65" t="str">
        <f t="shared" si="9"/>
        <v>0xE8</v>
      </c>
      <c r="P23" s="65" t="str">
        <f t="shared" si="10"/>
        <v>0x17</v>
      </c>
      <c r="Q23" s="65" t="str">
        <f t="shared" si="11"/>
        <v>0x07</v>
      </c>
      <c r="R23" s="65" t="str">
        <f t="shared" si="12"/>
        <v>0xA3</v>
      </c>
    </row>
    <row r="24" spans="2:18" x14ac:dyDescent="0.2">
      <c r="B24" s="1">
        <f t="shared" si="13"/>
        <v>18</v>
      </c>
      <c r="C24" s="5">
        <f t="shared" si="0"/>
        <v>916.79986953735352</v>
      </c>
      <c r="D24" s="5">
        <f t="shared" si="1"/>
        <v>916.33111953735352</v>
      </c>
      <c r="E24" s="18">
        <f t="shared" si="2"/>
        <v>1956</v>
      </c>
      <c r="F24" s="19" t="str">
        <f t="shared" si="6"/>
        <v>0x07A4</v>
      </c>
      <c r="G24" s="18" t="str">
        <f t="shared" si="3"/>
        <v>0x3C</v>
      </c>
      <c r="H24" s="20" t="str">
        <f t="shared" si="4"/>
        <v>0x8F5BE</v>
      </c>
      <c r="I24" s="1">
        <f t="shared" si="5"/>
        <v>1955</v>
      </c>
      <c r="J24" s="62" t="str">
        <f t="shared" si="6"/>
        <v>0x07A3</v>
      </c>
      <c r="L24" s="64" t="s">
        <v>63</v>
      </c>
      <c r="M24" s="1" t="str">
        <f t="shared" si="7"/>
        <v>0x3C</v>
      </c>
      <c r="N24" s="65" t="str">
        <f t="shared" si="8"/>
        <v>0x08</v>
      </c>
      <c r="O24" s="65" t="str">
        <f t="shared" si="9"/>
        <v>0xF5</v>
      </c>
      <c r="P24" s="65" t="str">
        <f t="shared" si="10"/>
        <v>0xBE</v>
      </c>
      <c r="Q24" s="65" t="str">
        <f t="shared" si="11"/>
        <v>0x07</v>
      </c>
      <c r="R24" s="65" t="str">
        <f t="shared" si="12"/>
        <v>0xA3</v>
      </c>
    </row>
    <row r="25" spans="2:18" x14ac:dyDescent="0.2">
      <c r="B25" s="1">
        <f t="shared" si="13"/>
        <v>19</v>
      </c>
      <c r="C25" s="5">
        <f t="shared" si="0"/>
        <v>916.89986228942871</v>
      </c>
      <c r="D25" s="5">
        <f t="shared" si="1"/>
        <v>916.43111228942871</v>
      </c>
      <c r="E25" s="18">
        <f t="shared" si="2"/>
        <v>1956</v>
      </c>
      <c r="F25" s="19" t="str">
        <f t="shared" si="6"/>
        <v>0x07A4</v>
      </c>
      <c r="G25" s="18" t="str">
        <f t="shared" si="3"/>
        <v>0x3C</v>
      </c>
      <c r="H25" s="20" t="str">
        <f t="shared" si="4"/>
        <v>0x90365</v>
      </c>
      <c r="I25" s="1">
        <f t="shared" si="5"/>
        <v>1955</v>
      </c>
      <c r="J25" s="62" t="str">
        <f t="shared" si="6"/>
        <v>0x07A3</v>
      </c>
      <c r="L25" s="64" t="s">
        <v>63</v>
      </c>
      <c r="M25" s="1" t="str">
        <f t="shared" si="7"/>
        <v>0x3C</v>
      </c>
      <c r="N25" s="65" t="str">
        <f t="shared" si="8"/>
        <v>0x09</v>
      </c>
      <c r="O25" s="65" t="str">
        <f t="shared" si="9"/>
        <v>0x03</v>
      </c>
      <c r="P25" s="65" t="str">
        <f t="shared" si="10"/>
        <v>0x65</v>
      </c>
      <c r="Q25" s="65" t="str">
        <f t="shared" si="11"/>
        <v>0x07</v>
      </c>
      <c r="R25" s="65" t="str">
        <f t="shared" si="12"/>
        <v>0xA3</v>
      </c>
    </row>
    <row r="26" spans="2:18" x14ac:dyDescent="0.2">
      <c r="B26" s="1">
        <f t="shared" si="13"/>
        <v>20</v>
      </c>
      <c r="C26" s="5">
        <f t="shared" si="0"/>
        <v>916.99985504150391</v>
      </c>
      <c r="D26" s="5">
        <f t="shared" si="1"/>
        <v>916.53110504150391</v>
      </c>
      <c r="E26" s="18">
        <f t="shared" si="2"/>
        <v>1956</v>
      </c>
      <c r="F26" s="19" t="str">
        <f t="shared" si="6"/>
        <v>0x07A4</v>
      </c>
      <c r="G26" s="18" t="str">
        <f t="shared" si="3"/>
        <v>0x3C</v>
      </c>
      <c r="H26" s="20" t="str">
        <f t="shared" si="4"/>
        <v>0x9110C</v>
      </c>
      <c r="I26" s="1">
        <f t="shared" si="5"/>
        <v>1955</v>
      </c>
      <c r="J26" s="62" t="str">
        <f t="shared" si="6"/>
        <v>0x07A3</v>
      </c>
      <c r="L26" s="64" t="s">
        <v>63</v>
      </c>
      <c r="M26" s="1" t="str">
        <f t="shared" si="7"/>
        <v>0x3C</v>
      </c>
      <c r="N26" s="65" t="str">
        <f t="shared" si="8"/>
        <v>0x09</v>
      </c>
      <c r="O26" s="65" t="str">
        <f t="shared" si="9"/>
        <v>0x11</v>
      </c>
      <c r="P26" s="65" t="str">
        <f t="shared" si="10"/>
        <v>0x0C</v>
      </c>
      <c r="Q26" s="65" t="str">
        <f t="shared" si="11"/>
        <v>0x07</v>
      </c>
      <c r="R26" s="65" t="str">
        <f t="shared" si="12"/>
        <v>0xA3</v>
      </c>
    </row>
    <row r="27" spans="2:18" x14ac:dyDescent="0.2">
      <c r="B27" s="1">
        <f t="shared" si="13"/>
        <v>21</v>
      </c>
      <c r="C27" s="5">
        <f t="shared" si="0"/>
        <v>917.0998477935791</v>
      </c>
      <c r="D27" s="5">
        <f t="shared" si="1"/>
        <v>916.6310977935791</v>
      </c>
      <c r="E27" s="18">
        <f t="shared" si="2"/>
        <v>1956</v>
      </c>
      <c r="F27" s="19" t="str">
        <f t="shared" si="6"/>
        <v>0x07A4</v>
      </c>
      <c r="G27" s="18" t="str">
        <f t="shared" si="3"/>
        <v>0x3C</v>
      </c>
      <c r="H27" s="20" t="str">
        <f t="shared" si="4"/>
        <v>0x91EB3</v>
      </c>
      <c r="I27" s="1">
        <f t="shared" si="5"/>
        <v>1955</v>
      </c>
      <c r="J27" s="62" t="str">
        <f t="shared" si="6"/>
        <v>0x07A3</v>
      </c>
      <c r="L27" s="64" t="s">
        <v>63</v>
      </c>
      <c r="M27" s="1" t="str">
        <f t="shared" si="7"/>
        <v>0x3C</v>
      </c>
      <c r="N27" s="65" t="str">
        <f t="shared" si="8"/>
        <v>0x09</v>
      </c>
      <c r="O27" s="65" t="str">
        <f t="shared" si="9"/>
        <v>0x1E</v>
      </c>
      <c r="P27" s="65" t="str">
        <f t="shared" si="10"/>
        <v>0xB3</v>
      </c>
      <c r="Q27" s="65" t="str">
        <f t="shared" si="11"/>
        <v>0x07</v>
      </c>
      <c r="R27" s="65" t="str">
        <f t="shared" si="12"/>
        <v>0xA3</v>
      </c>
    </row>
    <row r="28" spans="2:18" x14ac:dyDescent="0.2">
      <c r="B28" s="1">
        <f t="shared" si="13"/>
        <v>22</v>
      </c>
      <c r="C28" s="5">
        <f t="shared" si="0"/>
        <v>917.1998405456543</v>
      </c>
      <c r="D28" s="5">
        <f t="shared" si="1"/>
        <v>916.7310905456543</v>
      </c>
      <c r="E28" s="18">
        <f t="shared" si="2"/>
        <v>1957</v>
      </c>
      <c r="F28" s="19" t="str">
        <f t="shared" si="6"/>
        <v>0x07A5</v>
      </c>
      <c r="G28" s="18" t="str">
        <f t="shared" si="3"/>
        <v>0x3C</v>
      </c>
      <c r="H28" s="20" t="str">
        <f t="shared" si="4"/>
        <v>0x92C5A</v>
      </c>
      <c r="I28" s="1">
        <f t="shared" si="5"/>
        <v>1956</v>
      </c>
      <c r="J28" s="62" t="str">
        <f t="shared" si="6"/>
        <v>0x07A4</v>
      </c>
      <c r="L28" s="64" t="s">
        <v>63</v>
      </c>
      <c r="M28" s="1" t="str">
        <f t="shared" si="7"/>
        <v>0x3C</v>
      </c>
      <c r="N28" s="65" t="str">
        <f t="shared" si="8"/>
        <v>0x09</v>
      </c>
      <c r="O28" s="65" t="str">
        <f t="shared" si="9"/>
        <v>0x2C</v>
      </c>
      <c r="P28" s="65" t="str">
        <f t="shared" si="10"/>
        <v>0x5A</v>
      </c>
      <c r="Q28" s="65" t="str">
        <f t="shared" si="11"/>
        <v>0x07</v>
      </c>
      <c r="R28" s="65" t="str">
        <f t="shared" si="12"/>
        <v>0xA4</v>
      </c>
    </row>
    <row r="29" spans="2:18" x14ac:dyDescent="0.2">
      <c r="B29" s="1">
        <f t="shared" si="13"/>
        <v>23</v>
      </c>
      <c r="C29" s="5">
        <f t="shared" si="0"/>
        <v>917.29983329772949</v>
      </c>
      <c r="D29" s="5">
        <f t="shared" si="1"/>
        <v>916.83108329772949</v>
      </c>
      <c r="E29" s="18">
        <f t="shared" si="2"/>
        <v>1957</v>
      </c>
      <c r="F29" s="19" t="str">
        <f t="shared" si="6"/>
        <v>0x07A5</v>
      </c>
      <c r="G29" s="18" t="str">
        <f t="shared" si="3"/>
        <v>0x3C</v>
      </c>
      <c r="H29" s="20" t="str">
        <f t="shared" si="4"/>
        <v>0x93A01</v>
      </c>
      <c r="I29" s="1">
        <f t="shared" si="5"/>
        <v>1956</v>
      </c>
      <c r="J29" s="62" t="str">
        <f t="shared" si="6"/>
        <v>0x07A4</v>
      </c>
      <c r="L29" s="64" t="s">
        <v>63</v>
      </c>
      <c r="M29" s="1" t="str">
        <f t="shared" si="7"/>
        <v>0x3C</v>
      </c>
      <c r="N29" s="65" t="str">
        <f t="shared" si="8"/>
        <v>0x09</v>
      </c>
      <c r="O29" s="65" t="str">
        <f t="shared" si="9"/>
        <v>0x3A</v>
      </c>
      <c r="P29" s="65" t="str">
        <f t="shared" si="10"/>
        <v>0x01</v>
      </c>
      <c r="Q29" s="65" t="str">
        <f t="shared" si="11"/>
        <v>0x07</v>
      </c>
      <c r="R29" s="65" t="str">
        <f t="shared" si="12"/>
        <v>0xA4</v>
      </c>
    </row>
    <row r="30" spans="2:18" x14ac:dyDescent="0.2">
      <c r="B30" s="1">
        <f t="shared" si="13"/>
        <v>24</v>
      </c>
      <c r="C30" s="5">
        <f t="shared" si="0"/>
        <v>917.39982604980469</v>
      </c>
      <c r="D30" s="5">
        <f t="shared" si="1"/>
        <v>916.93107604980469</v>
      </c>
      <c r="E30" s="18">
        <f t="shared" si="2"/>
        <v>1957</v>
      </c>
      <c r="F30" s="19" t="str">
        <f t="shared" si="6"/>
        <v>0x07A5</v>
      </c>
      <c r="G30" s="18" t="str">
        <f t="shared" si="3"/>
        <v>0x3C</v>
      </c>
      <c r="H30" s="20" t="str">
        <f t="shared" si="4"/>
        <v>0x947A8</v>
      </c>
      <c r="I30" s="1">
        <f t="shared" si="5"/>
        <v>1956</v>
      </c>
      <c r="J30" s="62" t="str">
        <f t="shared" si="6"/>
        <v>0x07A4</v>
      </c>
      <c r="L30" s="64" t="s">
        <v>63</v>
      </c>
      <c r="M30" s="1" t="str">
        <f t="shared" si="7"/>
        <v>0x3C</v>
      </c>
      <c r="N30" s="65" t="str">
        <f t="shared" si="8"/>
        <v>0x09</v>
      </c>
      <c r="O30" s="65" t="str">
        <f t="shared" si="9"/>
        <v>0x47</v>
      </c>
      <c r="P30" s="65" t="str">
        <f t="shared" si="10"/>
        <v>0xA8</v>
      </c>
      <c r="Q30" s="65" t="str">
        <f t="shared" si="11"/>
        <v>0x07</v>
      </c>
      <c r="R30" s="65" t="str">
        <f t="shared" si="12"/>
        <v>0xA4</v>
      </c>
    </row>
    <row r="31" spans="2:18" x14ac:dyDescent="0.2">
      <c r="B31" s="1">
        <f t="shared" si="13"/>
        <v>25</v>
      </c>
      <c r="C31" s="5">
        <f t="shared" si="0"/>
        <v>917.49981880187988</v>
      </c>
      <c r="D31" s="5">
        <f t="shared" si="1"/>
        <v>917.03106880187988</v>
      </c>
      <c r="E31" s="18">
        <f t="shared" si="2"/>
        <v>1957</v>
      </c>
      <c r="F31" s="19" t="str">
        <f t="shared" si="6"/>
        <v>0x07A5</v>
      </c>
      <c r="G31" s="18" t="str">
        <f t="shared" si="3"/>
        <v>0x3C</v>
      </c>
      <c r="H31" s="20" t="str">
        <f t="shared" si="4"/>
        <v>0x9554F</v>
      </c>
      <c r="I31" s="1">
        <f t="shared" si="5"/>
        <v>1956</v>
      </c>
      <c r="J31" s="62" t="str">
        <f t="shared" si="6"/>
        <v>0x07A4</v>
      </c>
      <c r="L31" s="64" t="s">
        <v>63</v>
      </c>
      <c r="M31" s="1" t="str">
        <f t="shared" si="7"/>
        <v>0x3C</v>
      </c>
      <c r="N31" s="65" t="str">
        <f t="shared" si="8"/>
        <v>0x09</v>
      </c>
      <c r="O31" s="65" t="str">
        <f t="shared" si="9"/>
        <v>0x55</v>
      </c>
      <c r="P31" s="65" t="str">
        <f t="shared" si="10"/>
        <v>0x4F</v>
      </c>
      <c r="Q31" s="65" t="str">
        <f t="shared" si="11"/>
        <v>0x07</v>
      </c>
      <c r="R31" s="65" t="str">
        <f t="shared" si="12"/>
        <v>0xA4</v>
      </c>
    </row>
    <row r="32" spans="2:18" x14ac:dyDescent="0.2">
      <c r="B32" s="1">
        <f t="shared" si="13"/>
        <v>26</v>
      </c>
      <c r="C32" s="5">
        <f t="shared" si="0"/>
        <v>917.59981155395508</v>
      </c>
      <c r="D32" s="5">
        <f t="shared" si="1"/>
        <v>917.13106155395508</v>
      </c>
      <c r="E32" s="18">
        <f t="shared" si="2"/>
        <v>1958</v>
      </c>
      <c r="F32" s="19" t="str">
        <f t="shared" si="6"/>
        <v>0x07A6</v>
      </c>
      <c r="G32" s="18" t="str">
        <f t="shared" si="3"/>
        <v>0x3C</v>
      </c>
      <c r="H32" s="20" t="str">
        <f t="shared" si="4"/>
        <v>0x962F6</v>
      </c>
      <c r="I32" s="1">
        <f t="shared" si="5"/>
        <v>1957</v>
      </c>
      <c r="J32" s="62" t="str">
        <f t="shared" si="6"/>
        <v>0x07A5</v>
      </c>
      <c r="L32" s="64" t="s">
        <v>63</v>
      </c>
      <c r="M32" s="1" t="str">
        <f t="shared" si="7"/>
        <v>0x3C</v>
      </c>
      <c r="N32" s="65" t="str">
        <f t="shared" si="8"/>
        <v>0x09</v>
      </c>
      <c r="O32" s="65" t="str">
        <f t="shared" si="9"/>
        <v>0x62</v>
      </c>
      <c r="P32" s="65" t="str">
        <f t="shared" si="10"/>
        <v>0xF6</v>
      </c>
      <c r="Q32" s="65" t="str">
        <f t="shared" si="11"/>
        <v>0x07</v>
      </c>
      <c r="R32" s="65" t="str">
        <f t="shared" si="12"/>
        <v>0xA5</v>
      </c>
    </row>
    <row r="33" spans="2:18" x14ac:dyDescent="0.2">
      <c r="B33" s="1">
        <f t="shared" si="13"/>
        <v>27</v>
      </c>
      <c r="C33" s="5">
        <f t="shared" si="0"/>
        <v>917.69980430603027</v>
      </c>
      <c r="D33" s="5">
        <f t="shared" si="1"/>
        <v>917.23105430603027</v>
      </c>
      <c r="E33" s="18">
        <f t="shared" si="2"/>
        <v>1958</v>
      </c>
      <c r="F33" s="19" t="str">
        <f t="shared" si="6"/>
        <v>0x07A6</v>
      </c>
      <c r="G33" s="18" t="str">
        <f t="shared" si="3"/>
        <v>0x3C</v>
      </c>
      <c r="H33" s="20" t="str">
        <f t="shared" si="4"/>
        <v>0x9709D</v>
      </c>
      <c r="I33" s="1">
        <f t="shared" si="5"/>
        <v>1957</v>
      </c>
      <c r="J33" s="62" t="str">
        <f t="shared" si="6"/>
        <v>0x07A5</v>
      </c>
      <c r="L33" s="64" t="s">
        <v>63</v>
      </c>
      <c r="M33" s="1" t="str">
        <f t="shared" si="7"/>
        <v>0x3C</v>
      </c>
      <c r="N33" s="65" t="str">
        <f t="shared" si="8"/>
        <v>0x09</v>
      </c>
      <c r="O33" s="65" t="str">
        <f t="shared" si="9"/>
        <v>0x70</v>
      </c>
      <c r="P33" s="65" t="str">
        <f t="shared" si="10"/>
        <v>0x9D</v>
      </c>
      <c r="Q33" s="65" t="str">
        <f t="shared" si="11"/>
        <v>0x07</v>
      </c>
      <c r="R33" s="65" t="str">
        <f t="shared" si="12"/>
        <v>0xA5</v>
      </c>
    </row>
    <row r="34" spans="2:18" x14ac:dyDescent="0.2">
      <c r="B34" s="1">
        <f t="shared" si="13"/>
        <v>28</v>
      </c>
      <c r="C34" s="5">
        <f t="shared" si="0"/>
        <v>917.79979705810547</v>
      </c>
      <c r="D34" s="5">
        <f t="shared" si="1"/>
        <v>917.33104705810547</v>
      </c>
      <c r="E34" s="18">
        <f t="shared" si="2"/>
        <v>1958</v>
      </c>
      <c r="F34" s="19" t="str">
        <f t="shared" si="6"/>
        <v>0x07A6</v>
      </c>
      <c r="G34" s="18" t="str">
        <f t="shared" si="3"/>
        <v>0x3C</v>
      </c>
      <c r="H34" s="20" t="str">
        <f t="shared" si="4"/>
        <v>0x97E44</v>
      </c>
      <c r="I34" s="1">
        <f t="shared" si="5"/>
        <v>1957</v>
      </c>
      <c r="J34" s="62" t="str">
        <f t="shared" si="6"/>
        <v>0x07A5</v>
      </c>
      <c r="L34" s="64" t="s">
        <v>63</v>
      </c>
      <c r="M34" s="1" t="str">
        <f t="shared" si="7"/>
        <v>0x3C</v>
      </c>
      <c r="N34" s="65" t="str">
        <f t="shared" si="8"/>
        <v>0x09</v>
      </c>
      <c r="O34" s="65" t="str">
        <f t="shared" si="9"/>
        <v>0x7E</v>
      </c>
      <c r="P34" s="65" t="str">
        <f t="shared" si="10"/>
        <v>0x44</v>
      </c>
      <c r="Q34" s="65" t="str">
        <f t="shared" si="11"/>
        <v>0x07</v>
      </c>
      <c r="R34" s="65" t="str">
        <f t="shared" si="12"/>
        <v>0xA5</v>
      </c>
    </row>
    <row r="35" spans="2:18" x14ac:dyDescent="0.2">
      <c r="B35" s="1">
        <f t="shared" si="13"/>
        <v>29</v>
      </c>
      <c r="C35" s="5">
        <f t="shared" si="0"/>
        <v>917.89978981018066</v>
      </c>
      <c r="D35" s="5">
        <f t="shared" si="1"/>
        <v>917.43103981018066</v>
      </c>
      <c r="E35" s="18">
        <f t="shared" si="2"/>
        <v>1958</v>
      </c>
      <c r="F35" s="19" t="str">
        <f t="shared" si="6"/>
        <v>0x07A6</v>
      </c>
      <c r="G35" s="18" t="str">
        <f t="shared" si="3"/>
        <v>0x3C</v>
      </c>
      <c r="H35" s="20" t="str">
        <f t="shared" si="4"/>
        <v>0x98BEB</v>
      </c>
      <c r="I35" s="1">
        <f t="shared" si="5"/>
        <v>1957</v>
      </c>
      <c r="J35" s="62" t="str">
        <f t="shared" si="6"/>
        <v>0x07A5</v>
      </c>
      <c r="L35" s="64" t="s">
        <v>63</v>
      </c>
      <c r="M35" s="1" t="str">
        <f t="shared" si="7"/>
        <v>0x3C</v>
      </c>
      <c r="N35" s="65" t="str">
        <f t="shared" si="8"/>
        <v>0x09</v>
      </c>
      <c r="O35" s="65" t="str">
        <f t="shared" si="9"/>
        <v>0x8B</v>
      </c>
      <c r="P35" s="65" t="str">
        <f t="shared" si="10"/>
        <v>0xEB</v>
      </c>
      <c r="Q35" s="65" t="str">
        <f t="shared" si="11"/>
        <v>0x07</v>
      </c>
      <c r="R35" s="65" t="str">
        <f t="shared" si="12"/>
        <v>0xA5</v>
      </c>
    </row>
    <row r="36" spans="2:18" x14ac:dyDescent="0.2">
      <c r="B36" s="1">
        <f t="shared" si="13"/>
        <v>30</v>
      </c>
      <c r="C36" s="5">
        <f t="shared" si="0"/>
        <v>917.99978256225586</v>
      </c>
      <c r="D36" s="5">
        <f t="shared" si="1"/>
        <v>917.53103256225586</v>
      </c>
      <c r="E36" s="18">
        <f t="shared" si="2"/>
        <v>1958</v>
      </c>
      <c r="F36" s="19" t="str">
        <f t="shared" si="6"/>
        <v>0x07A6</v>
      </c>
      <c r="G36" s="18" t="str">
        <f t="shared" si="3"/>
        <v>0x3C</v>
      </c>
      <c r="H36" s="20" t="str">
        <f t="shared" si="4"/>
        <v>0x99992</v>
      </c>
      <c r="I36" s="1">
        <f t="shared" si="5"/>
        <v>1957</v>
      </c>
      <c r="J36" s="62" t="str">
        <f t="shared" si="6"/>
        <v>0x07A5</v>
      </c>
      <c r="L36" s="64" t="s">
        <v>63</v>
      </c>
      <c r="M36" s="1" t="str">
        <f t="shared" si="7"/>
        <v>0x3C</v>
      </c>
      <c r="N36" s="65" t="str">
        <f t="shared" si="8"/>
        <v>0x09</v>
      </c>
      <c r="O36" s="65" t="str">
        <f t="shared" si="9"/>
        <v>0x99</v>
      </c>
      <c r="P36" s="65" t="str">
        <f t="shared" si="10"/>
        <v>0x92</v>
      </c>
      <c r="Q36" s="65" t="str">
        <f t="shared" si="11"/>
        <v>0x07</v>
      </c>
      <c r="R36" s="65" t="str">
        <f t="shared" si="12"/>
        <v>0xA5</v>
      </c>
    </row>
    <row r="37" spans="2:18" x14ac:dyDescent="0.2">
      <c r="B37" s="1">
        <f t="shared" si="13"/>
        <v>31</v>
      </c>
      <c r="C37" s="5">
        <f t="shared" si="0"/>
        <v>918.09977531433105</v>
      </c>
      <c r="D37" s="5">
        <f t="shared" si="1"/>
        <v>917.63102531433105</v>
      </c>
      <c r="E37" s="18">
        <f t="shared" si="2"/>
        <v>1959</v>
      </c>
      <c r="F37" s="19" t="str">
        <f t="shared" si="6"/>
        <v>0x07A7</v>
      </c>
      <c r="G37" s="18" t="str">
        <f t="shared" si="3"/>
        <v>0x3C</v>
      </c>
      <c r="H37" s="20" t="str">
        <f t="shared" si="4"/>
        <v>0x9A739</v>
      </c>
      <c r="I37" s="1">
        <f t="shared" si="5"/>
        <v>1958</v>
      </c>
      <c r="J37" s="62" t="str">
        <f t="shared" si="6"/>
        <v>0x07A6</v>
      </c>
      <c r="L37" s="64" t="s">
        <v>63</v>
      </c>
      <c r="M37" s="1" t="str">
        <f t="shared" si="7"/>
        <v>0x3C</v>
      </c>
      <c r="N37" s="65" t="str">
        <f t="shared" si="8"/>
        <v>0x09</v>
      </c>
      <c r="O37" s="65" t="str">
        <f t="shared" si="9"/>
        <v>0xA7</v>
      </c>
      <c r="P37" s="65" t="str">
        <f t="shared" si="10"/>
        <v>0x39</v>
      </c>
      <c r="Q37" s="65" t="str">
        <f t="shared" si="11"/>
        <v>0x07</v>
      </c>
      <c r="R37" s="65" t="str">
        <f t="shared" si="12"/>
        <v>0xA6</v>
      </c>
    </row>
    <row r="38" spans="2:18" x14ac:dyDescent="0.2">
      <c r="B38" s="1">
        <f t="shared" si="13"/>
        <v>32</v>
      </c>
      <c r="C38" s="5">
        <f t="shared" ref="C38:C56" si="14">FTX_ACT_MHz+($B38*FSTEP_ACT_kHz/1000)</f>
        <v>918.19976806640625</v>
      </c>
      <c r="D38" s="5">
        <f t="shared" ref="D38:D56" si="15">FRX_ACT_MHz+($B38*FSTEP_ACT_kHz/1000)</f>
        <v>917.73101806640625</v>
      </c>
      <c r="E38" s="18">
        <f t="shared" ref="E38:E56" si="16">ROUND((FVCO_TX_ACT_MHz+($B38*(FSTEP_ACT_kHz/1000)*NOUTDIV))/NPRESC/FXTAL_MHz*WSIZE,0)</f>
        <v>1959</v>
      </c>
      <c r="F38" s="19" t="str">
        <f t="shared" si="6"/>
        <v>0x07A7</v>
      </c>
      <c r="G38" s="18" t="str">
        <f t="shared" ref="G38:G56" si="17">CONCATENATE("0x",DEC2HEX(($C38*NOUTDIV/NPRESC/FXTAL_MHz)-1,2))</f>
        <v>0x3C</v>
      </c>
      <c r="H38" s="20" t="str">
        <f t="shared" ref="H38:H56" si="18">CONCATENATE("0x",DEC2HEX((MOD($C38*NOUTDIV/NPRESC/FXTAL_MHz,1)+1)*2^19,5))</f>
        <v>0x9B4E0</v>
      </c>
      <c r="I38" s="1">
        <f t="shared" ref="I38:I56" si="19">ROUND((FVCO_RX_ACT_MHz+($B38*(FSTEP_ACT_kHz/1000)*NOUTDIV))/NPRESC/FXTAL_MHz*WSIZE,0)</f>
        <v>1958</v>
      </c>
      <c r="J38" s="62" t="str">
        <f t="shared" si="6"/>
        <v>0x07A6</v>
      </c>
      <c r="L38" s="64" t="s">
        <v>63</v>
      </c>
      <c r="M38" s="1" t="str">
        <f t="shared" si="7"/>
        <v>0x3C</v>
      </c>
      <c r="N38" s="65" t="str">
        <f t="shared" si="8"/>
        <v>0x09</v>
      </c>
      <c r="O38" s="65" t="str">
        <f t="shared" si="9"/>
        <v>0xB4</v>
      </c>
      <c r="P38" s="65" t="str">
        <f t="shared" si="10"/>
        <v>0xE0</v>
      </c>
      <c r="Q38" s="65" t="str">
        <f t="shared" si="11"/>
        <v>0x07</v>
      </c>
      <c r="R38" s="65" t="str">
        <f t="shared" si="12"/>
        <v>0xA6</v>
      </c>
    </row>
    <row r="39" spans="2:18" x14ac:dyDescent="0.2">
      <c r="B39" s="1">
        <f t="shared" si="13"/>
        <v>33</v>
      </c>
      <c r="C39" s="5">
        <f t="shared" si="14"/>
        <v>918.29976081848145</v>
      </c>
      <c r="D39" s="5">
        <f t="shared" si="15"/>
        <v>917.83101081848145</v>
      </c>
      <c r="E39" s="18">
        <f t="shared" si="16"/>
        <v>1959</v>
      </c>
      <c r="F39" s="19" t="str">
        <f t="shared" si="6"/>
        <v>0x07A7</v>
      </c>
      <c r="G39" s="18" t="str">
        <f t="shared" si="17"/>
        <v>0x3C</v>
      </c>
      <c r="H39" s="20" t="str">
        <f t="shared" si="18"/>
        <v>0x9C287</v>
      </c>
      <c r="I39" s="1">
        <f t="shared" si="19"/>
        <v>1958</v>
      </c>
      <c r="J39" s="62" t="str">
        <f t="shared" si="6"/>
        <v>0x07A6</v>
      </c>
      <c r="L39" s="64" t="s">
        <v>63</v>
      </c>
      <c r="M39" s="1" t="str">
        <f t="shared" si="7"/>
        <v>0x3C</v>
      </c>
      <c r="N39" s="65" t="str">
        <f t="shared" si="8"/>
        <v>0x09</v>
      </c>
      <c r="O39" s="65" t="str">
        <f t="shared" si="9"/>
        <v>0xC2</v>
      </c>
      <c r="P39" s="65" t="str">
        <f t="shared" si="10"/>
        <v>0x87</v>
      </c>
      <c r="Q39" s="65" t="str">
        <f t="shared" si="11"/>
        <v>0x07</v>
      </c>
      <c r="R39" s="65" t="str">
        <f t="shared" si="12"/>
        <v>0xA6</v>
      </c>
    </row>
    <row r="40" spans="2:18" x14ac:dyDescent="0.2">
      <c r="B40" s="1">
        <f t="shared" si="13"/>
        <v>34</v>
      </c>
      <c r="C40" s="5">
        <f t="shared" si="14"/>
        <v>918.39975357055664</v>
      </c>
      <c r="D40" s="5">
        <f t="shared" si="15"/>
        <v>917.93100357055664</v>
      </c>
      <c r="E40" s="18">
        <f t="shared" si="16"/>
        <v>1959</v>
      </c>
      <c r="F40" s="19" t="str">
        <f t="shared" si="6"/>
        <v>0x07A7</v>
      </c>
      <c r="G40" s="18" t="str">
        <f t="shared" si="17"/>
        <v>0x3C</v>
      </c>
      <c r="H40" s="20" t="str">
        <f t="shared" si="18"/>
        <v>0x9D02E</v>
      </c>
      <c r="I40" s="1">
        <f t="shared" si="19"/>
        <v>1958</v>
      </c>
      <c r="J40" s="62" t="str">
        <f t="shared" si="6"/>
        <v>0x07A6</v>
      </c>
      <c r="L40" s="64" t="s">
        <v>63</v>
      </c>
      <c r="M40" s="1" t="str">
        <f t="shared" si="7"/>
        <v>0x3C</v>
      </c>
      <c r="N40" s="65" t="str">
        <f t="shared" si="8"/>
        <v>0x09</v>
      </c>
      <c r="O40" s="65" t="str">
        <f t="shared" si="9"/>
        <v>0xD0</v>
      </c>
      <c r="P40" s="65" t="str">
        <f t="shared" si="10"/>
        <v>0x2E</v>
      </c>
      <c r="Q40" s="65" t="str">
        <f t="shared" si="11"/>
        <v>0x07</v>
      </c>
      <c r="R40" s="65" t="str">
        <f t="shared" si="12"/>
        <v>0xA6</v>
      </c>
    </row>
    <row r="41" spans="2:18" x14ac:dyDescent="0.2">
      <c r="B41" s="1">
        <f t="shared" si="13"/>
        <v>35</v>
      </c>
      <c r="C41" s="5">
        <f t="shared" si="14"/>
        <v>918.49974632263184</v>
      </c>
      <c r="D41" s="5">
        <f t="shared" si="15"/>
        <v>918.03099632263184</v>
      </c>
      <c r="E41" s="18">
        <f t="shared" si="16"/>
        <v>1959</v>
      </c>
      <c r="F41" s="19" t="str">
        <f t="shared" si="6"/>
        <v>0x07A7</v>
      </c>
      <c r="G41" s="18" t="str">
        <f t="shared" si="17"/>
        <v>0x3C</v>
      </c>
      <c r="H41" s="20" t="str">
        <f t="shared" si="18"/>
        <v>0x9DDD5</v>
      </c>
      <c r="I41" s="1">
        <f t="shared" si="19"/>
        <v>1958</v>
      </c>
      <c r="J41" s="62" t="str">
        <f t="shared" si="6"/>
        <v>0x07A6</v>
      </c>
      <c r="L41" s="64" t="s">
        <v>63</v>
      </c>
      <c r="M41" s="1" t="str">
        <f t="shared" si="7"/>
        <v>0x3C</v>
      </c>
      <c r="N41" s="65" t="str">
        <f t="shared" si="8"/>
        <v>0x09</v>
      </c>
      <c r="O41" s="65" t="str">
        <f t="shared" si="9"/>
        <v>0xDD</v>
      </c>
      <c r="P41" s="65" t="str">
        <f t="shared" si="10"/>
        <v>0xD5</v>
      </c>
      <c r="Q41" s="65" t="str">
        <f t="shared" si="11"/>
        <v>0x07</v>
      </c>
      <c r="R41" s="65" t="str">
        <f t="shared" si="12"/>
        <v>0xA6</v>
      </c>
    </row>
    <row r="42" spans="2:18" x14ac:dyDescent="0.2">
      <c r="B42" s="1">
        <f t="shared" si="13"/>
        <v>36</v>
      </c>
      <c r="C42" s="5">
        <f t="shared" si="14"/>
        <v>918.59973907470703</v>
      </c>
      <c r="D42" s="5">
        <f t="shared" si="15"/>
        <v>918.13098907470703</v>
      </c>
      <c r="E42" s="18">
        <f t="shared" si="16"/>
        <v>1960</v>
      </c>
      <c r="F42" s="19" t="str">
        <f t="shared" si="6"/>
        <v>0x07A8</v>
      </c>
      <c r="G42" s="18" t="str">
        <f t="shared" si="17"/>
        <v>0x3C</v>
      </c>
      <c r="H42" s="20" t="str">
        <f t="shared" si="18"/>
        <v>0x9EB7C</v>
      </c>
      <c r="I42" s="1">
        <f t="shared" si="19"/>
        <v>1959</v>
      </c>
      <c r="J42" s="62" t="str">
        <f t="shared" si="6"/>
        <v>0x07A7</v>
      </c>
      <c r="L42" s="64" t="s">
        <v>63</v>
      </c>
      <c r="M42" s="1" t="str">
        <f t="shared" si="7"/>
        <v>0x3C</v>
      </c>
      <c r="N42" s="65" t="str">
        <f t="shared" si="8"/>
        <v>0x09</v>
      </c>
      <c r="O42" s="65" t="str">
        <f t="shared" si="9"/>
        <v>0xEB</v>
      </c>
      <c r="P42" s="65" t="str">
        <f t="shared" si="10"/>
        <v>0x7C</v>
      </c>
      <c r="Q42" s="65" t="str">
        <f t="shared" si="11"/>
        <v>0x07</v>
      </c>
      <c r="R42" s="65" t="str">
        <f t="shared" si="12"/>
        <v>0xA7</v>
      </c>
    </row>
    <row r="43" spans="2:18" x14ac:dyDescent="0.2">
      <c r="B43" s="1">
        <f t="shared" ref="B43:B56" si="20">B42+1</f>
        <v>37</v>
      </c>
      <c r="C43" s="5">
        <f t="shared" si="14"/>
        <v>918.69973182678223</v>
      </c>
      <c r="D43" s="5">
        <f t="shared" si="15"/>
        <v>918.23098182678223</v>
      </c>
      <c r="E43" s="18">
        <f t="shared" si="16"/>
        <v>1960</v>
      </c>
      <c r="F43" s="19" t="str">
        <f t="shared" si="6"/>
        <v>0x07A8</v>
      </c>
      <c r="G43" s="18" t="str">
        <f t="shared" si="17"/>
        <v>0x3C</v>
      </c>
      <c r="H43" s="20" t="str">
        <f t="shared" si="18"/>
        <v>0x9F923</v>
      </c>
      <c r="I43" s="1">
        <f t="shared" si="19"/>
        <v>1959</v>
      </c>
      <c r="J43" s="62" t="str">
        <f t="shared" si="6"/>
        <v>0x07A7</v>
      </c>
      <c r="L43" s="64" t="s">
        <v>63</v>
      </c>
      <c r="M43" s="1" t="str">
        <f t="shared" si="7"/>
        <v>0x3C</v>
      </c>
      <c r="N43" s="65" t="str">
        <f t="shared" si="8"/>
        <v>0x09</v>
      </c>
      <c r="O43" s="65" t="str">
        <f t="shared" si="9"/>
        <v>0xF9</v>
      </c>
      <c r="P43" s="65" t="str">
        <f t="shared" si="10"/>
        <v>0x23</v>
      </c>
      <c r="Q43" s="65" t="str">
        <f t="shared" si="11"/>
        <v>0x07</v>
      </c>
      <c r="R43" s="65" t="str">
        <f t="shared" si="12"/>
        <v>0xA7</v>
      </c>
    </row>
    <row r="44" spans="2:18" x14ac:dyDescent="0.2">
      <c r="B44" s="1">
        <f t="shared" si="20"/>
        <v>38</v>
      </c>
      <c r="C44" s="5">
        <f t="shared" si="14"/>
        <v>918.79972457885742</v>
      </c>
      <c r="D44" s="5">
        <f t="shared" si="15"/>
        <v>918.33097457885742</v>
      </c>
      <c r="E44" s="18">
        <f t="shared" si="16"/>
        <v>1960</v>
      </c>
      <c r="F44" s="19" t="str">
        <f t="shared" si="6"/>
        <v>0x07A8</v>
      </c>
      <c r="G44" s="18" t="str">
        <f t="shared" si="17"/>
        <v>0x3C</v>
      </c>
      <c r="H44" s="20" t="str">
        <f t="shared" si="18"/>
        <v>0xA06CA</v>
      </c>
      <c r="I44" s="1">
        <f t="shared" si="19"/>
        <v>1959</v>
      </c>
      <c r="J44" s="62" t="str">
        <f t="shared" si="6"/>
        <v>0x07A7</v>
      </c>
      <c r="L44" s="64" t="s">
        <v>63</v>
      </c>
      <c r="M44" s="1" t="str">
        <f t="shared" si="7"/>
        <v>0x3C</v>
      </c>
      <c r="N44" s="65" t="str">
        <f t="shared" si="8"/>
        <v>0x0A</v>
      </c>
      <c r="O44" s="65" t="str">
        <f t="shared" si="9"/>
        <v>0x06</v>
      </c>
      <c r="P44" s="65" t="str">
        <f t="shared" si="10"/>
        <v>0xCA</v>
      </c>
      <c r="Q44" s="65" t="str">
        <f t="shared" si="11"/>
        <v>0x07</v>
      </c>
      <c r="R44" s="65" t="str">
        <f t="shared" si="12"/>
        <v>0xA7</v>
      </c>
    </row>
    <row r="45" spans="2:18" x14ac:dyDescent="0.2">
      <c r="B45" s="1">
        <f t="shared" si="20"/>
        <v>39</v>
      </c>
      <c r="C45" s="5">
        <f t="shared" si="14"/>
        <v>918.89971733093262</v>
      </c>
      <c r="D45" s="5">
        <f t="shared" si="15"/>
        <v>918.43096733093262</v>
      </c>
      <c r="E45" s="18">
        <f t="shared" si="16"/>
        <v>1960</v>
      </c>
      <c r="F45" s="19" t="str">
        <f t="shared" si="6"/>
        <v>0x07A8</v>
      </c>
      <c r="G45" s="18" t="str">
        <f t="shared" si="17"/>
        <v>0x3C</v>
      </c>
      <c r="H45" s="20" t="str">
        <f t="shared" si="18"/>
        <v>0xA1471</v>
      </c>
      <c r="I45" s="1">
        <f t="shared" si="19"/>
        <v>1959</v>
      </c>
      <c r="J45" s="62" t="str">
        <f t="shared" si="6"/>
        <v>0x07A7</v>
      </c>
      <c r="L45" s="64" t="s">
        <v>63</v>
      </c>
      <c r="M45" s="1" t="str">
        <f t="shared" si="7"/>
        <v>0x3C</v>
      </c>
      <c r="N45" s="65" t="str">
        <f t="shared" si="8"/>
        <v>0x0A</v>
      </c>
      <c r="O45" s="65" t="str">
        <f t="shared" si="9"/>
        <v>0x14</v>
      </c>
      <c r="P45" s="65" t="str">
        <f t="shared" si="10"/>
        <v>0x71</v>
      </c>
      <c r="Q45" s="65" t="str">
        <f t="shared" si="11"/>
        <v>0x07</v>
      </c>
      <c r="R45" s="65" t="str">
        <f t="shared" si="12"/>
        <v>0xA7</v>
      </c>
    </row>
    <row r="46" spans="2:18" x14ac:dyDescent="0.2">
      <c r="B46" s="1">
        <f t="shared" si="20"/>
        <v>40</v>
      </c>
      <c r="C46" s="5">
        <f t="shared" si="14"/>
        <v>918.99971008300781</v>
      </c>
      <c r="D46" s="5">
        <f t="shared" si="15"/>
        <v>918.53096008300781</v>
      </c>
      <c r="E46" s="18">
        <f t="shared" si="16"/>
        <v>1961</v>
      </c>
      <c r="F46" s="19" t="str">
        <f t="shared" si="6"/>
        <v>0x07A9</v>
      </c>
      <c r="G46" s="18" t="str">
        <f t="shared" si="17"/>
        <v>0x3C</v>
      </c>
      <c r="H46" s="20" t="str">
        <f t="shared" si="18"/>
        <v>0xA2218</v>
      </c>
      <c r="I46" s="1">
        <f t="shared" si="19"/>
        <v>1960</v>
      </c>
      <c r="J46" s="62" t="str">
        <f t="shared" si="6"/>
        <v>0x07A8</v>
      </c>
      <c r="L46" s="64" t="s">
        <v>63</v>
      </c>
      <c r="M46" s="1" t="str">
        <f t="shared" si="7"/>
        <v>0x3C</v>
      </c>
      <c r="N46" s="65" t="str">
        <f t="shared" si="8"/>
        <v>0x0A</v>
      </c>
      <c r="O46" s="65" t="str">
        <f t="shared" si="9"/>
        <v>0x22</v>
      </c>
      <c r="P46" s="65" t="str">
        <f t="shared" si="10"/>
        <v>0x18</v>
      </c>
      <c r="Q46" s="65" t="str">
        <f t="shared" si="11"/>
        <v>0x07</v>
      </c>
      <c r="R46" s="65" t="str">
        <f t="shared" si="12"/>
        <v>0xA8</v>
      </c>
    </row>
    <row r="47" spans="2:18" x14ac:dyDescent="0.2">
      <c r="B47" s="1">
        <f t="shared" si="20"/>
        <v>41</v>
      </c>
      <c r="C47" s="5">
        <f t="shared" si="14"/>
        <v>919.09970283508301</v>
      </c>
      <c r="D47" s="5">
        <f t="shared" si="15"/>
        <v>918.63095283508301</v>
      </c>
      <c r="E47" s="18">
        <f t="shared" si="16"/>
        <v>1961</v>
      </c>
      <c r="F47" s="19" t="str">
        <f t="shared" si="6"/>
        <v>0x07A9</v>
      </c>
      <c r="G47" s="18" t="str">
        <f t="shared" si="17"/>
        <v>0x3C</v>
      </c>
      <c r="H47" s="20" t="str">
        <f t="shared" si="18"/>
        <v>0xA2FBF</v>
      </c>
      <c r="I47" s="1">
        <f t="shared" si="19"/>
        <v>1960</v>
      </c>
      <c r="J47" s="62" t="str">
        <f t="shared" si="6"/>
        <v>0x07A8</v>
      </c>
      <c r="L47" s="64" t="s">
        <v>63</v>
      </c>
      <c r="M47" s="1" t="str">
        <f t="shared" si="7"/>
        <v>0x3C</v>
      </c>
      <c r="N47" s="65" t="str">
        <f t="shared" si="8"/>
        <v>0x0A</v>
      </c>
      <c r="O47" s="65" t="str">
        <f t="shared" si="9"/>
        <v>0x2F</v>
      </c>
      <c r="P47" s="65" t="str">
        <f t="shared" si="10"/>
        <v>0xBF</v>
      </c>
      <c r="Q47" s="65" t="str">
        <f t="shared" si="11"/>
        <v>0x07</v>
      </c>
      <c r="R47" s="65" t="str">
        <f t="shared" si="12"/>
        <v>0xA8</v>
      </c>
    </row>
    <row r="48" spans="2:18" x14ac:dyDescent="0.2">
      <c r="B48" s="1">
        <f t="shared" si="20"/>
        <v>42</v>
      </c>
      <c r="C48" s="5">
        <f t="shared" si="14"/>
        <v>919.1996955871582</v>
      </c>
      <c r="D48" s="5">
        <f t="shared" si="15"/>
        <v>918.7309455871582</v>
      </c>
      <c r="E48" s="18">
        <f t="shared" si="16"/>
        <v>1961</v>
      </c>
      <c r="F48" s="19" t="str">
        <f t="shared" si="6"/>
        <v>0x07A9</v>
      </c>
      <c r="G48" s="18" t="str">
        <f t="shared" si="17"/>
        <v>0x3C</v>
      </c>
      <c r="H48" s="20" t="str">
        <f t="shared" si="18"/>
        <v>0xA3D66</v>
      </c>
      <c r="I48" s="1">
        <f t="shared" si="19"/>
        <v>1960</v>
      </c>
      <c r="J48" s="62" t="str">
        <f t="shared" si="6"/>
        <v>0x07A8</v>
      </c>
      <c r="L48" s="64" t="s">
        <v>63</v>
      </c>
      <c r="M48" s="1" t="str">
        <f t="shared" si="7"/>
        <v>0x3C</v>
      </c>
      <c r="N48" s="65" t="str">
        <f t="shared" si="8"/>
        <v>0x0A</v>
      </c>
      <c r="O48" s="65" t="str">
        <f t="shared" si="9"/>
        <v>0x3D</v>
      </c>
      <c r="P48" s="65" t="str">
        <f t="shared" si="10"/>
        <v>0x66</v>
      </c>
      <c r="Q48" s="65" t="str">
        <f t="shared" si="11"/>
        <v>0x07</v>
      </c>
      <c r="R48" s="65" t="str">
        <f t="shared" si="12"/>
        <v>0xA8</v>
      </c>
    </row>
    <row r="49" spans="2:18" x14ac:dyDescent="0.2">
      <c r="B49" s="1">
        <f t="shared" si="20"/>
        <v>43</v>
      </c>
      <c r="C49" s="5">
        <f t="shared" si="14"/>
        <v>919.2996883392334</v>
      </c>
      <c r="D49" s="5">
        <f t="shared" si="15"/>
        <v>918.8309383392334</v>
      </c>
      <c r="E49" s="18">
        <f t="shared" si="16"/>
        <v>1961</v>
      </c>
      <c r="F49" s="19" t="str">
        <f t="shared" si="6"/>
        <v>0x07A9</v>
      </c>
      <c r="G49" s="18" t="str">
        <f t="shared" si="17"/>
        <v>0x3C</v>
      </c>
      <c r="H49" s="20" t="str">
        <f t="shared" si="18"/>
        <v>0xA4B0D</v>
      </c>
      <c r="I49" s="1">
        <f t="shared" si="19"/>
        <v>1960</v>
      </c>
      <c r="J49" s="62" t="str">
        <f t="shared" si="6"/>
        <v>0x07A8</v>
      </c>
      <c r="L49" s="64" t="s">
        <v>63</v>
      </c>
      <c r="M49" s="1" t="str">
        <f t="shared" si="7"/>
        <v>0x3C</v>
      </c>
      <c r="N49" s="65" t="str">
        <f t="shared" si="8"/>
        <v>0x0A</v>
      </c>
      <c r="O49" s="65" t="str">
        <f t="shared" si="9"/>
        <v>0x4B</v>
      </c>
      <c r="P49" s="65" t="str">
        <f t="shared" si="10"/>
        <v>0x0D</v>
      </c>
      <c r="Q49" s="65" t="str">
        <f t="shared" si="11"/>
        <v>0x07</v>
      </c>
      <c r="R49" s="65" t="str">
        <f t="shared" si="12"/>
        <v>0xA8</v>
      </c>
    </row>
    <row r="50" spans="2:18" x14ac:dyDescent="0.2">
      <c r="B50" s="1">
        <f t="shared" si="20"/>
        <v>44</v>
      </c>
      <c r="C50" s="5">
        <f t="shared" si="14"/>
        <v>919.39968109130859</v>
      </c>
      <c r="D50" s="5">
        <f t="shared" si="15"/>
        <v>918.93093109130859</v>
      </c>
      <c r="E50" s="18">
        <f t="shared" si="16"/>
        <v>1961</v>
      </c>
      <c r="F50" s="19" t="str">
        <f t="shared" si="6"/>
        <v>0x07A9</v>
      </c>
      <c r="G50" s="18" t="str">
        <f t="shared" si="17"/>
        <v>0x3C</v>
      </c>
      <c r="H50" s="20" t="str">
        <f t="shared" si="18"/>
        <v>0xA58B4</v>
      </c>
      <c r="I50" s="1">
        <f t="shared" si="19"/>
        <v>1960</v>
      </c>
      <c r="J50" s="62" t="str">
        <f t="shared" si="6"/>
        <v>0x07A8</v>
      </c>
      <c r="L50" s="64" t="s">
        <v>63</v>
      </c>
      <c r="M50" s="1" t="str">
        <f t="shared" si="7"/>
        <v>0x3C</v>
      </c>
      <c r="N50" s="65" t="str">
        <f t="shared" si="8"/>
        <v>0x0A</v>
      </c>
      <c r="O50" s="65" t="str">
        <f t="shared" si="9"/>
        <v>0x58</v>
      </c>
      <c r="P50" s="65" t="str">
        <f t="shared" si="10"/>
        <v>0xB4</v>
      </c>
      <c r="Q50" s="65" t="str">
        <f t="shared" si="11"/>
        <v>0x07</v>
      </c>
      <c r="R50" s="65" t="str">
        <f t="shared" si="12"/>
        <v>0xA8</v>
      </c>
    </row>
    <row r="51" spans="2:18" x14ac:dyDescent="0.2">
      <c r="B51" s="1">
        <f t="shared" si="20"/>
        <v>45</v>
      </c>
      <c r="C51" s="5">
        <f t="shared" si="14"/>
        <v>919.49967384338379</v>
      </c>
      <c r="D51" s="5">
        <f t="shared" si="15"/>
        <v>919.03092384338379</v>
      </c>
      <c r="E51" s="18">
        <f t="shared" si="16"/>
        <v>1962</v>
      </c>
      <c r="F51" s="19" t="str">
        <f t="shared" si="6"/>
        <v>0x07AA</v>
      </c>
      <c r="G51" s="18" t="str">
        <f t="shared" si="17"/>
        <v>0x3C</v>
      </c>
      <c r="H51" s="20" t="str">
        <f t="shared" si="18"/>
        <v>0xA665B</v>
      </c>
      <c r="I51" s="1">
        <f t="shared" si="19"/>
        <v>1961</v>
      </c>
      <c r="J51" s="62" t="str">
        <f t="shared" si="6"/>
        <v>0x07A9</v>
      </c>
      <c r="L51" s="64" t="s">
        <v>63</v>
      </c>
      <c r="M51" s="1" t="str">
        <f t="shared" si="7"/>
        <v>0x3C</v>
      </c>
      <c r="N51" s="65" t="str">
        <f t="shared" si="8"/>
        <v>0x0A</v>
      </c>
      <c r="O51" s="65" t="str">
        <f t="shared" si="9"/>
        <v>0x66</v>
      </c>
      <c r="P51" s="65" t="str">
        <f t="shared" si="10"/>
        <v>0x5B</v>
      </c>
      <c r="Q51" s="65" t="str">
        <f t="shared" si="11"/>
        <v>0x07</v>
      </c>
      <c r="R51" s="65" t="str">
        <f t="shared" si="12"/>
        <v>0xA9</v>
      </c>
    </row>
    <row r="52" spans="2:18" x14ac:dyDescent="0.2">
      <c r="B52" s="1">
        <f t="shared" si="20"/>
        <v>46</v>
      </c>
      <c r="C52" s="5">
        <f t="shared" si="14"/>
        <v>919.59966659545898</v>
      </c>
      <c r="D52" s="5">
        <f t="shared" si="15"/>
        <v>919.13091659545898</v>
      </c>
      <c r="E52" s="18">
        <f t="shared" si="16"/>
        <v>1962</v>
      </c>
      <c r="F52" s="19" t="str">
        <f t="shared" si="6"/>
        <v>0x07AA</v>
      </c>
      <c r="G52" s="18" t="str">
        <f t="shared" si="17"/>
        <v>0x3C</v>
      </c>
      <c r="H52" s="20" t="str">
        <f t="shared" si="18"/>
        <v>0xA7402</v>
      </c>
      <c r="I52" s="1">
        <f t="shared" si="19"/>
        <v>1961</v>
      </c>
      <c r="J52" s="62" t="str">
        <f t="shared" si="6"/>
        <v>0x07A9</v>
      </c>
      <c r="L52" s="64" t="s">
        <v>63</v>
      </c>
      <c r="M52" s="1" t="str">
        <f t="shared" si="7"/>
        <v>0x3C</v>
      </c>
      <c r="N52" s="65" t="str">
        <f t="shared" si="8"/>
        <v>0x0A</v>
      </c>
      <c r="O52" s="65" t="str">
        <f t="shared" si="9"/>
        <v>0x74</v>
      </c>
      <c r="P52" s="65" t="str">
        <f t="shared" si="10"/>
        <v>0x02</v>
      </c>
      <c r="Q52" s="65" t="str">
        <f t="shared" si="11"/>
        <v>0x07</v>
      </c>
      <c r="R52" s="65" t="str">
        <f t="shared" si="12"/>
        <v>0xA9</v>
      </c>
    </row>
    <row r="53" spans="2:18" x14ac:dyDescent="0.2">
      <c r="B53" s="1">
        <f t="shared" si="20"/>
        <v>47</v>
      </c>
      <c r="C53" s="5">
        <f t="shared" si="14"/>
        <v>919.69965934753418</v>
      </c>
      <c r="D53" s="5">
        <f t="shared" si="15"/>
        <v>919.23090934753418</v>
      </c>
      <c r="E53" s="18">
        <f t="shared" si="16"/>
        <v>1962</v>
      </c>
      <c r="F53" s="19" t="str">
        <f t="shared" si="6"/>
        <v>0x07AA</v>
      </c>
      <c r="G53" s="18" t="str">
        <f t="shared" si="17"/>
        <v>0x3C</v>
      </c>
      <c r="H53" s="20" t="str">
        <f t="shared" si="18"/>
        <v>0xA81A9</v>
      </c>
      <c r="I53" s="1">
        <f t="shared" si="19"/>
        <v>1961</v>
      </c>
      <c r="J53" s="62" t="str">
        <f t="shared" si="6"/>
        <v>0x07A9</v>
      </c>
      <c r="L53" s="64" t="s">
        <v>63</v>
      </c>
      <c r="M53" s="1" t="str">
        <f t="shared" si="7"/>
        <v>0x3C</v>
      </c>
      <c r="N53" s="65" t="str">
        <f t="shared" si="8"/>
        <v>0x0A</v>
      </c>
      <c r="O53" s="65" t="str">
        <f t="shared" si="9"/>
        <v>0x81</v>
      </c>
      <c r="P53" s="65" t="str">
        <f t="shared" si="10"/>
        <v>0xA9</v>
      </c>
      <c r="Q53" s="65" t="str">
        <f t="shared" si="11"/>
        <v>0x07</v>
      </c>
      <c r="R53" s="65" t="str">
        <f t="shared" si="12"/>
        <v>0xA9</v>
      </c>
    </row>
    <row r="54" spans="2:18" x14ac:dyDescent="0.2">
      <c r="B54" s="1">
        <f t="shared" si="20"/>
        <v>48</v>
      </c>
      <c r="C54" s="5">
        <f t="shared" si="14"/>
        <v>919.79965209960937</v>
      </c>
      <c r="D54" s="5">
        <f t="shared" si="15"/>
        <v>919.33090209960937</v>
      </c>
      <c r="E54" s="18">
        <f t="shared" si="16"/>
        <v>1962</v>
      </c>
      <c r="F54" s="19" t="str">
        <f t="shared" si="6"/>
        <v>0x07AA</v>
      </c>
      <c r="G54" s="18" t="str">
        <f t="shared" si="17"/>
        <v>0x3C</v>
      </c>
      <c r="H54" s="20" t="str">
        <f t="shared" si="18"/>
        <v>0xA8F50</v>
      </c>
      <c r="I54" s="1">
        <f t="shared" si="19"/>
        <v>1961</v>
      </c>
      <c r="J54" s="62" t="str">
        <f t="shared" si="6"/>
        <v>0x07A9</v>
      </c>
      <c r="L54" s="64" t="s">
        <v>63</v>
      </c>
      <c r="M54" s="1" t="str">
        <f t="shared" si="7"/>
        <v>0x3C</v>
      </c>
      <c r="N54" s="65" t="str">
        <f t="shared" si="8"/>
        <v>0x0A</v>
      </c>
      <c r="O54" s="65" t="str">
        <f t="shared" si="9"/>
        <v>0x8F</v>
      </c>
      <c r="P54" s="65" t="str">
        <f t="shared" si="10"/>
        <v>0x50</v>
      </c>
      <c r="Q54" s="65" t="str">
        <f t="shared" si="11"/>
        <v>0x07</v>
      </c>
      <c r="R54" s="65" t="str">
        <f t="shared" si="12"/>
        <v>0xA9</v>
      </c>
    </row>
    <row r="55" spans="2:18" x14ac:dyDescent="0.2">
      <c r="B55" s="1">
        <f t="shared" si="20"/>
        <v>49</v>
      </c>
      <c r="C55" s="5">
        <f t="shared" si="14"/>
        <v>919.89964485168457</v>
      </c>
      <c r="D55" s="5">
        <f t="shared" si="15"/>
        <v>919.43089485168457</v>
      </c>
      <c r="E55" s="18">
        <f t="shared" si="16"/>
        <v>1962</v>
      </c>
      <c r="F55" s="19" t="str">
        <f t="shared" si="6"/>
        <v>0x07AA</v>
      </c>
      <c r="G55" s="18" t="str">
        <f t="shared" si="17"/>
        <v>0x3C</v>
      </c>
      <c r="H55" s="20" t="str">
        <f t="shared" si="18"/>
        <v>0xA9CF7</v>
      </c>
      <c r="I55" s="1">
        <f t="shared" si="19"/>
        <v>1961</v>
      </c>
      <c r="J55" s="62" t="str">
        <f t="shared" si="6"/>
        <v>0x07A9</v>
      </c>
      <c r="L55" s="64" t="s">
        <v>63</v>
      </c>
      <c r="M55" s="1" t="str">
        <f t="shared" si="7"/>
        <v>0x3C</v>
      </c>
      <c r="N55" s="65" t="str">
        <f t="shared" si="8"/>
        <v>0x0A</v>
      </c>
      <c r="O55" s="65" t="str">
        <f t="shared" si="9"/>
        <v>0x9C</v>
      </c>
      <c r="P55" s="65" t="str">
        <f t="shared" si="10"/>
        <v>0xF7</v>
      </c>
      <c r="Q55" s="65" t="str">
        <f t="shared" si="11"/>
        <v>0x07</v>
      </c>
      <c r="R55" s="65" t="str">
        <f t="shared" si="12"/>
        <v>0xA9</v>
      </c>
    </row>
    <row r="56" spans="2:18" x14ac:dyDescent="0.2">
      <c r="B56" s="1">
        <f t="shared" si="20"/>
        <v>50</v>
      </c>
      <c r="C56" s="5">
        <f t="shared" si="14"/>
        <v>919.99963760375977</v>
      </c>
      <c r="D56" s="5">
        <f t="shared" si="15"/>
        <v>919.53088760375977</v>
      </c>
      <c r="E56" s="18">
        <f t="shared" si="16"/>
        <v>1963</v>
      </c>
      <c r="F56" s="19" t="str">
        <f t="shared" si="6"/>
        <v>0x07AB</v>
      </c>
      <c r="G56" s="18" t="str">
        <f t="shared" si="17"/>
        <v>0x3C</v>
      </c>
      <c r="H56" s="20" t="str">
        <f t="shared" si="18"/>
        <v>0xAAA9E</v>
      </c>
      <c r="I56" s="1">
        <f t="shared" si="19"/>
        <v>1962</v>
      </c>
      <c r="J56" s="62" t="str">
        <f t="shared" si="6"/>
        <v>0x07AA</v>
      </c>
      <c r="L56" s="64" t="s">
        <v>63</v>
      </c>
      <c r="M56" s="1" t="str">
        <f t="shared" si="7"/>
        <v>0x3C</v>
      </c>
      <c r="N56" s="65" t="str">
        <f t="shared" si="8"/>
        <v>0x0A</v>
      </c>
      <c r="O56" s="65" t="str">
        <f t="shared" si="9"/>
        <v>0xAA</v>
      </c>
      <c r="P56" s="65" t="str">
        <f t="shared" si="10"/>
        <v>0x9E</v>
      </c>
      <c r="Q56" s="65" t="str">
        <f t="shared" si="11"/>
        <v>0x07</v>
      </c>
      <c r="R56" s="65" t="str">
        <f t="shared" si="12"/>
        <v>0xAA</v>
      </c>
    </row>
  </sheetData>
  <sheetProtection password="CF76" sheet="1" objects="1" scenarios="1" selectLockedCells="1"/>
  <mergeCells count="1">
    <mergeCell ref="L5:R5"/>
  </mergeCells>
  <pageMargins left="0.7" right="0.7" top="0.75" bottom="0.75" header="0.3" footer="0.3"/>
  <ignoredErrors>
    <ignoredError sqref="I6:I7 I8:I10 I11:I5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8"/>
  <sheetViews>
    <sheetView zoomScale="90" zoomScaleNormal="90" workbookViewId="0">
      <selection activeCell="B15" sqref="B15"/>
    </sheetView>
  </sheetViews>
  <sheetFormatPr defaultRowHeight="12.75" x14ac:dyDescent="0.2"/>
  <cols>
    <col min="1" max="1" width="2.7109375" style="2" customWidth="1"/>
    <col min="2" max="2" width="17.7109375" style="2" customWidth="1"/>
    <col min="3" max="3" width="2.7109375" style="2" customWidth="1"/>
    <col min="4" max="4" width="17.7109375" style="1" customWidth="1"/>
    <col min="5" max="5" width="2.7109375" style="2" customWidth="1"/>
    <col min="6" max="6" width="17.7109375" style="1" customWidth="1"/>
    <col min="7" max="7" width="2.7109375" style="2" customWidth="1"/>
    <col min="8" max="8" width="22.7109375" style="2" customWidth="1"/>
    <col min="9" max="9" width="2.7109375" style="2" customWidth="1"/>
    <col min="10" max="10" width="22.7109375" style="2" customWidth="1"/>
    <col min="11" max="11" width="2.7109375" style="2" customWidth="1"/>
    <col min="12" max="12" width="17.7109375" style="2" customWidth="1"/>
    <col min="13" max="13" width="2.7109375" style="2" customWidth="1"/>
    <col min="14" max="14" width="22.7109375" style="1" customWidth="1"/>
    <col min="15" max="15" width="2.7109375" style="2" customWidth="1"/>
    <col min="16" max="16" width="22.7109375" style="1" customWidth="1"/>
    <col min="17" max="17" width="2.7109375" style="2" customWidth="1"/>
    <col min="18" max="18" width="24.7109375" style="1" customWidth="1"/>
    <col min="19" max="19" width="2.7109375" style="2" customWidth="1"/>
    <col min="20" max="16384" width="9.140625" style="2"/>
  </cols>
  <sheetData>
    <row r="2" spans="2:18" ht="13.5" thickBot="1" x14ac:dyDescent="0.25">
      <c r="B2" s="6" t="s">
        <v>7</v>
      </c>
      <c r="D2" s="3" t="s">
        <v>15</v>
      </c>
      <c r="F2" s="3" t="s">
        <v>53</v>
      </c>
      <c r="H2" s="3" t="s">
        <v>21</v>
      </c>
      <c r="J2" s="3" t="s">
        <v>23</v>
      </c>
      <c r="L2" s="3" t="s">
        <v>0</v>
      </c>
      <c r="N2" s="3" t="s">
        <v>38</v>
      </c>
      <c r="P2" s="3" t="s">
        <v>58</v>
      </c>
      <c r="R2" s="66" t="s">
        <v>82</v>
      </c>
    </row>
    <row r="3" spans="2:18" x14ac:dyDescent="0.2">
      <c r="B3" s="7" t="s">
        <v>8</v>
      </c>
      <c r="D3" s="1">
        <v>1</v>
      </c>
      <c r="F3" s="14">
        <f>FVCO_TX_MHz/NPRESC/FXTAL_MHz</f>
        <v>61</v>
      </c>
      <c r="H3" s="4">
        <f>FLOOR(DIVCODE_TX,1)-1</f>
        <v>60</v>
      </c>
      <c r="J3" s="4">
        <f>FLOOR(DIVCODE_RX,1)-1</f>
        <v>59</v>
      </c>
      <c r="L3" s="1">
        <f>ROUND(FVCO_TX_MHz/NPRESC/FXTAL_MHz*WSIZE,0)</f>
        <v>1952</v>
      </c>
      <c r="N3" s="1">
        <f>ROUND(2^19*NOUTDIV*FSTEP_kHz*1000/(2*FXTAL_MHz*1000000),0)</f>
        <v>3495</v>
      </c>
      <c r="P3" s="63">
        <f>1000*FXTAL_MHz/64</f>
        <v>468.75</v>
      </c>
      <c r="R3" s="1" t="str">
        <f>IF(FDR_kbps&gt;200,DEC2HEX(FXTAL_MHz*1000000,8),DEC2HEX(FXTAL_MHz*100000,8))</f>
        <v>01C9C380</v>
      </c>
    </row>
    <row r="4" spans="2:18" x14ac:dyDescent="0.2">
      <c r="B4" s="7" t="s">
        <v>9</v>
      </c>
    </row>
    <row r="5" spans="2:18" ht="15" thickBot="1" x14ac:dyDescent="0.3">
      <c r="B5" s="7" t="s">
        <v>10</v>
      </c>
      <c r="D5" s="3" t="s">
        <v>4</v>
      </c>
      <c r="F5" s="3" t="s">
        <v>54</v>
      </c>
      <c r="H5" s="3" t="s">
        <v>25</v>
      </c>
      <c r="J5" s="3" t="s">
        <v>26</v>
      </c>
      <c r="L5" s="3" t="s">
        <v>2</v>
      </c>
      <c r="N5" s="3" t="s">
        <v>39</v>
      </c>
      <c r="P5" s="3" t="s">
        <v>62</v>
      </c>
      <c r="R5" s="66" t="s">
        <v>86</v>
      </c>
    </row>
    <row r="6" spans="2:18" x14ac:dyDescent="0.2">
      <c r="B6" s="7" t="s">
        <v>11</v>
      </c>
      <c r="D6" s="1">
        <f>LOOKUP(SY_SEL,{0,1},{4,2})</f>
        <v>2</v>
      </c>
      <c r="F6" s="14">
        <f>FVCO_RX_MHz/NPRESC/FXTAL_MHz</f>
        <v>60.96875</v>
      </c>
      <c r="H6" s="10" t="str">
        <f>DEC2HEX(FREQ_INTE_TX,2)</f>
        <v>3C</v>
      </c>
      <c r="J6" s="10" t="str">
        <f>DEC2HEX(FREQ_INTE_RX,2)</f>
        <v>3B</v>
      </c>
      <c r="L6" s="1" t="str">
        <f>CONCATENATE("0x",DEC2HEX(CNT_TX,3))</f>
        <v>0x7A0</v>
      </c>
      <c r="N6" s="1" t="str">
        <f>DEC2HEX(CHAN_STEP_SIZE,4)</f>
        <v>0DA7</v>
      </c>
      <c r="P6" s="1" t="str">
        <f>DEC2HEX(2^18-((FREQ_IF_kHz*1000)/FREQ_RES_Hz))</f>
        <v>3C000</v>
      </c>
      <c r="R6" s="1" t="str">
        <f>IF(FDR_kbps&gt;200,DEC2HEX(FDR_kbps*10000,6),DEC2HEX(FDR_kbps*1000,6))</f>
        <v>4C4B40</v>
      </c>
    </row>
    <row r="7" spans="2:18" x14ac:dyDescent="0.2">
      <c r="B7" s="8"/>
    </row>
    <row r="8" spans="2:18" ht="13.5" thickBot="1" x14ac:dyDescent="0.25">
      <c r="B8" s="6" t="s">
        <v>13</v>
      </c>
      <c r="H8" s="3" t="s">
        <v>22</v>
      </c>
      <c r="J8" s="3" t="s">
        <v>24</v>
      </c>
      <c r="L8" s="3" t="s">
        <v>1</v>
      </c>
      <c r="N8" s="3" t="s">
        <v>41</v>
      </c>
      <c r="P8" s="3" t="s">
        <v>59</v>
      </c>
      <c r="R8" s="66" t="s">
        <v>80</v>
      </c>
    </row>
    <row r="9" spans="2:18" x14ac:dyDescent="0.2">
      <c r="B9" s="1">
        <v>3</v>
      </c>
      <c r="H9" s="1">
        <f>(MOD(DIVCODE_TX,1)+1)*2^19</f>
        <v>524288</v>
      </c>
      <c r="J9" s="1">
        <f>(MOD(DIVCODE_RX,1)+1)*2^19</f>
        <v>1032192</v>
      </c>
      <c r="L9" s="1">
        <f>ROUND(FVCO_RX_MHz/NPRESC/FXTAL_MHz*WSIZE,0)</f>
        <v>1951</v>
      </c>
      <c r="N9" s="1">
        <f>CHAN_STEP_SIZE*FREQ_RES_Hz/1000</f>
        <v>99.992752075195313</v>
      </c>
      <c r="P9" s="1">
        <f>-(FREQ_IF_kHz/1000)*NOUTDIV/NPRESC*WSIZE/FXTAL_MHz</f>
        <v>-1</v>
      </c>
      <c r="R9" s="69">
        <f>FXTAL_MHz*100*HEX2DEC(MODEM_DATA_RATE_HEX)/HEX2DEC(MODEM_TX_NCO_MODE_HEX)</f>
        <v>500</v>
      </c>
    </row>
    <row r="11" spans="2:18" ht="13.5" thickBot="1" x14ac:dyDescent="0.25">
      <c r="B11" s="6" t="s">
        <v>12</v>
      </c>
      <c r="H11" s="3" t="s">
        <v>27</v>
      </c>
      <c r="J11" s="3" t="s">
        <v>28</v>
      </c>
      <c r="L11" s="3" t="s">
        <v>3</v>
      </c>
      <c r="P11" s="3" t="s">
        <v>60</v>
      </c>
      <c r="R11" s="66" t="s">
        <v>72</v>
      </c>
    </row>
    <row r="12" spans="2:18" x14ac:dyDescent="0.2">
      <c r="B12" s="7" t="str">
        <f>INDEX(Chip_Type_List,Sel_Chip_Type)</f>
        <v>Si4463</v>
      </c>
      <c r="H12" s="10" t="str">
        <f>DEC2HEX(FLOOR(FREQ_FRAC_TX,1),5)</f>
        <v>80000</v>
      </c>
      <c r="J12" s="10" t="str">
        <f>DEC2HEX(FLOOR(FREQ_FRAC_RX,1),5)</f>
        <v>FC000</v>
      </c>
      <c r="L12" s="1" t="str">
        <f>CONCATENATE("0x",DEC2HEX(CNT_RX,3))</f>
        <v>0x79F</v>
      </c>
      <c r="P12" s="1" t="str">
        <f>DEC2HEX(256+P9,2)</f>
        <v>FF</v>
      </c>
      <c r="R12" s="1" t="str">
        <f>DEC2HEX(ROUND(2^19*NOUTDIV*FDEV_kHz*1000/(2*FXTAL_MHz*1000000),0),6)</f>
        <v>001111</v>
      </c>
    </row>
    <row r="14" spans="2:18" ht="13.5" thickBot="1" x14ac:dyDescent="0.25">
      <c r="B14" s="3" t="s">
        <v>55</v>
      </c>
      <c r="H14" s="3" t="s">
        <v>45</v>
      </c>
      <c r="J14" s="3" t="s">
        <v>46</v>
      </c>
      <c r="R14" s="66" t="s">
        <v>78</v>
      </c>
    </row>
    <row r="15" spans="2:18" x14ac:dyDescent="0.2">
      <c r="B15" s="1">
        <f>IF(Sel_Chip_Type=4,IF(OR(FTX_MHz&lt;119,FTX_MHz&gt;960,AND(FTX_MHz&gt;159,FTX_MHz&lt;177),AND(FTX_MHz&gt;319,FTX_MHz&lt;353),AND(FTX_MHz&gt;639,FTX_MHz&lt;705)),1,0),IF(OR(FTX_MHz&lt;142,FTX_MHz&gt;1050,AND(FTX_MHz&gt;175,FTX_MHz&lt;284),AND(FTX_MHz&gt;350,FTX_MHz&lt;420),AND(FTX_MHz&gt;525,FTX_MHz&lt;850)),1,0))</f>
        <v>0</v>
      </c>
      <c r="H15" s="5">
        <f>FXTAL_MHz*NPRESC/NOUTDIV*(FREQ_INTE_TX+HEX2DEC(FREQ_FRAC_TX_HEX)/(2^19))</f>
        <v>915</v>
      </c>
      <c r="J15" s="5">
        <f>FXTAL_MHz*NPRESC/NOUTDIV*(FREQ_INTE_RX+HEX2DEC(FREQ_FRAC_RX_HEX)/(2^19))</f>
        <v>914.53125</v>
      </c>
      <c r="R15" s="67">
        <f>HEX2DEC(MODEM_FREQ_DEV_HEX)*FREQ_RES_Hz/1000</f>
        <v>124.99809265136719</v>
      </c>
    </row>
    <row r="17" spans="2:10" ht="13.5" thickBot="1" x14ac:dyDescent="0.25">
      <c r="B17" s="3" t="s">
        <v>56</v>
      </c>
      <c r="H17" s="3" t="s">
        <v>49</v>
      </c>
      <c r="J17" s="3" t="s">
        <v>50</v>
      </c>
    </row>
    <row r="18" spans="2:10" x14ac:dyDescent="0.2">
      <c r="B18" s="1">
        <f>IF(Sel_Chip_Type=4,LOOKUP(FTX_MHz,{119,168,237.1875,336,474.375,672},{24,16,12,8,6,4}),LOOKUP(FTX_MHz,{142,194,273,385,546,760},{24,16,12,8,6,4}))</f>
        <v>4</v>
      </c>
      <c r="H18" s="5">
        <f>FTX_ACT_MHz*NOUTDIV</f>
        <v>3660</v>
      </c>
      <c r="J18" s="5">
        <f>FRX_ACT_MHz*NOUTDIV</f>
        <v>3658.125</v>
      </c>
    </row>
  </sheetData>
  <conditionalFormatting sqref="D9:I9">
    <cfRule type="expression" priority="1">
      <formula>$B$15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_x0020_Revision_x0020_Date xmlns="d0bec0e0-b0bd-4b04-a2e5-c16613175021">2013-04-12T05:00:00+00:00</Document_x0020_Revision_x0020_Date>
    <DocType xmlns="3b91a693-012a-4b98-8a3b-446ed82b7ef8">3</DocType>
    <Part_x0020_Number xmlns="d0bec0e0-b0bd-4b04-a2e5-c16613175021">
      <Value>1476</Value>
      <Value>1477</Value>
      <Value>1479</Value>
      <Value>1480</Value>
    </Part_x0020_Number>
    <AuthInd xmlns="d0bec0e0-b0bd-4b04-a2e5-c16613175021">Public</AuthInd>
    <Product_x0020_Line xmlns="d0bec0e0-b0bd-4b04-a2e5-c16613175021"/>
    <IncludeInAutoNotify xmlns="d0bec0e0-b0bd-4b04-a2e5-c16613175021">No</IncludeInAutoNotify>
    <_Revision xmlns="http://schemas.microsoft.com/sharepoint/v3/fields">1.0</_Revision>
    <PublishingExpirationDate xmlns="http://schemas.microsoft.com/sharepoint/v3" xsi:nil="true"/>
    <PublishingStartDate xmlns="http://schemas.microsoft.com/sharepoint/v3" xsi:nil="true"/>
    <Product_x0020_Family xmlns="d0bec0e0-b0bd-4b04-a2e5-c16613175021"/>
    <AEM_x0020_Content_x0020_Type_x0020_Tag xmlns="3b91a693-012a-4b98-8a3b-446ed82b7ef8">52</AEM_x0020_Content_x0020_Type_x0020_Tag>
    <AEM_x0020_Accessories_x0020_Tag xmlns="3b91a693-012a-4b98-8a3b-446ed82b7ef8"/>
    <AEM_x0020_Software_x0020_Tag xmlns="3b91a693-012a-4b98-8a3b-446ed82b7ef8"/>
    <AEM_x0020_Product_x0020_Tag xmlns="3b91a693-012a-4b98-8a3b-446ed82b7ef8"/>
    <AEM_x0020_Reference_x0020_Designs_x0020_Tag xmlns="3b91a693-012a-4b98-8a3b-446ed82b7ef8"/>
    <AEM_x0020_Language_x0020_Tag xmlns="3b91a693-012a-4b98-8a3b-446ed82b7ef8"/>
    <AEM_x0020_Kits_x0020_Tag xmlns="3b91a693-012a-4b98-8a3b-446ed82b7ef8"/>
    <AEM_x0020_Solutions_x0020_Tag xmlns="3b91a693-012a-4b98-8a3b-446ed82b7ef8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273147D759594097640F8394324FD2" ma:contentTypeVersion="55" ma:contentTypeDescription="Create a new document." ma:contentTypeScope="" ma:versionID="108cccd0e846290c832ae98af5b945a5">
  <xsd:schema xmlns:xsd="http://www.w3.org/2001/XMLSchema" xmlns:xs="http://www.w3.org/2001/XMLSchema" xmlns:p="http://schemas.microsoft.com/office/2006/metadata/properties" xmlns:ns1="http://schemas.microsoft.com/sharepoint/v3" xmlns:ns2="3b91a693-012a-4b98-8a3b-446ed82b7ef8" xmlns:ns3="d0bec0e0-b0bd-4b04-a2e5-c16613175021" xmlns:ns4="http://schemas.microsoft.com/sharepoint/v3/fields" targetNamespace="http://schemas.microsoft.com/office/2006/metadata/properties" ma:root="true" ma:fieldsID="74e32a5b56a3f2d50aeac17a71ba9fa4" ns1:_="" ns2:_="" ns3:_="" ns4:_="">
    <xsd:import namespace="http://schemas.microsoft.com/sharepoint/v3"/>
    <xsd:import namespace="3b91a693-012a-4b98-8a3b-446ed82b7ef8"/>
    <xsd:import namespace="d0bec0e0-b0bd-4b04-a2e5-c16613175021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DocType"/>
                <xsd:element ref="ns3:AuthInd" minOccurs="0"/>
                <xsd:element ref="ns3:Product_x0020_Line" minOccurs="0"/>
                <xsd:element ref="ns3:Product_x0020_Family" minOccurs="0"/>
                <xsd:element ref="ns3:Part_x0020_Number" minOccurs="0"/>
                <xsd:element ref="ns4:_Revision" minOccurs="0"/>
                <xsd:element ref="ns3:Document_x0020_Revision_x0020_Date" minOccurs="0"/>
                <xsd:element ref="ns1:PublishingStartDate" minOccurs="0"/>
                <xsd:element ref="ns1:PublishingExpirationDate" minOccurs="0"/>
                <xsd:element ref="ns3:IncludeInAutoNotify" minOccurs="0"/>
                <xsd:element ref="ns3:_dlc_DocId" minOccurs="0"/>
                <xsd:element ref="ns3:_dlc_DocIdUrl" minOccurs="0"/>
                <xsd:element ref="ns3:_dlc_DocIdPersistId" minOccurs="0"/>
                <xsd:element ref="ns2:AEM_x0020_Content_x0020_Type_x0020_Tag"/>
                <xsd:element ref="ns2:AEM_x0020_Product_x0020_Tag" minOccurs="0"/>
                <xsd:element ref="ns2:AEM_x0020_Solutions_x0020_Tag" minOccurs="0"/>
                <xsd:element ref="ns2:AEM_x0020_Accessories_x0020_Tag" minOccurs="0"/>
                <xsd:element ref="ns2:AEM_x0020_Kits_x0020_Tag" minOccurs="0"/>
                <xsd:element ref="ns2:AEM_x0020_Reference_x0020_Designs_x0020_Tag" minOccurs="0"/>
                <xsd:element ref="ns2:AEM_x0020_Software_x0020_Tag" minOccurs="0"/>
                <xsd:element ref="ns2:AEM_x0020_Language_x0020_Tag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0" nillable="true" ma:displayName="Scheduling Start Date" ma:description="" ma:internalName="PublishingStartDate">
      <xsd:simpleType>
        <xsd:restriction base="dms:Unknown"/>
      </xsd:simpleType>
    </xsd:element>
    <xsd:element name="PublishingExpirationDate" ma:index="11" nillable="true" ma:displayName="Scheduling End Date" ma:description="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1a693-012a-4b98-8a3b-446ed82b7ef8" elementFormDefault="qualified">
    <xsd:import namespace="http://schemas.microsoft.com/office/2006/documentManagement/types"/>
    <xsd:import namespace="http://schemas.microsoft.com/office/infopath/2007/PartnerControls"/>
    <xsd:element name="DocType" ma:index="2" ma:displayName="DocType" ma:description="Source is Support Document Type List" ma:list="5f7f04e0-dede-4830-94ca-fee28c18bf8b" ma:internalName="DocType" ma:readOnly="false" ma:showField="Title" ma:web="d0bec0e0-b0bd-4b04-a2e5-c16613175021">
      <xsd:simpleType>
        <xsd:restriction base="dms:Lookup"/>
      </xsd:simpleType>
    </xsd:element>
    <xsd:element name="AEM_x0020_Content_x0020_Type_x0020_Tag" ma:index="22" ma:displayName="AEM Content Type Tag" ma:list="{9360E55C-E9A9-4DF0-9402-4807C67654D3}" ma:internalName="AEM_x0020_Content_x0020_Type_x0020_Tag" ma:readOnly="false" ma:showField="AEM_x0020_Content_x0020_Type_x00">
      <xsd:simpleType>
        <xsd:restriction base="dms:Lookup"/>
      </xsd:simpleType>
    </xsd:element>
    <xsd:element name="AEM_x0020_Product_x0020_Tag" ma:index="23" nillable="true" ma:displayName="AEM Product Tag" ma:list="{38A947A9-4976-41BD-8052-80221C9347B6}" ma:internalName="AEM_x0020_Product_x0020_Tag" ma:readOnly="false" ma:showField="AEM_x0020_Product_x0020_Tag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EM_x0020_Solutions_x0020_Tag" ma:index="24" nillable="true" ma:displayName="AEM Solutions Tag" ma:list="{935765D3-EFEF-463C-B609-1F9ACF8016C2}" ma:internalName="AEM_x0020_Solutions_x0020_Tag" ma:readOnly="false" ma:showField="AEM_x0020_Solutions_x0020_Tag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EM_x0020_Accessories_x0020_Tag" ma:index="25" nillable="true" ma:displayName="AEM Accessories Tag" ma:list="{A2980572-0770-4739-BA52-B1C533CB1C6C}" ma:internalName="AEM_x0020_Accessories_x0020_Tag" ma:readOnly="false" ma:showField="AEM_x0020_Accessories_x0020_Tag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EM_x0020_Kits_x0020_Tag" ma:index="26" nillable="true" ma:displayName="AEM Kits Tag" ma:list="{8B2F40B3-FA2B-422B-9677-F55375A79259}" ma:internalName="AEM_x0020_Kits_x0020_Tag" ma:readOnly="false" ma:showField="AEM_x0020_Kits_x0020_Tag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EM_x0020_Reference_x0020_Designs_x0020_Tag" ma:index="27" nillable="true" ma:displayName="AEM Reference Designs Tag" ma:list="{3190E3EC-1B72-4226-944F-F261A008F8AF}" ma:internalName="AEM_x0020_Reference_x0020_Designs_x0020_Tag" ma:readOnly="false" ma:showField="AEM_x0020_Reference_x0020_Design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EM_x0020_Software_x0020_Tag" ma:index="28" nillable="true" ma:displayName="AEM Software Tag" ma:list="{B365F3AA-F879-4A90-AE9E-68BFC365FC18}" ma:internalName="AEM_x0020_Software_x0020_Tag" ma:readOnly="false" ma:showField="AEM_x0020_Software_x0020_Tag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EM_x0020_Language_x0020_Tag" ma:index="29" ma:displayName="AEM Language Tag" ma:list="{0E9BCAEC-1210-47BA-A11B-4CF3EC45A2F1}" ma:internalName="AEM_x0020_Language_x0020_Tag" ma:readOnly="false" ma:showField="AEM_x0020_Language_x0020_Tag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bec0e0-b0bd-4b04-a2e5-c16613175021" elementFormDefault="qualified">
    <xsd:import namespace="http://schemas.microsoft.com/office/2006/documentManagement/types"/>
    <xsd:import namespace="http://schemas.microsoft.com/office/infopath/2007/PartnerControls"/>
    <xsd:element name="AuthInd" ma:index="3" nillable="true" ma:displayName="AuthInd" ma:default="Public" ma:description="Indicates the access needed to be authenticated to view this document" ma:format="Dropdown" ma:internalName="AuthInd">
      <xsd:simpleType>
        <xsd:restriction base="dms:Choice">
          <xsd:enumeration value="Public"/>
          <xsd:enumeration value="Registration"/>
        </xsd:restriction>
      </xsd:simpleType>
    </xsd:element>
    <xsd:element name="Product_x0020_Line" ma:index="4" nillable="true" ma:displayName="Product Line" ma:description="Source is Product Line List" ma:list="275667dc-adb1-4e4b-823f-b21a06c03290" ma:internalName="Product_x0020_Line" ma:readOnly="false" ma:showField="Title" ma:web="d0bec0e0-b0bd-4b04-a2e5-c166131750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roduct_x0020_Family" ma:index="5" nillable="true" ma:displayName="Product Family" ma:description="Source is Product Family List" ma:list="96371608-8006-463d-acf6-217c8e92bdc3" ma:internalName="Product_x0020_Family" ma:readOnly="false" ma:showField="Title" ma:web="d0bec0e0-b0bd-4b04-a2e5-c166131750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art_x0020_Number" ma:index="6" nillable="true" ma:displayName="Part Number" ma:description="Source is Part Number List" ma:list="5b0f5c1a-d6c5-4d3e-b637-3b5263afdc54" ma:internalName="Part_x0020_Number" ma:showField="Title" ma:web="d0bec0e0-b0bd-4b04-a2e5-c166131750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ocument_x0020_Revision_x0020_Date" ma:index="8" nillable="true" ma:displayName="Revision Date" ma:default="" ma:format="DateTime" ma:internalName="Document_x0020_Revision_x0020_Date">
      <xsd:simpleType>
        <xsd:restriction base="dms:DateTime"/>
      </xsd:simpleType>
    </xsd:element>
    <xsd:element name="IncludeInAutoNotify" ma:index="18" nillable="true" ma:displayName="Include In Auto Notify" ma:default="Yes" ma:description="Flag indicating whether an updated doc should be included in the auto-notify email or not." ma:format="Dropdown" ma:internalName="IncludeInAutoNotify">
      <xsd:simpleType>
        <xsd:restriction base="dms:Choice">
          <xsd:enumeration value="Yes"/>
          <xsd:enumeration value="No"/>
        </xsd:restriction>
      </xsd:simpleType>
    </xsd:element>
    <xsd:element name="_dlc_DocId" ma:index="1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7" nillable="true" ma:displayName="Revision" ma:internalName="_Revis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4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9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2043F1-E445-4438-9E59-3390D4C30BE4}"/>
</file>

<file path=customXml/itemProps2.xml><?xml version="1.0" encoding="utf-8"?>
<ds:datastoreItem xmlns:ds="http://schemas.openxmlformats.org/officeDocument/2006/customXml" ds:itemID="{38922FD2-DD9E-4EB0-BC7E-2973982D0331}"/>
</file>

<file path=customXml/itemProps3.xml><?xml version="1.0" encoding="utf-8"?>
<ds:datastoreItem xmlns:ds="http://schemas.openxmlformats.org/officeDocument/2006/customXml" ds:itemID="{AC07C18C-0D95-40B5-A389-5A30383AD340}"/>
</file>

<file path=customXml/itemProps4.xml><?xml version="1.0" encoding="utf-8"?>
<ds:datastoreItem xmlns:ds="http://schemas.openxmlformats.org/officeDocument/2006/customXml" ds:itemID="{E5DC2F68-52D6-4313-99ED-61565D844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45</vt:i4>
      </vt:variant>
    </vt:vector>
  </HeadingPairs>
  <TitlesOfParts>
    <vt:vector size="48" baseType="lpstr">
      <vt:lpstr>Freq Calcs</vt:lpstr>
      <vt:lpstr>VCO_CNT Calcs</vt:lpstr>
      <vt:lpstr>Hidden Calcs</vt:lpstr>
      <vt:lpstr>CHAN_STEP_SIZE</vt:lpstr>
      <vt:lpstr>CHAN_STEP_SIZE_HEX</vt:lpstr>
      <vt:lpstr>Chip_Type_List</vt:lpstr>
      <vt:lpstr>CNT_RX</vt:lpstr>
      <vt:lpstr>CNT_TX</vt:lpstr>
      <vt:lpstr>DIVCODE_RX</vt:lpstr>
      <vt:lpstr>DIVCODE_TX</vt:lpstr>
      <vt:lpstr>FDEV_ACT_kHz</vt:lpstr>
      <vt:lpstr>FDEV_kHz</vt:lpstr>
      <vt:lpstr>FDR_ACT_kbps</vt:lpstr>
      <vt:lpstr>FDR_kbps</vt:lpstr>
      <vt:lpstr>FERR_Hz</vt:lpstr>
      <vt:lpstr>FREQ_FRAC_RX</vt:lpstr>
      <vt:lpstr>FREQ_FRAC_RX_HEX</vt:lpstr>
      <vt:lpstr>FREQ_FRAC_TX</vt:lpstr>
      <vt:lpstr>FREQ_FRAC_TX_HEX</vt:lpstr>
      <vt:lpstr>FREQ_IF_kHz</vt:lpstr>
      <vt:lpstr>FREQ_INTE_RX</vt:lpstr>
      <vt:lpstr>FREQ_INTE_TX</vt:lpstr>
      <vt:lpstr>FREQ_INTE_TX_HEX</vt:lpstr>
      <vt:lpstr>FREQ_RES_Hz</vt:lpstr>
      <vt:lpstr>FRX_ACT_MHz</vt:lpstr>
      <vt:lpstr>FSTEP_ACT_kHz</vt:lpstr>
      <vt:lpstr>FSTEP_kHz</vt:lpstr>
      <vt:lpstr>FTX_ACT_MHz</vt:lpstr>
      <vt:lpstr>FTX_MHz</vt:lpstr>
      <vt:lpstr>FVCO_RX_ACT_MHz</vt:lpstr>
      <vt:lpstr>FVCO_RX_MHz</vt:lpstr>
      <vt:lpstr>FVCO_TX_ACT_MHz</vt:lpstr>
      <vt:lpstr>FVCO_TX_MHz</vt:lpstr>
      <vt:lpstr>FXTAL_MHz</vt:lpstr>
      <vt:lpstr>Invalid_Freq_Flag</vt:lpstr>
      <vt:lpstr>MODEM_DATA_RATE_HEX</vt:lpstr>
      <vt:lpstr>MODEM_FREQ_DEV_HEX</vt:lpstr>
      <vt:lpstr>MODEM_IF_FREQ_HEX</vt:lpstr>
      <vt:lpstr>MODEM_TX_NCO_MODE_HEX</vt:lpstr>
      <vt:lpstr>NOUTDIV</vt:lpstr>
      <vt:lpstr>NPRESC</vt:lpstr>
      <vt:lpstr>Sel_Chip_Type</vt:lpstr>
      <vt:lpstr>SY_SEL</vt:lpstr>
      <vt:lpstr>VCO_CNT_RX</vt:lpstr>
      <vt:lpstr>VCO_CNT_TX</vt:lpstr>
      <vt:lpstr>VCOCNT_RX_ADJ</vt:lpstr>
      <vt:lpstr>VCOCNT_RX_ADJ_HEX</vt:lpstr>
      <vt:lpstr>WSIZE</vt:lpstr>
    </vt:vector>
  </TitlesOfParts>
  <Company>Silicon Laboratories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Si446x RX_HOP PLL Calculator</dc:title>
  <dc:creator>erunruh</dc:creator>
  <cp:keywords>Si446x Si4460 Si4461 Si4463 Si4464 RX HOP</cp:keywords>
  <cp:lastModifiedBy>erunruh</cp:lastModifiedBy>
  <dcterms:created xsi:type="dcterms:W3CDTF">2011-08-22T18:01:18Z</dcterms:created>
  <dcterms:modified xsi:type="dcterms:W3CDTF">2013-04-11T22:22:13Z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0x010100F7273147D759594097640F8394324FD2</vt:lpwstr>
  </property>
  <property fmtid="{D5CDD505-2E9C-101B-9397-08002B2CF9AE}" pid="3" name="RequiresNDA">
    <vt:bool>false</vt:bool>
  </property>
</Properties>
</file>